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Working Futures extensions/Projections/Skills Imperative 2035 National_Regional_Subregional workbooks/LocalSkillsData/"/>
    </mc:Choice>
  </mc:AlternateContent>
  <xr:revisionPtr revIDLastSave="0" documentId="13_ncr:1_{A8753CBB-4A6A-4E98-B3F7-1056AD7AB652}" xr6:coauthVersionLast="47" xr6:coauthVersionMax="47" xr10:uidLastSave="{00000000-0000-0000-0000-000000000000}"/>
  <bookViews>
    <workbookView xWindow="-110" yWindow="-110" windowWidth="22780" windowHeight="14660" tabRatio="880" firstSheet="1" activeTab="2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T34" i="109"/>
  <c r="AS34" i="109"/>
  <c r="AR34" i="109"/>
  <c r="AO34" i="109"/>
  <c r="AN34" i="109"/>
  <c r="AM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36" i="109" l="1"/>
  <c r="AK27" i="109"/>
  <c r="AK34" i="109"/>
  <c r="AU30" i="109"/>
  <c r="AK33" i="109"/>
  <c r="AU29" i="109"/>
  <c r="AK32" i="109"/>
  <c r="AK30" i="109"/>
  <c r="AU34" i="109"/>
  <c r="AK29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C82" i="104" l="1"/>
  <c r="E104" i="104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<sst xmlns="http://schemas.openxmlformats.org/spreadsheetml/2006/main" count="2354" uniqueCount="530">
  <si>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</si>
  <si>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</si>
  <si>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</si>
  <si>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</si>
  <si>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</si>
  <si>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</si>
  <si>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</si>
  <si>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</si>
  <si>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</si>
  <si>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</si>
  <si>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</si>
  <si>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</si>
  <si>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</si>
  <si>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</si>
  <si>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</si>
  <si>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</si>
  <si>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</si>
  <si>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</si>
  <si>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</si>
  <si>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</si>
  <si>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</si>
  <si>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</si>
  <si>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</si>
  <si>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</si>
  <si>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</si>
  <si>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</si>
  <si>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</si>
  <si>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</si>
  <si>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</si>
  <si>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</si>
  <si>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</si>
  <si>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</si>
  <si>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</si>
  <si>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</si>
  <si>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</si>
  <si>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</si>
  <si>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</si>
  <si>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</si>
  <si>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</si>
  <si>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</si>
  <si>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</si>
  <si>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</si>
  <si>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</si>
  <si>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</si>
  <si>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</si>
  <si>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</si>
  <si>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</si>
  <si>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</si>
  <si>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</si>
  <si>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</si>
  <si>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</si>
  <si>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</si>
  <si>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</si>
  <si>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</si>
  <si>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</si>
  <si>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</si>
  <si>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</si>
  <si>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</si>
  <si>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</si>
  <si>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</si>
  <si>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</si>
  <si>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</si>
  <si>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</si>
  <si>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</si>
  <si>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</si>
  <si>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</si>
  <si>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</si>
  <si>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</si>
  <si>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</si>
  <si>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</si>
  <si>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</si>
  <si>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</si>
  <si>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</si>
  <si>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</si>
  <si>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</si>
  <si>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</si>
  <si>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</si>
  <si>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</si>
  <si>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</si>
  <si>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</si>
  <si>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</si>
  <si>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</si>
  <si>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</si>
  <si>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</si>
  <si>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</si>
  <si>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</si>
  <si>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</si>
  <si>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</si>
  <si>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</si>
  <si>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</si>
  <si>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</si>
  <si>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</si>
  <si>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</si>
  <si>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</si>
  <si>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</si>
  <si>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</si>
  <si>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</si>
  <si>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</si>
  <si>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</si>
  <si>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</si>
  <si>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</si>
  <si>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</si>
  <si>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</si>
  <si>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</si>
  <si>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</si>
  <si>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</si>
  <si>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</si>
  <si>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</si>
  <si>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</si>
  <si>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</si>
  <si>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</si>
  <si>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</si>
  <si>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</si>
  <si>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</si>
  <si>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</si>
  <si>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</si>
  <si>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</si>
  <si>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</si>
  <si>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</si>
  <si>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</si>
  <si>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</si>
  <si>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</si>
  <si>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</si>
  <si>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</si>
  <si>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</si>
  <si>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</si>
  <si>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</si>
  <si>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</si>
  <si>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</si>
  <si>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</si>
  <si>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</si>
  <si>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</si>
  <si>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</si>
  <si>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</si>
  <si>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</si>
  <si>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</si>
  <si>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</si>
  <si>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</si>
  <si>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</si>
  <si>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</si>
  <si>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</si>
  <si>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</si>
  <si>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</si>
  <si>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</si>
  <si>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</si>
  <si>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</si>
  <si>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</si>
  <si>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</si>
  <si>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</si>
  <si>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</si>
  <si>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</si>
  <si>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</si>
  <si>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</si>
  <si>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</si>
  <si>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</si>
  <si>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</si>
  <si>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</si>
  <si>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</si>
  <si>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</si>
  <si>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</si>
  <si>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</si>
  <si>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</si>
  <si>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</si>
  <si>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</si>
  <si>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</si>
  <si>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</si>
  <si>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</si>
  <si>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</si>
  <si>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</si>
  <si>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</si>
  <si>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</si>
  <si>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</si>
  <si>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</si>
  <si>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</si>
  <si>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</si>
  <si>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</si>
  <si>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</si>
  <si>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</si>
  <si>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</si>
  <si>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</si>
  <si>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</si>
  <si>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</si>
  <si>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</si>
  <si>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</si>
  <si>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</si>
  <si>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</si>
  <si>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</si>
  <si>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</si>
  <si>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</si>
  <si>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</si>
  <si>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</si>
  <si>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</si>
  <si>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</si>
  <si>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</si>
  <si>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</si>
  <si>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</si>
  <si>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</si>
  <si>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</si>
  <si>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</si>
  <si>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</si>
  <si>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</si>
  <si>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</si>
  <si>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</si>
  <si>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</si>
  <si>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</si>
  <si>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</si>
  <si>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</si>
  <si>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</si>
  <si>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</si>
  <si>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</si>
  <si>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</si>
  <si>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</si>
  <si>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</si>
  <si>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</si>
  <si>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</si>
  <si>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</si>
  <si>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</si>
  <si>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</si>
  <si>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</si>
  <si>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</si>
  <si>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</si>
  <si>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</si>
  <si>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</si>
  <si>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</si>
  <si>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</si>
  <si>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</si>
  <si>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</si>
  <si>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</si>
  <si>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</si>
  <si>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</si>
  <si>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</si>
  <si>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</si>
  <si>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</si>
  <si>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</si>
  <si>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</si>
  <si>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</si>
  <si>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</si>
  <si>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</si>
  <si>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</si>
  <si>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</si>
  <si>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</si>
  <si>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</si>
  <si>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</si>
  <si>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</si>
  <si>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</si>
  <si>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</si>
  <si>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</si>
  <si>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</si>
  <si>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</si>
  <si>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</si>
  <si>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</si>
  <si>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</si>
  <si>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</si>
  <si>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</si>
  <si>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</si>
  <si>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</si>
  <si>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</si>
  <si>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</si>
  <si>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</si>
  <si>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</si>
  <si>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</si>
  <si>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</si>
  <si>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</si>
  <si>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</si>
  <si>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</si>
  <si>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</si>
  <si>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</si>
  <si>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</si>
  <si>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</si>
  <si>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</si>
  <si>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</si>
  <si>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</si>
  <si>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</si>
  <si>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</si>
  <si>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</si>
  <si>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</si>
  <si>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</si>
  <si>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</si>
  <si>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</si>
  <si>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</si>
  <si>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</si>
  <si>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</si>
  <si>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</si>
  <si>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</si>
  <si>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</si>
  <si>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</si>
  <si>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</si>
  <si>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</si>
  <si>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</si>
  <si>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</si>
  <si>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</si>
  <si>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</si>
  <si>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</si>
  <si>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</si>
  <si>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</si>
  <si>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</si>
  <si>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</si>
  <si>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</si>
  <si>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</si>
  <si>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</si>
  <si>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</si>
  <si>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</si>
  <si>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</si>
  <si>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</si>
  <si>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</si>
  <si>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</si>
  <si>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</si>
  <si>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</si>
  <si>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</si>
  <si>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</si>
  <si>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</si>
  <si>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</si>
  <si>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</si>
  <si>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</si>
  <si>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</si>
  <si>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</si>
  <si>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</si>
  <si>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</si>
  <si>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</si>
  <si>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</si>
  <si>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</si>
  <si>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</si>
  <si>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</si>
  <si>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</si>
  <si>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</si>
  <si>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</si>
  <si>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</si>
  <si>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</si>
  <si>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</si>
  <si>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</si>
  <si>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</si>
  <si>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</si>
  <si>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</si>
  <si>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</si>
  <si>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</si>
  <si>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</si>
  <si>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</si>
  <si>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</si>
  <si>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</si>
  <si>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</si>
  <si>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</si>
  <si>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</si>
  <si>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</si>
  <si>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</si>
  <si>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</si>
  <si>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</si>
  <si>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</si>
  <si>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</si>
  <si>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</si>
  <si>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</si>
  <si>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</si>
  <si>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</si>
  <si>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</si>
  <si>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</si>
  <si>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</si>
  <si>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</si>
  <si>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</si>
  <si>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</si>
  <si>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</si>
  <si>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</si>
  <si>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</si>
  <si>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</si>
  <si>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</si>
  <si>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</si>
  <si>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</si>
  <si>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</si>
  <si>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</si>
  <si>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</si>
  <si>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</si>
  <si>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</si>
  <si>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</si>
  <si>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</si>
  <si>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</si>
  <si>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</si>
  <si>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</si>
  <si>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</si>
  <si>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</si>
  <si>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</si>
  <si>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</si>
  <si>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</si>
  <si>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</si>
  <si>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</si>
  <si>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</si>
  <si>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</si>
  <si>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</si>
  <si>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</si>
  <si>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</si>
  <si>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</si>
  <si>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</si>
  <si>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</si>
  <si>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</si>
  <si>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</si>
  <si>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</si>
  <si>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</si>
  <si>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</si>
  <si>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</si>
  <si>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</si>
  <si>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</si>
  <si>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</si>
  <si>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</si>
  <si>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</si>
  <si>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</si>
  <si>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</si>
  <si>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</si>
  <si>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</si>
  <si>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</si>
  <si>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</si>
  <si>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</si>
  <si>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</si>
  <si>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</si>
  <si>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</si>
  <si>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</si>
  <si>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</si>
  <si>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</si>
  <si>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</si>
  <si>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</si>
  <si>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</si>
  <si>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</si>
  <si>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</si>
  <si>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</si>
  <si>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</si>
  <si>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</si>
  <si>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</si>
  <si>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</si>
  <si>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</si>
  <si>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</si>
  <si>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</si>
  <si>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</si>
  <si>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</si>
  <si>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</si>
  <si>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</si>
  <si>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</si>
  <si>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</si>
  <si>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</si>
  <si>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</si>
  <si>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</si>
  <si>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</si>
  <si>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</si>
  <si>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</si>
  <si>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</si>
  <si>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</si>
  <si>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</si>
  <si>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</si>
  <si>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</si>
  <si>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</si>
  <si>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</si>
  <si>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</si>
  <si>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</si>
  <si>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</si>
  <si>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</si>
  <si>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</si>
  <si>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</si>
  <si>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</si>
  <si>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</si>
  <si>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</si>
  <si>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</si>
  <si>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</si>
  <si>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</si>
  <si>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</si>
  <si>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</si>
  <si>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</si>
  <si>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</si>
  <si>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</si>
  <si>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</si>
  <si>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</si>
  <si>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</si>
  <si>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</si>
  <si>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</si>
  <si>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</si>
  <si>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</si>
  <si>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</si>
  <si>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</si>
  <si>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</si>
  <si>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</si>
  <si>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</si>
  <si>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</si>
  <si>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</si>
  <si>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</si>
  <si>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</si>
  <si>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</si>
  <si>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</si>
  <si>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</si>
  <si>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</si>
  <si>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</si>
  <si>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</si>
  <si>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</si>
  <si>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</si>
  <si>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</si>
  <si>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</si>
  <si>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</si>
  <si>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</si>
  <si>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</si>
  <si>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</si>
  <si>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</si>
  <si>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</si>
  <si>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</si>
  <si>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</si>
  <si>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</si>
  <si>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</si>
  <si>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</si>
  <si>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</si>
  <si>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</si>
  <si>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</si>
  <si>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</si>
  <si>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</si>
  <si>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</si>
  <si>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1. Black Country</t>
  </si>
  <si>
    <t>Nuffield - Rev 13547</t>
  </si>
  <si>
    <t>Date database created</t>
  </si>
  <si>
    <t>Black Country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</si>
  <si>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</si>
  <si>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</si>
  <si>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</si>
  <si>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</si>
  <si>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</si>
  <si>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</si>
  <si>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</si>
  <si>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</si>
  <si>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</si>
  <si>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</si>
  <si>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</si>
  <si>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</si>
  <si>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</si>
  <si>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</si>
  <si>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</si>
  <si>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</si>
  <si>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</si>
  <si>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</si>
  <si>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automation/Data/Results/Workbooks/LEPs/BC_LEP/BC_LEP_Database.Main.xlsx</t>
  </si>
  <si>
    <t>09 03 2023 10:15:25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</si>
</sst>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22" fontId="0" fillId="0" borderId="0" xfId="0" applyNumberForma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-0.37337526450474945</c:v>
                </c:pt>
                <c:pt idx="2">
                  <c:v>3.3504114333352319</c:v>
                </c:pt>
                <c:pt idx="3">
                  <c:v>0.11266705941843647</c:v>
                </c:pt>
                <c:pt idx="4">
                  <c:v>-0.91907005465536873</c:v>
                </c:pt>
                <c:pt idx="5">
                  <c:v>1.659022200727156</c:v>
                </c:pt>
                <c:pt idx="7">
                  <c:v>-4.6461918152839843</c:v>
                </c:pt>
                <c:pt idx="8">
                  <c:v>1.3439505911660987E-2</c:v>
                </c:pt>
                <c:pt idx="9">
                  <c:v>-4.3794892507492804</c:v>
                </c:pt>
                <c:pt idx="10">
                  <c:v>-2.8612738674501315</c:v>
                </c:pt>
                <c:pt idx="11">
                  <c:v>5.8041699319459683</c:v>
                </c:pt>
                <c:pt idx="12">
                  <c:v>0.43075771892968628</c:v>
                </c:pt>
                <c:pt idx="13">
                  <c:v>1.004398233108228</c:v>
                </c:pt>
                <c:pt idx="14">
                  <c:v>4.317919695720529</c:v>
                </c:pt>
                <c:pt idx="15">
                  <c:v>-2.0137012202789295</c:v>
                </c:pt>
                <c:pt idx="17">
                  <c:v>2.4315646878178221</c:v>
                </c:pt>
                <c:pt idx="18">
                  <c:v>-0.30613985664941223</c:v>
                </c:pt>
                <c:pt idx="19">
                  <c:v>-1.1087550815140457</c:v>
                </c:pt>
                <c:pt idx="20">
                  <c:v>-0.36967947018967662</c:v>
                </c:pt>
                <c:pt idx="22">
                  <c:v>3.1077352720810802</c:v>
                </c:pt>
                <c:pt idx="24">
                  <c:v>-1.7105723243751147</c:v>
                </c:pt>
                <c:pt idx="25">
                  <c:v>1.2745642296062787</c:v>
                </c:pt>
                <c:pt idx="26">
                  <c:v>-2.1280238829763709</c:v>
                </c:pt>
                <c:pt idx="27">
                  <c:v>-1.4328664326009655</c:v>
                </c:pt>
                <c:pt idx="29">
                  <c:v>-2.571150201875505</c:v>
                </c:pt>
                <c:pt idx="30">
                  <c:v>-17.715115116248835</c:v>
                </c:pt>
                <c:pt idx="31">
                  <c:v>-0.87953363884922808</c:v>
                </c:pt>
                <c:pt idx="32">
                  <c:v>-17.766261616063073</c:v>
                </c:pt>
                <c:pt idx="33">
                  <c:v>-11.097776560099105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0.33785827979149197</c:v>
                </c:pt>
                <c:pt idx="2">
                  <c:v>0.82663545718058007</c:v>
                </c:pt>
                <c:pt idx="3">
                  <c:v>0.58235672652706683</c:v>
                </c:pt>
                <c:pt idx="4">
                  <c:v>0.40041978615537044</c:v>
                </c:pt>
                <c:pt idx="5">
                  <c:v>0.69566210813678531</c:v>
                </c:pt>
                <c:pt idx="7">
                  <c:v>-0.18359253748903015</c:v>
                </c:pt>
                <c:pt idx="8">
                  <c:v>2.4028950014032269E-2</c:v>
                </c:pt>
                <c:pt idx="9">
                  <c:v>0.69374342982506665</c:v>
                </c:pt>
                <c:pt idx="10">
                  <c:v>0.56082936389392213</c:v>
                </c:pt>
                <c:pt idx="11">
                  <c:v>0.62192110201610973</c:v>
                </c:pt>
                <c:pt idx="12">
                  <c:v>-0.25148190668479176</c:v>
                </c:pt>
                <c:pt idx="13">
                  <c:v>0.48468443215556878</c:v>
                </c:pt>
                <c:pt idx="14">
                  <c:v>-1.2649425067379205E-2</c:v>
                </c:pt>
                <c:pt idx="15">
                  <c:v>0.37837864603122995</c:v>
                </c:pt>
                <c:pt idx="17">
                  <c:v>1.1564792740077046</c:v>
                </c:pt>
                <c:pt idx="18">
                  <c:v>0.91311881014868312</c:v>
                </c:pt>
                <c:pt idx="19">
                  <c:v>0.13417283261338842</c:v>
                </c:pt>
                <c:pt idx="20">
                  <c:v>0.49954649968431131</c:v>
                </c:pt>
                <c:pt idx="22">
                  <c:v>7.7920169124223726E-2</c:v>
                </c:pt>
                <c:pt idx="24">
                  <c:v>-0.92945995550866023</c:v>
                </c:pt>
                <c:pt idx="25">
                  <c:v>-0.29741418690557575</c:v>
                </c:pt>
                <c:pt idx="26">
                  <c:v>-0.11526556315363257</c:v>
                </c:pt>
                <c:pt idx="27">
                  <c:v>-0.76949802181702776</c:v>
                </c:pt>
                <c:pt idx="29">
                  <c:v>0.41708541045613057</c:v>
                </c:pt>
                <c:pt idx="30">
                  <c:v>-0.53724519762726741</c:v>
                </c:pt>
                <c:pt idx="31">
                  <c:v>-5.8253698205932185</c:v>
                </c:pt>
                <c:pt idx="32">
                  <c:v>0.5742402872390695</c:v>
                </c:pt>
                <c:pt idx="33">
                  <c:v>9.4021859132298324E-2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3.7519999999999949</c:v>
                </c:pt>
                <c:pt idx="1">
                  <c:v>2.9549999999999996</c:v>
                </c:pt>
                <c:pt idx="2">
                  <c:v>3.4950000000000019</c:v>
                </c:pt>
                <c:pt idx="3">
                  <c:v>1.8159999999999972</c:v>
                </c:pt>
                <c:pt idx="4">
                  <c:v>2.237000000000001</c:v>
                </c:pt>
                <c:pt idx="5">
                  <c:v>2.9649999999999994</c:v>
                </c:pt>
                <c:pt idx="6">
                  <c:v>2.134999999999998</c:v>
                </c:pt>
                <c:pt idx="7">
                  <c:v>1.8659999999999966</c:v>
                </c:pt>
                <c:pt idx="8">
                  <c:v>3.2789999999999977</c:v>
                </c:pt>
                <c:pt idx="9">
                  <c:v>2.2860000000000018</c:v>
                </c:pt>
                <c:pt idx="10">
                  <c:v>1.1150000000000004</c:v>
                </c:pt>
                <c:pt idx="11">
                  <c:v>1.1379999999999997</c:v>
                </c:pt>
                <c:pt idx="12">
                  <c:v>1.1599999999999979</c:v>
                </c:pt>
                <c:pt idx="13">
                  <c:v>1.1909999999999987</c:v>
                </c:pt>
                <c:pt idx="14">
                  <c:v>1.2129999999999992</c:v>
                </c:pt>
                <c:pt idx="15">
                  <c:v>1.2120000000000004</c:v>
                </c:pt>
                <c:pt idx="16">
                  <c:v>1.2130000000000012</c:v>
                </c:pt>
                <c:pt idx="17">
                  <c:v>1.2119999999999982</c:v>
                </c:pt>
                <c:pt idx="18">
                  <c:v>1.2119999999999995</c:v>
                </c:pt>
                <c:pt idx="19">
                  <c:v>1.2100000000000029</c:v>
                </c:pt>
                <c:pt idx="20">
                  <c:v>1.2119999999999971</c:v>
                </c:pt>
                <c:pt idx="21">
                  <c:v>1.213000000000001</c:v>
                </c:pt>
                <c:pt idx="22">
                  <c:v>1.2140000000000029</c:v>
                </c:pt>
                <c:pt idx="23">
                  <c:v>1.2150000000000016</c:v>
                </c:pt>
                <c:pt idx="24" formatCode="#,##0.00">
                  <c:v>1.2150000000000003</c:v>
                </c:pt>
                <c:pt idx="25">
                  <c:v>1.214999999999997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5.7999999999999989E-2</c:v>
                </c:pt>
                <c:pt idx="1">
                  <c:v>2.199999999999995E-2</c:v>
                </c:pt>
                <c:pt idx="2">
                  <c:v>0.37600000000000039</c:v>
                </c:pt>
                <c:pt idx="3">
                  <c:v>0</c:v>
                </c:pt>
                <c:pt idx="4">
                  <c:v>1.0000000000000002E-2</c:v>
                </c:pt>
                <c:pt idx="5">
                  <c:v>0.16200000000000025</c:v>
                </c:pt>
                <c:pt idx="6">
                  <c:v>0</c:v>
                </c:pt>
                <c:pt idx="7">
                  <c:v>2.3999999999999942E-2</c:v>
                </c:pt>
                <c:pt idx="8">
                  <c:v>0.23600000000000002</c:v>
                </c:pt>
                <c:pt idx="9">
                  <c:v>0.14499999999999991</c:v>
                </c:pt>
                <c:pt idx="10">
                  <c:v>0.15500000000000022</c:v>
                </c:pt>
                <c:pt idx="11">
                  <c:v>0.14199999999999968</c:v>
                </c:pt>
                <c:pt idx="12">
                  <c:v>0.13600000000000037</c:v>
                </c:pt>
                <c:pt idx="13">
                  <c:v>0.126</c:v>
                </c:pt>
                <c:pt idx="14">
                  <c:v>0.11700000000000006</c:v>
                </c:pt>
                <c:pt idx="15">
                  <c:v>0.10899999999999997</c:v>
                </c:pt>
                <c:pt idx="16">
                  <c:v>0.10200000000000015</c:v>
                </c:pt>
                <c:pt idx="17">
                  <c:v>9.5999999999999808E-2</c:v>
                </c:pt>
                <c:pt idx="18">
                  <c:v>9.0999999999999928E-2</c:v>
                </c:pt>
                <c:pt idx="19">
                  <c:v>8.5999999999999993E-2</c:v>
                </c:pt>
                <c:pt idx="20">
                  <c:v>8.0999999999999767E-2</c:v>
                </c:pt>
                <c:pt idx="21">
                  <c:v>7.7000000000000124E-2</c:v>
                </c:pt>
                <c:pt idx="22">
                  <c:v>7.3000000000000093E-2</c:v>
                </c:pt>
                <c:pt idx="23">
                  <c:v>6.9000000000000117E-2</c:v>
                </c:pt>
                <c:pt idx="24" formatCode="#,##0.00">
                  <c:v>6.5999999999999989E-2</c:v>
                </c:pt>
                <c:pt idx="25">
                  <c:v>6.2999999999999945E-2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5.7300000000000155</c:v>
                </c:pt>
                <c:pt idx="1">
                  <c:v>5.0710000000000006</c:v>
                </c:pt>
                <c:pt idx="2">
                  <c:v>5.1229999999999993</c:v>
                </c:pt>
                <c:pt idx="3">
                  <c:v>5.0430000000000064</c:v>
                </c:pt>
                <c:pt idx="4">
                  <c:v>4.8650000000000029</c:v>
                </c:pt>
                <c:pt idx="5">
                  <c:v>5.225000000000005</c:v>
                </c:pt>
                <c:pt idx="6">
                  <c:v>5.6549999999999923</c:v>
                </c:pt>
                <c:pt idx="7">
                  <c:v>5.4660000000000153</c:v>
                </c:pt>
                <c:pt idx="8">
                  <c:v>2.0090000000000008</c:v>
                </c:pt>
                <c:pt idx="9">
                  <c:v>1.7090000000000003</c:v>
                </c:pt>
                <c:pt idx="10">
                  <c:v>1.9709999999999988</c:v>
                </c:pt>
                <c:pt idx="11">
                  <c:v>1.9319999999999993</c:v>
                </c:pt>
                <c:pt idx="12">
                  <c:v>1.8809999999999987</c:v>
                </c:pt>
                <c:pt idx="13">
                  <c:v>1.8669999999999993</c:v>
                </c:pt>
                <c:pt idx="14">
                  <c:v>1.860999999999998</c:v>
                </c:pt>
                <c:pt idx="15">
                  <c:v>1.8559999999999983</c:v>
                </c:pt>
                <c:pt idx="16">
                  <c:v>1.8499999999999959</c:v>
                </c:pt>
                <c:pt idx="17">
                  <c:v>1.8449999999999964</c:v>
                </c:pt>
                <c:pt idx="18">
                  <c:v>1.8389999999999975</c:v>
                </c:pt>
                <c:pt idx="19">
                  <c:v>1.8349999999999949</c:v>
                </c:pt>
                <c:pt idx="20">
                  <c:v>1.8310000000000013</c:v>
                </c:pt>
                <c:pt idx="21">
                  <c:v>1.828000000000003</c:v>
                </c:pt>
                <c:pt idx="22">
                  <c:v>1.826000000000001</c:v>
                </c:pt>
                <c:pt idx="23">
                  <c:v>1.8229999999999993</c:v>
                </c:pt>
                <c:pt idx="24" formatCode="#,##0.00">
                  <c:v>1.8199999999999996</c:v>
                </c:pt>
                <c:pt idx="25">
                  <c:v>1.8180000000000041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4.1119999999999974</c:v>
                </c:pt>
                <c:pt idx="1">
                  <c:v>3.8409999999999953</c:v>
                </c:pt>
                <c:pt idx="2">
                  <c:v>3.6850000000000072</c:v>
                </c:pt>
                <c:pt idx="3">
                  <c:v>2.9519999999999964</c:v>
                </c:pt>
                <c:pt idx="4">
                  <c:v>4.0239999999999956</c:v>
                </c:pt>
                <c:pt idx="5">
                  <c:v>4.3319999999999785</c:v>
                </c:pt>
                <c:pt idx="6">
                  <c:v>3.6979999999999982</c:v>
                </c:pt>
                <c:pt idx="7">
                  <c:v>4.2409999999999961</c:v>
                </c:pt>
                <c:pt idx="8">
                  <c:v>4.3959999999999928</c:v>
                </c:pt>
                <c:pt idx="9">
                  <c:v>4.4060000000000006</c:v>
                </c:pt>
                <c:pt idx="10">
                  <c:v>3.8029999999999959</c:v>
                </c:pt>
                <c:pt idx="11">
                  <c:v>3.6980000000000031</c:v>
                </c:pt>
                <c:pt idx="12">
                  <c:v>3.6619999999999968</c:v>
                </c:pt>
                <c:pt idx="13">
                  <c:v>3.6900000000000115</c:v>
                </c:pt>
                <c:pt idx="14">
                  <c:v>3.8350000000000071</c:v>
                </c:pt>
                <c:pt idx="15">
                  <c:v>3.9129999999999989</c:v>
                </c:pt>
                <c:pt idx="16">
                  <c:v>3.9670000000000063</c:v>
                </c:pt>
                <c:pt idx="17">
                  <c:v>4.0009999999999959</c:v>
                </c:pt>
                <c:pt idx="18">
                  <c:v>4.0210000000000097</c:v>
                </c:pt>
                <c:pt idx="19">
                  <c:v>4.033000000000019</c:v>
                </c:pt>
                <c:pt idx="20">
                  <c:v>4.0399999999999956</c:v>
                </c:pt>
                <c:pt idx="21">
                  <c:v>4.0449999999999982</c:v>
                </c:pt>
                <c:pt idx="22">
                  <c:v>4.0470000000000033</c:v>
                </c:pt>
                <c:pt idx="23">
                  <c:v>4.0479999999999965</c:v>
                </c:pt>
                <c:pt idx="24" formatCode="#,##0.00">
                  <c:v>4.049000000000003</c:v>
                </c:pt>
                <c:pt idx="25">
                  <c:v>4.0479999999999894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6.2319999999999949</c:v>
                </c:pt>
                <c:pt idx="1">
                  <c:v>6.305000000000013</c:v>
                </c:pt>
                <c:pt idx="2">
                  <c:v>6.2099999999999893</c:v>
                </c:pt>
                <c:pt idx="3">
                  <c:v>6.3400000000000167</c:v>
                </c:pt>
                <c:pt idx="4">
                  <c:v>7.092000000000005</c:v>
                </c:pt>
                <c:pt idx="5">
                  <c:v>7.0119999999999845</c:v>
                </c:pt>
                <c:pt idx="6">
                  <c:v>7.2139999999999747</c:v>
                </c:pt>
                <c:pt idx="7">
                  <c:v>6.3239999999999794</c:v>
                </c:pt>
                <c:pt idx="8">
                  <c:v>6.2050000000000045</c:v>
                </c:pt>
                <c:pt idx="9">
                  <c:v>6.3419999999999961</c:v>
                </c:pt>
                <c:pt idx="10">
                  <c:v>6.2970000000000033</c:v>
                </c:pt>
                <c:pt idx="11">
                  <c:v>6.3039999999999976</c:v>
                </c:pt>
                <c:pt idx="12">
                  <c:v>6.3139999999999761</c:v>
                </c:pt>
                <c:pt idx="13">
                  <c:v>6.353999999999993</c:v>
                </c:pt>
                <c:pt idx="14">
                  <c:v>6.356000000000007</c:v>
                </c:pt>
                <c:pt idx="15">
                  <c:v>6.3359999999999985</c:v>
                </c:pt>
                <c:pt idx="16">
                  <c:v>6.3270000000000071</c:v>
                </c:pt>
                <c:pt idx="17">
                  <c:v>6.3149999999999995</c:v>
                </c:pt>
                <c:pt idx="18">
                  <c:v>6.3009999999999824</c:v>
                </c:pt>
                <c:pt idx="19">
                  <c:v>6.284999999999985</c:v>
                </c:pt>
                <c:pt idx="20">
                  <c:v>6.2710000000000186</c:v>
                </c:pt>
                <c:pt idx="21">
                  <c:v>6.2559999999999842</c:v>
                </c:pt>
                <c:pt idx="22">
                  <c:v>6.2400000000000073</c:v>
                </c:pt>
                <c:pt idx="23">
                  <c:v>6.2239999999999966</c:v>
                </c:pt>
                <c:pt idx="24" formatCode="#,##0.00">
                  <c:v>6.2070000000000025</c:v>
                </c:pt>
                <c:pt idx="25">
                  <c:v>6.1889999999999805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8.2020000000000088</c:v>
                </c:pt>
                <c:pt idx="1">
                  <c:v>10.241999999999987</c:v>
                </c:pt>
                <c:pt idx="2">
                  <c:v>8.9029999999999987</c:v>
                </c:pt>
                <c:pt idx="3">
                  <c:v>7.9330000000000034</c:v>
                </c:pt>
                <c:pt idx="4">
                  <c:v>7.841000000000002</c:v>
                </c:pt>
                <c:pt idx="5">
                  <c:v>6.9600000000000088</c:v>
                </c:pt>
                <c:pt idx="6">
                  <c:v>7.6329999999999911</c:v>
                </c:pt>
                <c:pt idx="7">
                  <c:v>7.886000000000009</c:v>
                </c:pt>
                <c:pt idx="8">
                  <c:v>8.3750000000000338</c:v>
                </c:pt>
                <c:pt idx="9">
                  <c:v>8.166999999999998</c:v>
                </c:pt>
                <c:pt idx="10">
                  <c:v>7.4149999999999814</c:v>
                </c:pt>
                <c:pt idx="11">
                  <c:v>7.7769999999999984</c:v>
                </c:pt>
                <c:pt idx="12">
                  <c:v>7.7420000000000035</c:v>
                </c:pt>
                <c:pt idx="13">
                  <c:v>7.8459999999999859</c:v>
                </c:pt>
                <c:pt idx="14">
                  <c:v>7.8789999999999889</c:v>
                </c:pt>
                <c:pt idx="15">
                  <c:v>7.8680000000000101</c:v>
                </c:pt>
                <c:pt idx="16">
                  <c:v>7.7870000000000106</c:v>
                </c:pt>
                <c:pt idx="17">
                  <c:v>7.7049999999999912</c:v>
                </c:pt>
                <c:pt idx="18">
                  <c:v>7.6230000000000153</c:v>
                </c:pt>
                <c:pt idx="19">
                  <c:v>7.5419999999999936</c:v>
                </c:pt>
                <c:pt idx="20">
                  <c:v>7.4719999999999809</c:v>
                </c:pt>
                <c:pt idx="21">
                  <c:v>7.3980000000000015</c:v>
                </c:pt>
                <c:pt idx="22">
                  <c:v>7.3219999999999823</c:v>
                </c:pt>
                <c:pt idx="23">
                  <c:v>7.2450000000000063</c:v>
                </c:pt>
                <c:pt idx="24" formatCode="#,##0.00">
                  <c:v>7.1680000000000055</c:v>
                </c:pt>
                <c:pt idx="25">
                  <c:v>7.0909999999999993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54.814999999999934</c:v>
                </c:pt>
                <c:pt idx="1">
                  <c:v>53.714999999999982</c:v>
                </c:pt>
                <c:pt idx="2">
                  <c:v>54.60600000000013</c:v>
                </c:pt>
                <c:pt idx="3">
                  <c:v>55.423999999999943</c:v>
                </c:pt>
                <c:pt idx="4">
                  <c:v>55.784999999999698</c:v>
                </c:pt>
                <c:pt idx="5">
                  <c:v>54.686999999999863</c:v>
                </c:pt>
                <c:pt idx="6">
                  <c:v>50.178999999999732</c:v>
                </c:pt>
                <c:pt idx="7">
                  <c:v>51.472000000000129</c:v>
                </c:pt>
                <c:pt idx="8">
                  <c:v>52.64</c:v>
                </c:pt>
                <c:pt idx="9">
                  <c:v>54.775999999999925</c:v>
                </c:pt>
                <c:pt idx="10">
                  <c:v>50.167000000000066</c:v>
                </c:pt>
                <c:pt idx="11">
                  <c:v>50.920999999999921</c:v>
                </c:pt>
                <c:pt idx="12">
                  <c:v>50.062000000000126</c:v>
                </c:pt>
                <c:pt idx="13">
                  <c:v>49.264999999999795</c:v>
                </c:pt>
                <c:pt idx="14">
                  <c:v>48.851999999999954</c:v>
                </c:pt>
                <c:pt idx="15">
                  <c:v>48.283000000000023</c:v>
                </c:pt>
                <c:pt idx="16">
                  <c:v>47.716000000000008</c:v>
                </c:pt>
                <c:pt idx="17">
                  <c:v>47.123999999999953</c:v>
                </c:pt>
                <c:pt idx="18">
                  <c:v>46.562999999999903</c:v>
                </c:pt>
                <c:pt idx="19">
                  <c:v>46.036000000000136</c:v>
                </c:pt>
                <c:pt idx="20">
                  <c:v>45.585999999999906</c:v>
                </c:pt>
                <c:pt idx="21">
                  <c:v>45.132999999999882</c:v>
                </c:pt>
                <c:pt idx="22">
                  <c:v>44.710999999999906</c:v>
                </c:pt>
                <c:pt idx="23">
                  <c:v>44.315999999999946</c:v>
                </c:pt>
                <c:pt idx="24" formatCode="#,##0.00">
                  <c:v>43.947999999999837</c:v>
                </c:pt>
                <c:pt idx="25">
                  <c:v>43.609999999999978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90.263000000000005</c:v>
                </c:pt>
                <c:pt idx="1">
                  <c:v>87.678999999999959</c:v>
                </c:pt>
                <c:pt idx="2">
                  <c:v>89.740999999999843</c:v>
                </c:pt>
                <c:pt idx="3">
                  <c:v>91.666999999999916</c:v>
                </c:pt>
                <c:pt idx="4">
                  <c:v>92.72600000000017</c:v>
                </c:pt>
                <c:pt idx="5">
                  <c:v>92.065999999999903</c:v>
                </c:pt>
                <c:pt idx="6">
                  <c:v>90.358999999999952</c:v>
                </c:pt>
                <c:pt idx="7">
                  <c:v>91.593999999999909</c:v>
                </c:pt>
                <c:pt idx="8">
                  <c:v>90.236000000000004</c:v>
                </c:pt>
                <c:pt idx="9">
                  <c:v>88.56</c:v>
                </c:pt>
                <c:pt idx="10">
                  <c:v>87.074000000000183</c:v>
                </c:pt>
                <c:pt idx="11">
                  <c:v>87.469000000000094</c:v>
                </c:pt>
                <c:pt idx="12">
                  <c:v>87.57199999999996</c:v>
                </c:pt>
                <c:pt idx="13">
                  <c:v>87.586000000000254</c:v>
                </c:pt>
                <c:pt idx="14">
                  <c:v>87.716999999999985</c:v>
                </c:pt>
                <c:pt idx="15">
                  <c:v>87.879000000000161</c:v>
                </c:pt>
                <c:pt idx="16">
                  <c:v>87.973999999999819</c:v>
                </c:pt>
                <c:pt idx="17">
                  <c:v>88.053000000000054</c:v>
                </c:pt>
                <c:pt idx="18">
                  <c:v>88.124999999999716</c:v>
                </c:pt>
                <c:pt idx="19">
                  <c:v>88.194000000000216</c:v>
                </c:pt>
                <c:pt idx="20">
                  <c:v>88.283000000000072</c:v>
                </c:pt>
                <c:pt idx="21">
                  <c:v>88.380999999999958</c:v>
                </c:pt>
                <c:pt idx="22">
                  <c:v>88.480000000000089</c:v>
                </c:pt>
                <c:pt idx="23">
                  <c:v>88.603999999999843</c:v>
                </c:pt>
                <c:pt idx="24" formatCode="#,##0.00">
                  <c:v>88.722999999999985</c:v>
                </c:pt>
                <c:pt idx="25">
                  <c:v>88.842999999999677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22.520000000000007</c:v>
                </c:pt>
                <c:pt idx="1">
                  <c:v>21.381000000000057</c:v>
                </c:pt>
                <c:pt idx="2">
                  <c:v>27.172000000000054</c:v>
                </c:pt>
                <c:pt idx="3">
                  <c:v>23.774999999999917</c:v>
                </c:pt>
                <c:pt idx="4">
                  <c:v>25.930000000000003</c:v>
                </c:pt>
                <c:pt idx="5">
                  <c:v>33.456999999999994</c:v>
                </c:pt>
                <c:pt idx="6">
                  <c:v>31.619000000000135</c:v>
                </c:pt>
                <c:pt idx="7">
                  <c:v>30.200999999999915</c:v>
                </c:pt>
                <c:pt idx="8">
                  <c:v>32.647000000000006</c:v>
                </c:pt>
                <c:pt idx="9">
                  <c:v>34.173000000000059</c:v>
                </c:pt>
                <c:pt idx="10">
                  <c:v>32.947999999999944</c:v>
                </c:pt>
                <c:pt idx="11">
                  <c:v>35.003000000000036</c:v>
                </c:pt>
                <c:pt idx="12">
                  <c:v>35.118000000000016</c:v>
                </c:pt>
                <c:pt idx="13">
                  <c:v>35.410999999999959</c:v>
                </c:pt>
                <c:pt idx="14">
                  <c:v>35.739999999999817</c:v>
                </c:pt>
                <c:pt idx="15">
                  <c:v>35.964000000000077</c:v>
                </c:pt>
                <c:pt idx="16">
                  <c:v>36.150000000000048</c:v>
                </c:pt>
                <c:pt idx="17">
                  <c:v>36.331000000000053</c:v>
                </c:pt>
                <c:pt idx="18">
                  <c:v>36.508000000000052</c:v>
                </c:pt>
                <c:pt idx="19">
                  <c:v>36.686000000000057</c:v>
                </c:pt>
                <c:pt idx="20">
                  <c:v>36.874000000000045</c:v>
                </c:pt>
                <c:pt idx="21">
                  <c:v>37.052999999999955</c:v>
                </c:pt>
                <c:pt idx="22">
                  <c:v>37.232000000000085</c:v>
                </c:pt>
                <c:pt idx="23">
                  <c:v>37.408000000000008</c:v>
                </c:pt>
                <c:pt idx="24" formatCode="#,##0.00">
                  <c:v>37.583999999999968</c:v>
                </c:pt>
                <c:pt idx="25">
                  <c:v>37.761000000000067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19.56900000000001</c:v>
                </c:pt>
                <c:pt idx="1">
                  <c:v>19.123000000000005</c:v>
                </c:pt>
                <c:pt idx="2">
                  <c:v>19.498000000000033</c:v>
                </c:pt>
                <c:pt idx="3">
                  <c:v>18.954000000000022</c:v>
                </c:pt>
                <c:pt idx="4">
                  <c:v>21.942000000000007</c:v>
                </c:pt>
                <c:pt idx="5">
                  <c:v>21.905999999999963</c:v>
                </c:pt>
                <c:pt idx="6">
                  <c:v>22.156999999999986</c:v>
                </c:pt>
                <c:pt idx="7">
                  <c:v>24.926000000000013</c:v>
                </c:pt>
                <c:pt idx="8">
                  <c:v>22.942000000000025</c:v>
                </c:pt>
                <c:pt idx="9">
                  <c:v>23.974999999999959</c:v>
                </c:pt>
                <c:pt idx="10">
                  <c:v>24.702000000000027</c:v>
                </c:pt>
                <c:pt idx="11">
                  <c:v>23.941999999999975</c:v>
                </c:pt>
                <c:pt idx="12">
                  <c:v>24.889999999999944</c:v>
                </c:pt>
                <c:pt idx="13">
                  <c:v>25.361999999999977</c:v>
                </c:pt>
                <c:pt idx="14">
                  <c:v>25.704000000000018</c:v>
                </c:pt>
                <c:pt idx="15">
                  <c:v>26.167000000000062</c:v>
                </c:pt>
                <c:pt idx="16">
                  <c:v>26.576999999999945</c:v>
                </c:pt>
                <c:pt idx="17">
                  <c:v>26.949000000000005</c:v>
                </c:pt>
                <c:pt idx="18">
                  <c:v>27.29599999999996</c:v>
                </c:pt>
                <c:pt idx="19">
                  <c:v>27.626000000000055</c:v>
                </c:pt>
                <c:pt idx="20">
                  <c:v>27.946999999999996</c:v>
                </c:pt>
                <c:pt idx="21">
                  <c:v>28.258000000000063</c:v>
                </c:pt>
                <c:pt idx="22">
                  <c:v>28.554999999999993</c:v>
                </c:pt>
                <c:pt idx="23">
                  <c:v>28.835999999999967</c:v>
                </c:pt>
                <c:pt idx="24" formatCode="#,##0.00">
                  <c:v>29.101000000000113</c:v>
                </c:pt>
                <c:pt idx="25">
                  <c:v>29.351999999999972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2.1739999999999959</c:v>
                </c:pt>
                <c:pt idx="1">
                  <c:v>1.526999999999999</c:v>
                </c:pt>
                <c:pt idx="2">
                  <c:v>1.5420000000000011</c:v>
                </c:pt>
                <c:pt idx="3">
                  <c:v>1.586000000000001</c:v>
                </c:pt>
                <c:pt idx="4">
                  <c:v>2.11</c:v>
                </c:pt>
                <c:pt idx="5">
                  <c:v>1.7079999999999989</c:v>
                </c:pt>
                <c:pt idx="6">
                  <c:v>1.3409999999999966</c:v>
                </c:pt>
                <c:pt idx="7">
                  <c:v>1.5949999999999995</c:v>
                </c:pt>
                <c:pt idx="8">
                  <c:v>1.4139999999999981</c:v>
                </c:pt>
                <c:pt idx="9">
                  <c:v>1.8249999999999982</c:v>
                </c:pt>
                <c:pt idx="10">
                  <c:v>2.1099999999999994</c:v>
                </c:pt>
                <c:pt idx="11">
                  <c:v>2.089000000000004</c:v>
                </c:pt>
                <c:pt idx="12">
                  <c:v>2.0829999999999962</c:v>
                </c:pt>
                <c:pt idx="13">
                  <c:v>2.0760000000000014</c:v>
                </c:pt>
                <c:pt idx="14">
                  <c:v>2.0720000000000014</c:v>
                </c:pt>
                <c:pt idx="15">
                  <c:v>2.0780000000000038</c:v>
                </c:pt>
                <c:pt idx="16">
                  <c:v>2.081</c:v>
                </c:pt>
                <c:pt idx="17">
                  <c:v>2.0840000000000001</c:v>
                </c:pt>
                <c:pt idx="18">
                  <c:v>2.0870000000000024</c:v>
                </c:pt>
                <c:pt idx="19">
                  <c:v>2.0899999999999981</c:v>
                </c:pt>
                <c:pt idx="20">
                  <c:v>2.0930000000000013</c:v>
                </c:pt>
                <c:pt idx="21">
                  <c:v>2.0950000000000029</c:v>
                </c:pt>
                <c:pt idx="22">
                  <c:v>2.0980000000000043</c:v>
                </c:pt>
                <c:pt idx="23">
                  <c:v>2.101</c:v>
                </c:pt>
                <c:pt idx="24" formatCode="#,##0.00">
                  <c:v>2.1039999999999992</c:v>
                </c:pt>
                <c:pt idx="25">
                  <c:v>2.105999999999995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7.0789999999999971</c:v>
                </c:pt>
                <c:pt idx="1">
                  <c:v>5.9140000000000024</c:v>
                </c:pt>
                <c:pt idx="2">
                  <c:v>6.4789999999999983</c:v>
                </c:pt>
                <c:pt idx="3">
                  <c:v>6.3760000000000039</c:v>
                </c:pt>
                <c:pt idx="4">
                  <c:v>5.8740000000000068</c:v>
                </c:pt>
                <c:pt idx="5">
                  <c:v>6.5380000000000287</c:v>
                </c:pt>
                <c:pt idx="6">
                  <c:v>7.5250000000000181</c:v>
                </c:pt>
                <c:pt idx="7">
                  <c:v>7.0699999999999896</c:v>
                </c:pt>
                <c:pt idx="8">
                  <c:v>7.0200000000000227</c:v>
                </c:pt>
                <c:pt idx="9">
                  <c:v>6.394000000000017</c:v>
                </c:pt>
                <c:pt idx="10">
                  <c:v>6.8729999999999887</c:v>
                </c:pt>
                <c:pt idx="11">
                  <c:v>6.9720000000000208</c:v>
                </c:pt>
                <c:pt idx="12">
                  <c:v>6.9980000000000002</c:v>
                </c:pt>
                <c:pt idx="13">
                  <c:v>7.0639999999999921</c:v>
                </c:pt>
                <c:pt idx="14">
                  <c:v>7.1130000000000271</c:v>
                </c:pt>
                <c:pt idx="15">
                  <c:v>7.1499999999999702</c:v>
                </c:pt>
                <c:pt idx="16">
                  <c:v>7.1830000000000007</c:v>
                </c:pt>
                <c:pt idx="17">
                  <c:v>7.2099999999999804</c:v>
                </c:pt>
                <c:pt idx="18">
                  <c:v>7.2339999999999813</c:v>
                </c:pt>
                <c:pt idx="19">
                  <c:v>7.258000000000016</c:v>
                </c:pt>
                <c:pt idx="20">
                  <c:v>7.2839999999999945</c:v>
                </c:pt>
                <c:pt idx="21">
                  <c:v>7.3080000000000087</c:v>
                </c:pt>
                <c:pt idx="22">
                  <c:v>7.3309999999999649</c:v>
                </c:pt>
                <c:pt idx="23">
                  <c:v>7.352999999999998</c:v>
                </c:pt>
                <c:pt idx="24" formatCode="#,##0.00">
                  <c:v>7.3720000000000203</c:v>
                </c:pt>
                <c:pt idx="25">
                  <c:v>7.3899999999999935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12.460000000000008</c:v>
                </c:pt>
                <c:pt idx="1">
                  <c:v>9.9720000000000102</c:v>
                </c:pt>
                <c:pt idx="2">
                  <c:v>8.5779999999999959</c:v>
                </c:pt>
                <c:pt idx="3">
                  <c:v>10.250000000000009</c:v>
                </c:pt>
                <c:pt idx="4">
                  <c:v>9.2219999999999747</c:v>
                </c:pt>
                <c:pt idx="5">
                  <c:v>10.219000000000021</c:v>
                </c:pt>
                <c:pt idx="6">
                  <c:v>8.9610000000000305</c:v>
                </c:pt>
                <c:pt idx="7">
                  <c:v>9.4130000000000003</c:v>
                </c:pt>
                <c:pt idx="8">
                  <c:v>10.077999999999998</c:v>
                </c:pt>
                <c:pt idx="9">
                  <c:v>10.284000000000029</c:v>
                </c:pt>
                <c:pt idx="10">
                  <c:v>10.441000000000011</c:v>
                </c:pt>
                <c:pt idx="11">
                  <c:v>10.659999999999984</c:v>
                </c:pt>
                <c:pt idx="12">
                  <c:v>10.619999999999989</c:v>
                </c:pt>
                <c:pt idx="13">
                  <c:v>10.572000000000012</c:v>
                </c:pt>
                <c:pt idx="14">
                  <c:v>10.502000000000006</c:v>
                </c:pt>
                <c:pt idx="15">
                  <c:v>10.453999999999997</c:v>
                </c:pt>
                <c:pt idx="16">
                  <c:v>10.419000000000006</c:v>
                </c:pt>
                <c:pt idx="17">
                  <c:v>10.382</c:v>
                </c:pt>
                <c:pt idx="18">
                  <c:v>10.34499999999996</c:v>
                </c:pt>
                <c:pt idx="19">
                  <c:v>10.306999999999986</c:v>
                </c:pt>
                <c:pt idx="20">
                  <c:v>10.270999999999997</c:v>
                </c:pt>
                <c:pt idx="21">
                  <c:v>10.227000000000009</c:v>
                </c:pt>
                <c:pt idx="22">
                  <c:v>10.183999999999989</c:v>
                </c:pt>
                <c:pt idx="23">
                  <c:v>10.140000000000008</c:v>
                </c:pt>
                <c:pt idx="24" formatCode="#,##0.00">
                  <c:v>10.096999999999989</c:v>
                </c:pt>
                <c:pt idx="25">
                  <c:v>10.054000000000002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7.2259999999999875</c:v>
                </c:pt>
                <c:pt idx="1">
                  <c:v>6.3920000000000083</c:v>
                </c:pt>
                <c:pt idx="2">
                  <c:v>6.6840000000000011</c:v>
                </c:pt>
                <c:pt idx="3">
                  <c:v>7.4509999999999952</c:v>
                </c:pt>
                <c:pt idx="4">
                  <c:v>8.2699999999999942</c:v>
                </c:pt>
                <c:pt idx="5">
                  <c:v>7.7230000000000008</c:v>
                </c:pt>
                <c:pt idx="6">
                  <c:v>8.453000000000003</c:v>
                </c:pt>
                <c:pt idx="7">
                  <c:v>10.059999999999992</c:v>
                </c:pt>
                <c:pt idx="8">
                  <c:v>10.287999999999993</c:v>
                </c:pt>
                <c:pt idx="9">
                  <c:v>10.185000000000009</c:v>
                </c:pt>
                <c:pt idx="10">
                  <c:v>10.240000000000016</c:v>
                </c:pt>
                <c:pt idx="11">
                  <c:v>10.218999999999994</c:v>
                </c:pt>
                <c:pt idx="12">
                  <c:v>10.178000000000024</c:v>
                </c:pt>
                <c:pt idx="13">
                  <c:v>10.184999999999993</c:v>
                </c:pt>
                <c:pt idx="14">
                  <c:v>10.24600000000002</c:v>
                </c:pt>
                <c:pt idx="15">
                  <c:v>10.307999999999979</c:v>
                </c:pt>
                <c:pt idx="16">
                  <c:v>10.38799999999998</c:v>
                </c:pt>
                <c:pt idx="17">
                  <c:v>10.477000000000004</c:v>
                </c:pt>
                <c:pt idx="18">
                  <c:v>10.569999999999999</c:v>
                </c:pt>
                <c:pt idx="19">
                  <c:v>10.666000000000002</c:v>
                </c:pt>
                <c:pt idx="20">
                  <c:v>10.761999999999995</c:v>
                </c:pt>
                <c:pt idx="21">
                  <c:v>10.858000000000024</c:v>
                </c:pt>
                <c:pt idx="22">
                  <c:v>10.955000000000005</c:v>
                </c:pt>
                <c:pt idx="23">
                  <c:v>11.050999999999991</c:v>
                </c:pt>
                <c:pt idx="24" formatCode="#,##0.00">
                  <c:v>11.144999999999996</c:v>
                </c:pt>
                <c:pt idx="25">
                  <c:v>11.238000000000005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17.408999999999999</c:v>
                </c:pt>
                <c:pt idx="1">
                  <c:v>22.55299999999998</c:v>
                </c:pt>
                <c:pt idx="2">
                  <c:v>19.888999999999907</c:v>
                </c:pt>
                <c:pt idx="3">
                  <c:v>21.208000000000037</c:v>
                </c:pt>
                <c:pt idx="4">
                  <c:v>23.673999999999968</c:v>
                </c:pt>
                <c:pt idx="5">
                  <c:v>28.591999999999977</c:v>
                </c:pt>
                <c:pt idx="6">
                  <c:v>24.307000000000031</c:v>
                </c:pt>
                <c:pt idx="7">
                  <c:v>23.628999999999962</c:v>
                </c:pt>
                <c:pt idx="8">
                  <c:v>26.37699999999997</c:v>
                </c:pt>
                <c:pt idx="9">
                  <c:v>24.793999999999993</c:v>
                </c:pt>
                <c:pt idx="10">
                  <c:v>24.728999999999964</c:v>
                </c:pt>
                <c:pt idx="11">
                  <c:v>25.012000000000008</c:v>
                </c:pt>
                <c:pt idx="12">
                  <c:v>25.118000000000016</c:v>
                </c:pt>
                <c:pt idx="13">
                  <c:v>25.260000000000019</c:v>
                </c:pt>
                <c:pt idx="14">
                  <c:v>25.424999999999958</c:v>
                </c:pt>
                <c:pt idx="15">
                  <c:v>25.556000000000012</c:v>
                </c:pt>
                <c:pt idx="16">
                  <c:v>25.67599999999997</c:v>
                </c:pt>
                <c:pt idx="17">
                  <c:v>25.800000000000011</c:v>
                </c:pt>
                <c:pt idx="18">
                  <c:v>25.92899999999997</c:v>
                </c:pt>
                <c:pt idx="19">
                  <c:v>26.062000000000033</c:v>
                </c:pt>
                <c:pt idx="20">
                  <c:v>26.204000000000018</c:v>
                </c:pt>
                <c:pt idx="21">
                  <c:v>26.341999999999945</c:v>
                </c:pt>
                <c:pt idx="22">
                  <c:v>26.480999999999941</c:v>
                </c:pt>
                <c:pt idx="23">
                  <c:v>26.618999999999996</c:v>
                </c:pt>
                <c:pt idx="24" formatCode="#,##0.00">
                  <c:v>26.755999999999926</c:v>
                </c:pt>
                <c:pt idx="25">
                  <c:v>26.893000000000079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38.409999999999947</c:v>
                </c:pt>
                <c:pt idx="1">
                  <c:v>38.50600000000005</c:v>
                </c:pt>
                <c:pt idx="2">
                  <c:v>41.116999999999983</c:v>
                </c:pt>
                <c:pt idx="3">
                  <c:v>37.309999999999974</c:v>
                </c:pt>
                <c:pt idx="4">
                  <c:v>34.943000000000076</c:v>
                </c:pt>
                <c:pt idx="5">
                  <c:v>40.241000000000078</c:v>
                </c:pt>
                <c:pt idx="6">
                  <c:v>45.658999999999949</c:v>
                </c:pt>
                <c:pt idx="7">
                  <c:v>45.498000000000012</c:v>
                </c:pt>
                <c:pt idx="8">
                  <c:v>39.043999999999997</c:v>
                </c:pt>
                <c:pt idx="9">
                  <c:v>34.294000000000032</c:v>
                </c:pt>
                <c:pt idx="10">
                  <c:v>32.168000000000021</c:v>
                </c:pt>
                <c:pt idx="11">
                  <c:v>32.616999999999962</c:v>
                </c:pt>
                <c:pt idx="12">
                  <c:v>33.142999999999958</c:v>
                </c:pt>
                <c:pt idx="13">
                  <c:v>33.471000000000082</c:v>
                </c:pt>
                <c:pt idx="14">
                  <c:v>33.689000000000007</c:v>
                </c:pt>
                <c:pt idx="15">
                  <c:v>33.855000000000089</c:v>
                </c:pt>
                <c:pt idx="16">
                  <c:v>34.043999999999954</c:v>
                </c:pt>
                <c:pt idx="17">
                  <c:v>34.229000000000056</c:v>
                </c:pt>
                <c:pt idx="18">
                  <c:v>34.412000000000027</c:v>
                </c:pt>
                <c:pt idx="19">
                  <c:v>34.594999999999978</c:v>
                </c:pt>
                <c:pt idx="20">
                  <c:v>34.783000000000008</c:v>
                </c:pt>
                <c:pt idx="21">
                  <c:v>34.963000000000008</c:v>
                </c:pt>
                <c:pt idx="22">
                  <c:v>35.142999999999944</c:v>
                </c:pt>
                <c:pt idx="23">
                  <c:v>35.322999999999993</c:v>
                </c:pt>
                <c:pt idx="24" formatCode="#,##0.00">
                  <c:v>35.502999999999943</c:v>
                </c:pt>
                <c:pt idx="25">
                  <c:v>35.682999999999957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11.415999999999986</c:v>
                </c:pt>
                <c:pt idx="1">
                  <c:v>9.5530000000000097</c:v>
                </c:pt>
                <c:pt idx="2">
                  <c:v>10.447999999999988</c:v>
                </c:pt>
                <c:pt idx="3">
                  <c:v>10.337999999999985</c:v>
                </c:pt>
                <c:pt idx="4">
                  <c:v>9.8310000000000048</c:v>
                </c:pt>
                <c:pt idx="5">
                  <c:v>11.902000000000012</c:v>
                </c:pt>
                <c:pt idx="6">
                  <c:v>10.432000000000016</c:v>
                </c:pt>
                <c:pt idx="7">
                  <c:v>10.223000000000013</c:v>
                </c:pt>
                <c:pt idx="8">
                  <c:v>9.6130000000000067</c:v>
                </c:pt>
                <c:pt idx="9">
                  <c:v>12.170000000000012</c:v>
                </c:pt>
                <c:pt idx="10">
                  <c:v>11.910000000000011</c:v>
                </c:pt>
                <c:pt idx="11">
                  <c:v>11.759000000000004</c:v>
                </c:pt>
                <c:pt idx="12">
                  <c:v>11.238999999999972</c:v>
                </c:pt>
                <c:pt idx="13">
                  <c:v>11.090000000000012</c:v>
                </c:pt>
                <c:pt idx="14">
                  <c:v>11.218999999999987</c:v>
                </c:pt>
                <c:pt idx="15">
                  <c:v>11.284999999999984</c:v>
                </c:pt>
                <c:pt idx="16">
                  <c:v>11.364999999999998</c:v>
                </c:pt>
                <c:pt idx="17">
                  <c:v>11.432999999999998</c:v>
                </c:pt>
                <c:pt idx="18">
                  <c:v>11.498000000000006</c:v>
                </c:pt>
                <c:pt idx="19">
                  <c:v>11.558000000000023</c:v>
                </c:pt>
                <c:pt idx="20">
                  <c:v>11.620999999999999</c:v>
                </c:pt>
                <c:pt idx="21">
                  <c:v>11.687000000000024</c:v>
                </c:pt>
                <c:pt idx="22">
                  <c:v>11.753999999999994</c:v>
                </c:pt>
                <c:pt idx="23">
                  <c:v>11.820999999999996</c:v>
                </c:pt>
                <c:pt idx="24" formatCode="#,##0.00">
                  <c:v>11.887000000000006</c:v>
                </c:pt>
                <c:pt idx="25">
                  <c:v>11.952999999999991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11.099000000000006</c:v>
                </c:pt>
                <c:pt idx="1">
                  <c:v>12.534999999999972</c:v>
                </c:pt>
                <c:pt idx="2">
                  <c:v>11.491999999999992</c:v>
                </c:pt>
                <c:pt idx="3">
                  <c:v>12.468000000000016</c:v>
                </c:pt>
                <c:pt idx="4">
                  <c:v>14.133000000000024</c:v>
                </c:pt>
                <c:pt idx="5">
                  <c:v>16.423999999999999</c:v>
                </c:pt>
                <c:pt idx="6">
                  <c:v>18.160999999999994</c:v>
                </c:pt>
                <c:pt idx="7">
                  <c:v>17.896000000000019</c:v>
                </c:pt>
                <c:pt idx="8">
                  <c:v>16.903999999999961</c:v>
                </c:pt>
                <c:pt idx="9">
                  <c:v>13.682000000000006</c:v>
                </c:pt>
                <c:pt idx="10">
                  <c:v>12.947000000000006</c:v>
                </c:pt>
                <c:pt idx="11">
                  <c:v>12.732999999999993</c:v>
                </c:pt>
                <c:pt idx="12">
                  <c:v>12.585999999999977</c:v>
                </c:pt>
                <c:pt idx="13">
                  <c:v>12.595999999999997</c:v>
                </c:pt>
                <c:pt idx="14">
                  <c:v>12.618000000000006</c:v>
                </c:pt>
                <c:pt idx="15">
                  <c:v>12.604000000000022</c:v>
                </c:pt>
                <c:pt idx="16">
                  <c:v>12.583000000000034</c:v>
                </c:pt>
                <c:pt idx="17">
                  <c:v>12.563999999999995</c:v>
                </c:pt>
                <c:pt idx="18">
                  <c:v>12.549999999999978</c:v>
                </c:pt>
                <c:pt idx="19">
                  <c:v>12.541000000000025</c:v>
                </c:pt>
                <c:pt idx="20">
                  <c:v>12.54000000000002</c:v>
                </c:pt>
                <c:pt idx="21">
                  <c:v>12.544999999999979</c:v>
                </c:pt>
                <c:pt idx="22">
                  <c:v>12.552999999999972</c:v>
                </c:pt>
                <c:pt idx="23">
                  <c:v>12.563999999999995</c:v>
                </c:pt>
                <c:pt idx="24" formatCode="#,##0.00">
                  <c:v>12.578000000000003</c:v>
                </c:pt>
                <c:pt idx="25">
                  <c:v>12.594999999999967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18.26199999999999</c:v>
                </c:pt>
                <c:pt idx="1">
                  <c:v>17.841000000000058</c:v>
                </c:pt>
                <c:pt idx="2">
                  <c:v>19.266000000000009</c:v>
                </c:pt>
                <c:pt idx="3">
                  <c:v>18.013999999999974</c:v>
                </c:pt>
                <c:pt idx="4">
                  <c:v>19.508999999999983</c:v>
                </c:pt>
                <c:pt idx="5">
                  <c:v>16.002999999999975</c:v>
                </c:pt>
                <c:pt idx="6">
                  <c:v>15.483000000000008</c:v>
                </c:pt>
                <c:pt idx="7">
                  <c:v>15.782999999999992</c:v>
                </c:pt>
                <c:pt idx="8">
                  <c:v>15.80899999999999</c:v>
                </c:pt>
                <c:pt idx="9">
                  <c:v>15.454000000000013</c:v>
                </c:pt>
                <c:pt idx="10">
                  <c:v>15.280999999999985</c:v>
                </c:pt>
                <c:pt idx="11">
                  <c:v>15.059999999999999</c:v>
                </c:pt>
                <c:pt idx="12">
                  <c:v>15.226000000000004</c:v>
                </c:pt>
                <c:pt idx="13">
                  <c:v>15.335999999999983</c:v>
                </c:pt>
                <c:pt idx="14">
                  <c:v>15.471999999999982</c:v>
                </c:pt>
                <c:pt idx="15">
                  <c:v>15.55399999999999</c:v>
                </c:pt>
                <c:pt idx="16">
                  <c:v>15.617000000000004</c:v>
                </c:pt>
                <c:pt idx="17">
                  <c:v>15.683000000000041</c:v>
                </c:pt>
                <c:pt idx="18">
                  <c:v>15.74899999999997</c:v>
                </c:pt>
                <c:pt idx="19">
                  <c:v>15.814999999999996</c:v>
                </c:pt>
                <c:pt idx="20">
                  <c:v>15.882000000000016</c:v>
                </c:pt>
                <c:pt idx="21">
                  <c:v>15.949999999999992</c:v>
                </c:pt>
                <c:pt idx="22">
                  <c:v>16.019999999999996</c:v>
                </c:pt>
                <c:pt idx="23">
                  <c:v>16.089000000000059</c:v>
                </c:pt>
                <c:pt idx="24" formatCode="#,##0.00">
                  <c:v>16.156999999999961</c:v>
                </c:pt>
                <c:pt idx="25">
                  <c:v>16.224999999999966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44.774000000000044</c:v>
                </c:pt>
                <c:pt idx="1">
                  <c:v>46.041000000000039</c:v>
                </c:pt>
                <c:pt idx="2">
                  <c:v>42.84099999999993</c:v>
                </c:pt>
                <c:pt idx="3">
                  <c:v>43.630000000000074</c:v>
                </c:pt>
                <c:pt idx="4">
                  <c:v>43.495999999999967</c:v>
                </c:pt>
                <c:pt idx="5">
                  <c:v>44.810000000000123</c:v>
                </c:pt>
                <c:pt idx="6">
                  <c:v>44.828999999999944</c:v>
                </c:pt>
                <c:pt idx="7">
                  <c:v>44.91799999999995</c:v>
                </c:pt>
                <c:pt idx="8">
                  <c:v>44.049000000000042</c:v>
                </c:pt>
                <c:pt idx="9">
                  <c:v>44.405000000000058</c:v>
                </c:pt>
                <c:pt idx="10">
                  <c:v>45.063000000000045</c:v>
                </c:pt>
                <c:pt idx="11">
                  <c:v>45.227999999999966</c:v>
                </c:pt>
                <c:pt idx="12">
                  <c:v>45.41100000000003</c:v>
                </c:pt>
                <c:pt idx="13">
                  <c:v>45.672000000000018</c:v>
                </c:pt>
                <c:pt idx="14">
                  <c:v>45.97</c:v>
                </c:pt>
                <c:pt idx="15">
                  <c:v>46.277999999999977</c:v>
                </c:pt>
                <c:pt idx="16">
                  <c:v>46.514000000000038</c:v>
                </c:pt>
                <c:pt idx="17">
                  <c:v>46.759000000000007</c:v>
                </c:pt>
                <c:pt idx="18">
                  <c:v>47.013000000000012</c:v>
                </c:pt>
                <c:pt idx="19">
                  <c:v>47.281000000000077</c:v>
                </c:pt>
                <c:pt idx="20">
                  <c:v>47.588000000000143</c:v>
                </c:pt>
                <c:pt idx="21">
                  <c:v>47.899000000000008</c:v>
                </c:pt>
                <c:pt idx="22">
                  <c:v>48.213000000000036</c:v>
                </c:pt>
                <c:pt idx="23">
                  <c:v>48.528999999999876</c:v>
                </c:pt>
                <c:pt idx="24" formatCode="#,##0.00">
                  <c:v>48.84500000000002</c:v>
                </c:pt>
                <c:pt idx="25">
                  <c:v>49.163999999999959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65.001000000000062</c:v>
                </c:pt>
                <c:pt idx="1">
                  <c:v>66.14400000000002</c:v>
                </c:pt>
                <c:pt idx="2">
                  <c:v>67.058999999999983</c:v>
                </c:pt>
                <c:pt idx="3">
                  <c:v>67.074999999999989</c:v>
                </c:pt>
                <c:pt idx="4">
                  <c:v>67.581000000000031</c:v>
                </c:pt>
                <c:pt idx="5">
                  <c:v>60.867000000000125</c:v>
                </c:pt>
                <c:pt idx="6">
                  <c:v>68.400999999999868</c:v>
                </c:pt>
                <c:pt idx="7">
                  <c:v>71.836999999999989</c:v>
                </c:pt>
                <c:pt idx="8">
                  <c:v>68.28900000000003</c:v>
                </c:pt>
                <c:pt idx="9">
                  <c:v>72.829999999999927</c:v>
                </c:pt>
                <c:pt idx="10">
                  <c:v>71.770000000000039</c:v>
                </c:pt>
                <c:pt idx="11">
                  <c:v>73.095000000000056</c:v>
                </c:pt>
                <c:pt idx="12">
                  <c:v>74.036999999999892</c:v>
                </c:pt>
                <c:pt idx="13">
                  <c:v>74.833000000000069</c:v>
                </c:pt>
                <c:pt idx="14">
                  <c:v>75.818000000000083</c:v>
                </c:pt>
                <c:pt idx="15">
                  <c:v>76.515000000000086</c:v>
                </c:pt>
                <c:pt idx="16">
                  <c:v>77.04800000000013</c:v>
                </c:pt>
                <c:pt idx="17">
                  <c:v>77.535999999999916</c:v>
                </c:pt>
                <c:pt idx="18">
                  <c:v>78.006999999999962</c:v>
                </c:pt>
                <c:pt idx="19">
                  <c:v>78.471999999999895</c:v>
                </c:pt>
                <c:pt idx="20">
                  <c:v>78.930000000000078</c:v>
                </c:pt>
                <c:pt idx="21">
                  <c:v>79.384000000000086</c:v>
                </c:pt>
                <c:pt idx="22">
                  <c:v>79.835000000000065</c:v>
                </c:pt>
                <c:pt idx="23">
                  <c:v>80.287000000000049</c:v>
                </c:pt>
                <c:pt idx="24" formatCode="#,##0.00">
                  <c:v>80.74200000000009</c:v>
                </c:pt>
                <c:pt idx="25">
                  <c:v>81.203000000000074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13.652000000000008</c:v>
                </c:pt>
                <c:pt idx="1">
                  <c:v>11.888999999999996</c:v>
                </c:pt>
                <c:pt idx="2">
                  <c:v>12.679000000000009</c:v>
                </c:pt>
                <c:pt idx="3">
                  <c:v>9.8109999999999999</c:v>
                </c:pt>
                <c:pt idx="4">
                  <c:v>11.135999999999999</c:v>
                </c:pt>
                <c:pt idx="5">
                  <c:v>12.683999999999983</c:v>
                </c:pt>
                <c:pt idx="6">
                  <c:v>11.487999999999989</c:v>
                </c:pt>
                <c:pt idx="7">
                  <c:v>11.597000000000008</c:v>
                </c:pt>
                <c:pt idx="8">
                  <c:v>9.919999999999991</c:v>
                </c:pt>
                <c:pt idx="9">
                  <c:v>8.5460000000000029</c:v>
                </c:pt>
                <c:pt idx="10">
                  <c:v>7.0439999999999952</c:v>
                </c:pt>
                <c:pt idx="11">
                  <c:v>6.9100000000000019</c:v>
                </c:pt>
                <c:pt idx="12">
                  <c:v>6.8389999999999933</c:v>
                </c:pt>
                <c:pt idx="13">
                  <c:v>6.8740000000000094</c:v>
                </c:pt>
                <c:pt idx="14">
                  <c:v>7.0260000000000042</c:v>
                </c:pt>
                <c:pt idx="15">
                  <c:v>7.0899999999999981</c:v>
                </c:pt>
                <c:pt idx="16">
                  <c:v>7.1320000000000032</c:v>
                </c:pt>
                <c:pt idx="17">
                  <c:v>7.1539999999999901</c:v>
                </c:pt>
                <c:pt idx="18">
                  <c:v>7.1630000000000065</c:v>
                </c:pt>
                <c:pt idx="19">
                  <c:v>7.1640000000000166</c:v>
                </c:pt>
                <c:pt idx="20">
                  <c:v>7.1639999999999935</c:v>
                </c:pt>
                <c:pt idx="21">
                  <c:v>7.163000000000002</c:v>
                </c:pt>
                <c:pt idx="22">
                  <c:v>7.1600000000000072</c:v>
                </c:pt>
                <c:pt idx="23">
                  <c:v>7.1549999999999976</c:v>
                </c:pt>
                <c:pt idx="24">
                  <c:v>7.150000000000003</c:v>
                </c:pt>
                <c:pt idx="25">
                  <c:v>7.1439999999999904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69.248999999999938</c:v>
                </c:pt>
                <c:pt idx="1">
                  <c:v>70.261999999999986</c:v>
                </c:pt>
                <c:pt idx="2">
                  <c:v>69.719000000000122</c:v>
                </c:pt>
                <c:pt idx="3">
                  <c:v>69.69699999999996</c:v>
                </c:pt>
                <c:pt idx="4">
                  <c:v>70.717999999999705</c:v>
                </c:pt>
                <c:pt idx="5">
                  <c:v>68.65899999999985</c:v>
                </c:pt>
                <c:pt idx="6">
                  <c:v>65.025999999999698</c:v>
                </c:pt>
                <c:pt idx="7">
                  <c:v>65.682000000000116</c:v>
                </c:pt>
                <c:pt idx="8">
                  <c:v>67.220000000000041</c:v>
                </c:pt>
                <c:pt idx="9">
                  <c:v>69.284999999999911</c:v>
                </c:pt>
                <c:pt idx="10">
                  <c:v>63.879000000000048</c:v>
                </c:pt>
                <c:pt idx="11">
                  <c:v>65.001999999999924</c:v>
                </c:pt>
                <c:pt idx="12">
                  <c:v>64.118000000000109</c:v>
                </c:pt>
                <c:pt idx="13">
                  <c:v>63.464999999999776</c:v>
                </c:pt>
                <c:pt idx="14">
                  <c:v>63.086999999999946</c:v>
                </c:pt>
                <c:pt idx="15">
                  <c:v>62.48700000000003</c:v>
                </c:pt>
                <c:pt idx="16">
                  <c:v>61.830000000000027</c:v>
                </c:pt>
                <c:pt idx="17">
                  <c:v>61.143999999999942</c:v>
                </c:pt>
                <c:pt idx="18">
                  <c:v>60.486999999999902</c:v>
                </c:pt>
                <c:pt idx="19">
                  <c:v>59.863000000000113</c:v>
                </c:pt>
                <c:pt idx="20">
                  <c:v>59.328999999999908</c:v>
                </c:pt>
                <c:pt idx="21">
                  <c:v>58.786999999999864</c:v>
                </c:pt>
                <c:pt idx="22">
                  <c:v>58.272999999999897</c:v>
                </c:pt>
                <c:pt idx="23">
                  <c:v>57.784999999999947</c:v>
                </c:pt>
                <c:pt idx="24">
                  <c:v>57.322999999999844</c:v>
                </c:pt>
                <c:pt idx="25">
                  <c:v>56.889999999999958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132.35200000000003</c:v>
                </c:pt>
                <c:pt idx="1">
                  <c:v>128.18300000000002</c:v>
                </c:pt>
                <c:pt idx="2">
                  <c:v>136.41099999999994</c:v>
                </c:pt>
                <c:pt idx="3">
                  <c:v>134.39599999999984</c:v>
                </c:pt>
                <c:pt idx="4">
                  <c:v>140.59800000000018</c:v>
                </c:pt>
                <c:pt idx="5">
                  <c:v>147.42899999999986</c:v>
                </c:pt>
                <c:pt idx="6">
                  <c:v>144.13500000000008</c:v>
                </c:pt>
                <c:pt idx="7">
                  <c:v>146.72099999999983</c:v>
                </c:pt>
                <c:pt idx="8">
                  <c:v>145.82500000000005</c:v>
                </c:pt>
                <c:pt idx="9">
                  <c:v>146.70800000000003</c:v>
                </c:pt>
                <c:pt idx="10">
                  <c:v>144.72400000000016</c:v>
                </c:pt>
                <c:pt idx="11">
                  <c:v>146.4140000000001</c:v>
                </c:pt>
                <c:pt idx="12">
                  <c:v>147.57999999999993</c:v>
                </c:pt>
                <c:pt idx="13">
                  <c:v>148.35900000000018</c:v>
                </c:pt>
                <c:pt idx="14">
                  <c:v>149.1609999999998</c:v>
                </c:pt>
                <c:pt idx="15">
                  <c:v>150.0100000000003</c:v>
                </c:pt>
                <c:pt idx="16">
                  <c:v>150.70099999999982</c:v>
                </c:pt>
                <c:pt idx="17">
                  <c:v>151.33300000000011</c:v>
                </c:pt>
                <c:pt idx="18">
                  <c:v>151.92899999999972</c:v>
                </c:pt>
                <c:pt idx="19">
                  <c:v>152.50600000000034</c:v>
                </c:pt>
                <c:pt idx="20">
                  <c:v>153.10400000000013</c:v>
                </c:pt>
                <c:pt idx="21">
                  <c:v>153.69199999999998</c:v>
                </c:pt>
                <c:pt idx="22">
                  <c:v>154.26700000000017</c:v>
                </c:pt>
                <c:pt idx="23">
                  <c:v>154.84799999999981</c:v>
                </c:pt>
                <c:pt idx="24">
                  <c:v>155.40800000000007</c:v>
                </c:pt>
                <c:pt idx="25">
                  <c:v>155.9559999999997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107.27299999999991</c:v>
                </c:pt>
                <c:pt idx="1">
                  <c:v>106.95200000000004</c:v>
                </c:pt>
                <c:pt idx="2">
                  <c:v>106.22899999999987</c:v>
                </c:pt>
                <c:pt idx="3">
                  <c:v>106.98700000000002</c:v>
                </c:pt>
                <c:pt idx="4">
                  <c:v>108.05700000000004</c:v>
                </c:pt>
                <c:pt idx="5">
                  <c:v>123.34700000000012</c:v>
                </c:pt>
                <c:pt idx="6">
                  <c:v>124.83900000000003</c:v>
                </c:pt>
                <c:pt idx="7">
                  <c:v>125.38399999999999</c:v>
                </c:pt>
                <c:pt idx="8">
                  <c:v>120.73799999999994</c:v>
                </c:pt>
                <c:pt idx="9">
                  <c:v>113.62800000000009</c:v>
                </c:pt>
                <c:pt idx="10">
                  <c:v>111.41800000000002</c:v>
                </c:pt>
                <c:pt idx="11">
                  <c:v>112.06099999999996</c:v>
                </c:pt>
                <c:pt idx="12">
                  <c:v>111.96499999999995</c:v>
                </c:pt>
                <c:pt idx="13">
                  <c:v>112.31400000000011</c:v>
                </c:pt>
                <c:pt idx="14">
                  <c:v>112.88400000000003</c:v>
                </c:pt>
                <c:pt idx="15">
                  <c:v>113.29000000000006</c:v>
                </c:pt>
                <c:pt idx="16">
                  <c:v>113.73899999999995</c:v>
                </c:pt>
                <c:pt idx="17">
                  <c:v>114.17900000000003</c:v>
                </c:pt>
                <c:pt idx="18">
                  <c:v>114.62499999999993</c:v>
                </c:pt>
                <c:pt idx="19">
                  <c:v>115.07700000000006</c:v>
                </c:pt>
                <c:pt idx="20">
                  <c:v>115.55800000000004</c:v>
                </c:pt>
                <c:pt idx="21">
                  <c:v>116.02499999999999</c:v>
                </c:pt>
                <c:pt idx="22">
                  <c:v>116.49899999999981</c:v>
                </c:pt>
                <c:pt idx="23">
                  <c:v>116.97199999999998</c:v>
                </c:pt>
                <c:pt idx="24">
                  <c:v>117.44199999999988</c:v>
                </c:pt>
                <c:pt idx="25">
                  <c:v>117.91199999999999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128.03700000000009</c:v>
                </c:pt>
                <c:pt idx="1">
                  <c:v>130.02600000000012</c:v>
                </c:pt>
                <c:pt idx="2">
                  <c:v>129.16599999999994</c:v>
                </c:pt>
                <c:pt idx="3">
                  <c:v>128.71900000000005</c:v>
                </c:pt>
                <c:pt idx="4">
                  <c:v>130.58599999999998</c:v>
                </c:pt>
                <c:pt idx="5">
                  <c:v>121.68000000000023</c:v>
                </c:pt>
                <c:pt idx="6">
                  <c:v>128.71299999999982</c:v>
                </c:pt>
                <c:pt idx="7">
                  <c:v>132.53799999999993</c:v>
                </c:pt>
                <c:pt idx="8">
                  <c:v>128.14700000000005</c:v>
                </c:pt>
                <c:pt idx="9">
                  <c:v>132.68899999999999</c:v>
                </c:pt>
                <c:pt idx="10">
                  <c:v>132.11400000000006</c:v>
                </c:pt>
                <c:pt idx="11">
                  <c:v>133.38300000000004</c:v>
                </c:pt>
                <c:pt idx="12">
                  <c:v>134.67399999999992</c:v>
                </c:pt>
                <c:pt idx="13">
                  <c:v>135.84100000000007</c:v>
                </c:pt>
                <c:pt idx="14">
                  <c:v>137.26000000000005</c:v>
                </c:pt>
                <c:pt idx="15">
                  <c:v>138.34700000000004</c:v>
                </c:pt>
                <c:pt idx="16">
                  <c:v>139.17900000000017</c:v>
                </c:pt>
                <c:pt idx="17">
                  <c:v>139.97799999999995</c:v>
                </c:pt>
                <c:pt idx="18">
                  <c:v>140.76899999999995</c:v>
                </c:pt>
                <c:pt idx="19">
                  <c:v>141.56799999999998</c:v>
                </c:pt>
                <c:pt idx="20">
                  <c:v>142.40000000000023</c:v>
                </c:pt>
                <c:pt idx="21">
                  <c:v>143.23300000000009</c:v>
                </c:pt>
                <c:pt idx="22">
                  <c:v>144.0680000000001</c:v>
                </c:pt>
                <c:pt idx="23">
                  <c:v>144.90499999999997</c:v>
                </c:pt>
                <c:pt idx="24">
                  <c:v>145.74400000000009</c:v>
                </c:pt>
                <c:pt idx="25">
                  <c:v>146.59199999999998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24.06826462431912</c:v>
                </c:pt>
                <c:pt idx="1">
                  <c:v>26.625473101246694</c:v>
                </c:pt>
                <c:pt idx="2">
                  <c:v>28.085771653664015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24.397996684877448</c:v>
                </c:pt>
                <c:pt idx="1">
                  <c:v>22.454523835435332</c:v>
                </c:pt>
                <c:pt idx="2">
                  <c:v>22.590929295096814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29.161408491935681</c:v>
                </c:pt>
                <c:pt idx="1">
                  <c:v>29.166817817224739</c:v>
                </c:pt>
                <c:pt idx="2">
                  <c:v>29.879833851907456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6.2827111214845992</c:v>
                </c:pt>
                <c:pt idx="1">
                  <c:v>7.4597838748553773</c:v>
                </c:pt>
                <c:pt idx="2">
                  <c:v>7.1750992443633725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13.580727981928991</c:v>
                </c:pt>
                <c:pt idx="1">
                  <c:v>12.873795330052362</c:v>
                </c:pt>
                <c:pt idx="2">
                  <c:v>10.899636742639061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2.5088910954541648</c:v>
                </c:pt>
                <c:pt idx="1">
                  <c:v>1.4196060411855025</c:v>
                </c:pt>
                <c:pt idx="2">
                  <c:v>1.3687292123292913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10.433999999999827</c:v>
                </c:pt>
                <c:pt idx="1">
                  <c:v>-11.929000000000102</c:v>
                </c:pt>
                <c:pt idx="2">
                  <c:v>-2.7049999999996999</c:v>
                </c:pt>
                <c:pt idx="3">
                  <c:v>5.251999999999942</c:v>
                </c:pt>
                <c:pt idx="4">
                  <c:v>-4.7799999999998022</c:v>
                </c:pt>
                <c:pt idx="5">
                  <c:v>-5.6399999999999881</c:v>
                </c:pt>
                <c:pt idx="7">
                  <c:v>-9.3679999999997676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14.477999999999923</c:v>
                </c:pt>
                <c:pt idx="1">
                  <c:v>6.4939999999999714</c:v>
                </c:pt>
                <c:pt idx="2">
                  <c:v>11.231999999999545</c:v>
                </c:pt>
                <c:pt idx="3">
                  <c:v>0.43500000000001648</c:v>
                </c:pt>
                <c:pt idx="4">
                  <c:v>-6.9890000000000896</c:v>
                </c:pt>
                <c:pt idx="5">
                  <c:v>9.9999999999995204E-2</c:v>
                </c:pt>
                <c:pt idx="7">
                  <c:v>25.749999999999361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0.33785827979151417</c:v>
                </c:pt>
                <c:pt idx="2">
                  <c:v>-1.6241007083510617</c:v>
                </c:pt>
                <c:pt idx="3">
                  <c:v>4.4400691329606889</c:v>
                </c:pt>
                <c:pt idx="4">
                  <c:v>-4.462711763347782E-2</c:v>
                </c:pt>
                <c:pt idx="6">
                  <c:v>0.2121973700340174</c:v>
                </c:pt>
                <c:pt idx="7">
                  <c:v>-0.32216476551590878</c:v>
                </c:pt>
                <c:pt idx="8">
                  <c:v>-2.6252842027107981E-2</c:v>
                </c:pt>
                <c:pt idx="10">
                  <c:v>1.4429460177838527</c:v>
                </c:pt>
                <c:pt idx="11">
                  <c:v>-0.55850881574924793</c:v>
                </c:pt>
                <c:pt idx="12">
                  <c:v>-4.3975911251237232E-2</c:v>
                </c:pt>
                <c:pt idx="14">
                  <c:v>-1.1622869012287262</c:v>
                </c:pt>
                <c:pt idx="15">
                  <c:v>-0.58125569202476246</c:v>
                </c:pt>
                <c:pt idx="16">
                  <c:v>0.85698993594331974</c:v>
                </c:pt>
                <c:pt idx="17">
                  <c:v>0.5937695306053703</c:v>
                </c:pt>
                <c:pt idx="19">
                  <c:v>-0.28095792058610014</c:v>
                </c:pt>
                <c:pt idx="20">
                  <c:v>-1.2807011061727547</c:v>
                </c:pt>
                <c:pt idx="21">
                  <c:v>-0.72277342843283243</c:v>
                </c:pt>
                <c:pt idx="22">
                  <c:v>0.6803828236388032</c:v>
                </c:pt>
                <c:pt idx="23">
                  <c:v>-0.73475994895060293</c:v>
                </c:pt>
                <c:pt idx="25">
                  <c:v>-3.5367242946928501</c:v>
                </c:pt>
                <c:pt idx="26">
                  <c:v>0.12902272457058217</c:v>
                </c:pt>
                <c:pt idx="27">
                  <c:v>-0.35714078831445839</c:v>
                </c:pt>
                <c:pt idx="29">
                  <c:v>0.36499271392635979</c:v>
                </c:pt>
                <c:pt idx="30">
                  <c:v>-0.40433329111217997</c:v>
                </c:pt>
                <c:pt idx="31">
                  <c:v>-0.34290857454674084</c:v>
                </c:pt>
                <c:pt idx="32">
                  <c:v>4.422401319894731</c:v>
                </c:pt>
                <c:pt idx="33">
                  <c:v>-0.22037679293600565</c:v>
                </c:pt>
                <c:pt idx="34">
                  <c:v>1.0857867262725973</c:v>
                </c:pt>
                <c:pt idx="36">
                  <c:v>1.015748682921247</c:v>
                </c:pt>
                <c:pt idx="37">
                  <c:v>0.61970175648629056</c:v>
                </c:pt>
                <c:pt idx="38">
                  <c:v>0.40825893933129631</c:v>
                </c:pt>
                <c:pt idx="39">
                  <c:v>2.1053550953749944</c:v>
                </c:pt>
                <c:pt idx="40">
                  <c:v>1.0850858994736923</c:v>
                </c:pt>
                <c:pt idx="42">
                  <c:v>0.96772729272256441</c:v>
                </c:pt>
                <c:pt idx="43">
                  <c:v>-0.12304988831006725</c:v>
                </c:pt>
                <c:pt idx="44">
                  <c:v>0.1961404623199936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-0.37337526450478276</c:v>
                </c:pt>
                <c:pt idx="2">
                  <c:v>-3.6852004087132739</c:v>
                </c:pt>
                <c:pt idx="3">
                  <c:v>-5.6300457870917864</c:v>
                </c:pt>
                <c:pt idx="4">
                  <c:v>-4.06488694397712</c:v>
                </c:pt>
                <c:pt idx="6">
                  <c:v>-1.8475168186694924</c:v>
                </c:pt>
                <c:pt idx="7">
                  <c:v>-4.3972044343313694</c:v>
                </c:pt>
                <c:pt idx="8">
                  <c:v>-3.058986311425782</c:v>
                </c:pt>
                <c:pt idx="10">
                  <c:v>3.4363853247398879E-4</c:v>
                </c:pt>
                <c:pt idx="11">
                  <c:v>-2.4376784598331702</c:v>
                </c:pt>
                <c:pt idx="12">
                  <c:v>-1.9057013424181979</c:v>
                </c:pt>
                <c:pt idx="14">
                  <c:v>1.1806127781222031E-2</c:v>
                </c:pt>
                <c:pt idx="15">
                  <c:v>-4.3727231759594805</c:v>
                </c:pt>
                <c:pt idx="16">
                  <c:v>0.59460447567794006</c:v>
                </c:pt>
                <c:pt idx="17">
                  <c:v>-0.45591198836449909</c:v>
                </c:pt>
                <c:pt idx="19">
                  <c:v>-2.9388290827512153</c:v>
                </c:pt>
                <c:pt idx="20">
                  <c:v>-1.3218965885935408</c:v>
                </c:pt>
                <c:pt idx="21">
                  <c:v>-4.083502909618753</c:v>
                </c:pt>
                <c:pt idx="22">
                  <c:v>-5.9151366231925406</c:v>
                </c:pt>
                <c:pt idx="23">
                  <c:v>-3.1502625897510406</c:v>
                </c:pt>
                <c:pt idx="25">
                  <c:v>-3.3420221813353468</c:v>
                </c:pt>
                <c:pt idx="26">
                  <c:v>-0.80251961659546511</c:v>
                </c:pt>
                <c:pt idx="27">
                  <c:v>-1.2478068393020125</c:v>
                </c:pt>
                <c:pt idx="29">
                  <c:v>0.88330808713674713</c:v>
                </c:pt>
                <c:pt idx="30">
                  <c:v>0.44404316777670871</c:v>
                </c:pt>
                <c:pt idx="31">
                  <c:v>1.0699074651868257</c:v>
                </c:pt>
                <c:pt idx="32">
                  <c:v>4.0226870496867573</c:v>
                </c:pt>
                <c:pt idx="33">
                  <c:v>2.6616112272142889</c:v>
                </c:pt>
                <c:pt idx="34">
                  <c:v>1.6173908609099286</c:v>
                </c:pt>
                <c:pt idx="36">
                  <c:v>4.1573473635407421</c:v>
                </c:pt>
                <c:pt idx="37">
                  <c:v>2.4242955423134038</c:v>
                </c:pt>
                <c:pt idx="38">
                  <c:v>4.4027846668944992</c:v>
                </c:pt>
                <c:pt idx="39">
                  <c:v>2.3989964645567241</c:v>
                </c:pt>
                <c:pt idx="40">
                  <c:v>3.3739606107497266</c:v>
                </c:pt>
                <c:pt idx="42">
                  <c:v>1.1422240086861102</c:v>
                </c:pt>
                <c:pt idx="43">
                  <c:v>2.9507896898499641</c:v>
                </c:pt>
                <c:pt idx="44">
                  <c:v>2.4301925967987525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5.4076468763754519</c:v>
                </c:pt>
                <c:pt idx="1">
                  <c:v>15.829925594928071</c:v>
                </c:pt>
                <c:pt idx="2">
                  <c:v>4.6882166468141548</c:v>
                </c:pt>
                <c:pt idx="3">
                  <c:v>-3.6595524526492085</c:v>
                </c:pt>
                <c:pt idx="4">
                  <c:v>-9.0658806958773965</c:v>
                </c:pt>
                <c:pt idx="5">
                  <c:v>-1.1402362025521953</c:v>
                </c:pt>
                <c:pt idx="6">
                  <c:v>-3.9727049012970994</c:v>
                </c:pt>
                <c:pt idx="7">
                  <c:v>-6.7823097537790886</c:v>
                </c:pt>
                <c:pt idx="8">
                  <c:v>-10.673105111963068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25.579593238439738</c:v>
                </c:pt>
                <c:pt idx="1">
                  <c:v>27.40169587563938</c:v>
                </c:pt>
                <c:pt idx="2">
                  <c:v>28.168559828983248</c:v>
                </c:pt>
                <c:pt idx="3">
                  <c:v>28.699744694795161</c:v>
                </c:pt>
                <c:pt idx="4">
                  <c:v>27.526629945729731</c:v>
                </c:pt>
                <c:pt idx="5">
                  <c:v>29.880785800881405</c:v>
                </c:pt>
                <c:pt idx="6">
                  <c:v>31.39905331134868</c:v>
                </c:pt>
                <c:pt idx="7">
                  <c:v>32.04154656777888</c:v>
                </c:pt>
                <c:pt idx="8">
                  <c:v>33.297068548179432</c:v>
                </c:pt>
                <c:pt idx="9">
                  <c:v>33.670781149647794</c:v>
                </c:pt>
                <c:pt idx="10">
                  <c:v>34.557349518918279</c:v>
                </c:pt>
                <c:pt idx="11">
                  <c:v>30.075727690006548</c:v>
                </c:pt>
                <c:pt idx="12">
                  <c:v>30.291432415932476</c:v>
                </c:pt>
                <c:pt idx="13">
                  <c:v>30.557092989920058</c:v>
                </c:pt>
                <c:pt idx="14">
                  <c:v>30.893841930483362</c:v>
                </c:pt>
                <c:pt idx="15">
                  <c:v>31.172230771306513</c:v>
                </c:pt>
                <c:pt idx="16">
                  <c:v>31.429118254214508</c:v>
                </c:pt>
                <c:pt idx="17">
                  <c:v>31.685152719904647</c:v>
                </c:pt>
                <c:pt idx="18">
                  <c:v>31.950062959950447</c:v>
                </c:pt>
                <c:pt idx="19">
                  <c:v>32.211441044902173</c:v>
                </c:pt>
                <c:pt idx="20">
                  <c:v>32.495532292470394</c:v>
                </c:pt>
                <c:pt idx="21">
                  <c:v>32.77102116260231</c:v>
                </c:pt>
                <c:pt idx="22">
                  <c:v>33.051061364181777</c:v>
                </c:pt>
                <c:pt idx="23">
                  <c:v>33.337145705645646</c:v>
                </c:pt>
                <c:pt idx="24">
                  <c:v>33.627082802042622</c:v>
                </c:pt>
                <c:pt idx="25">
                  <c:v>33.924972676339749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10.282587629093722</c:v>
                </c:pt>
                <c:pt idx="1">
                  <c:v>11.109478713863155</c:v>
                </c:pt>
                <c:pt idx="2">
                  <c:v>11.474032415352585</c:v>
                </c:pt>
                <c:pt idx="3">
                  <c:v>11.616670819068126</c:v>
                </c:pt>
                <c:pt idx="4">
                  <c:v>12.717243041478378</c:v>
                </c:pt>
                <c:pt idx="5">
                  <c:v>12.511934815118931</c:v>
                </c:pt>
                <c:pt idx="6">
                  <c:v>11.586411528116839</c:v>
                </c:pt>
                <c:pt idx="7">
                  <c:v>12.942880567812317</c:v>
                </c:pt>
                <c:pt idx="8">
                  <c:v>12.678093376368045</c:v>
                </c:pt>
                <c:pt idx="9">
                  <c:v>12.674366859929489</c:v>
                </c:pt>
                <c:pt idx="10">
                  <c:v>13.243017973457505</c:v>
                </c:pt>
                <c:pt idx="11">
                  <c:v>12.984808072126734</c:v>
                </c:pt>
                <c:pt idx="12">
                  <c:v>13.162582829370725</c:v>
                </c:pt>
                <c:pt idx="13">
                  <c:v>13.323691273907748</c:v>
                </c:pt>
                <c:pt idx="14">
                  <c:v>13.49523730364575</c:v>
                </c:pt>
                <c:pt idx="15">
                  <c:v>13.664593479636807</c:v>
                </c:pt>
                <c:pt idx="16">
                  <c:v>13.814130843352583</c:v>
                </c:pt>
                <c:pt idx="17">
                  <c:v>13.956398519290516</c:v>
                </c:pt>
                <c:pt idx="18">
                  <c:v>14.102552895210573</c:v>
                </c:pt>
                <c:pt idx="19">
                  <c:v>14.260910627986689</c:v>
                </c:pt>
                <c:pt idx="20">
                  <c:v>14.42774131022499</c:v>
                </c:pt>
                <c:pt idx="21">
                  <c:v>14.593485112398117</c:v>
                </c:pt>
                <c:pt idx="22">
                  <c:v>14.757163136608142</c:v>
                </c:pt>
                <c:pt idx="23">
                  <c:v>14.927809095036238</c:v>
                </c:pt>
                <c:pt idx="24">
                  <c:v>15.111408055036012</c:v>
                </c:pt>
                <c:pt idx="25">
                  <c:v>15.301206610194454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22.377811895442253</c:v>
                </c:pt>
                <c:pt idx="1">
                  <c:v>21.147922737477579</c:v>
                </c:pt>
                <c:pt idx="2">
                  <c:v>21.373272016484549</c:v>
                </c:pt>
                <c:pt idx="3">
                  <c:v>21.38951926771017</c:v>
                </c:pt>
                <c:pt idx="4">
                  <c:v>22.292308176904616</c:v>
                </c:pt>
                <c:pt idx="5">
                  <c:v>23.692567314037611</c:v>
                </c:pt>
                <c:pt idx="6">
                  <c:v>24.089672943557431</c:v>
                </c:pt>
                <c:pt idx="7">
                  <c:v>23.173002025289211</c:v>
                </c:pt>
                <c:pt idx="8">
                  <c:v>25.387472391358401</c:v>
                </c:pt>
                <c:pt idx="9">
                  <c:v>25.522442469208745</c:v>
                </c:pt>
                <c:pt idx="10">
                  <c:v>26.67415223973487</c:v>
                </c:pt>
                <c:pt idx="11">
                  <c:v>30.584511425055727</c:v>
                </c:pt>
                <c:pt idx="12">
                  <c:v>30.950848576356279</c:v>
                </c:pt>
                <c:pt idx="13">
                  <c:v>31.38392542753812</c:v>
                </c:pt>
                <c:pt idx="14">
                  <c:v>31.887494497599565</c:v>
                </c:pt>
                <c:pt idx="15">
                  <c:v>32.331352616593463</c:v>
                </c:pt>
                <c:pt idx="16">
                  <c:v>32.738821698467824</c:v>
                </c:pt>
                <c:pt idx="17">
                  <c:v>33.129988174010208</c:v>
                </c:pt>
                <c:pt idx="18">
                  <c:v>33.515713849750739</c:v>
                </c:pt>
                <c:pt idx="19">
                  <c:v>33.903539207830491</c:v>
                </c:pt>
                <c:pt idx="20">
                  <c:v>34.326048204468954</c:v>
                </c:pt>
                <c:pt idx="21">
                  <c:v>34.744655113261388</c:v>
                </c:pt>
                <c:pt idx="22">
                  <c:v>35.169624735640845</c:v>
                </c:pt>
                <c:pt idx="23">
                  <c:v>35.591619161000544</c:v>
                </c:pt>
                <c:pt idx="24">
                  <c:v>36.027313718101766</c:v>
                </c:pt>
                <c:pt idx="25">
                  <c:v>36.460147888250177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20.190295533415984</c:v>
                </c:pt>
                <c:pt idx="1">
                  <c:v>21.70156410510868</c:v>
                </c:pt>
                <c:pt idx="2">
                  <c:v>22.504275666399398</c:v>
                </c:pt>
                <c:pt idx="3">
                  <c:v>22.874578467079267</c:v>
                </c:pt>
                <c:pt idx="4">
                  <c:v>23.071665541173786</c:v>
                </c:pt>
                <c:pt idx="5">
                  <c:v>21.674771905892207</c:v>
                </c:pt>
                <c:pt idx="6">
                  <c:v>24.616500003749771</c:v>
                </c:pt>
                <c:pt idx="7">
                  <c:v>26.243237289701206</c:v>
                </c:pt>
                <c:pt idx="8">
                  <c:v>25.449093962651084</c:v>
                </c:pt>
                <c:pt idx="9">
                  <c:v>27.315802663195459</c:v>
                </c:pt>
                <c:pt idx="10">
                  <c:v>26.885303796114776</c:v>
                </c:pt>
                <c:pt idx="11">
                  <c:v>25.484947536938776</c:v>
                </c:pt>
                <c:pt idx="12">
                  <c:v>25.726675786960506</c:v>
                </c:pt>
                <c:pt idx="13">
                  <c:v>25.989492309915555</c:v>
                </c:pt>
                <c:pt idx="14">
                  <c:v>26.295795229622467</c:v>
                </c:pt>
                <c:pt idx="15">
                  <c:v>26.54413441665373</c:v>
                </c:pt>
                <c:pt idx="16">
                  <c:v>26.772172397431909</c:v>
                </c:pt>
                <c:pt idx="17">
                  <c:v>26.988497743327557</c:v>
                </c:pt>
                <c:pt idx="18">
                  <c:v>27.163545486327397</c:v>
                </c:pt>
                <c:pt idx="19">
                  <c:v>27.370470347226167</c:v>
                </c:pt>
                <c:pt idx="20">
                  <c:v>27.573922504711341</c:v>
                </c:pt>
                <c:pt idx="21">
                  <c:v>27.78040092922064</c:v>
                </c:pt>
                <c:pt idx="22">
                  <c:v>27.984584447828627</c:v>
                </c:pt>
                <c:pt idx="23">
                  <c:v>28.191988415654016</c:v>
                </c:pt>
                <c:pt idx="24">
                  <c:v>28.394571433941138</c:v>
                </c:pt>
                <c:pt idx="25">
                  <c:v>28.579623063913772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20.456879175385708</c:v>
                </c:pt>
                <c:pt idx="1">
                  <c:v>21.055623593171269</c:v>
                </c:pt>
                <c:pt idx="2">
                  <c:v>19.699149496513833</c:v>
                </c:pt>
                <c:pt idx="3">
                  <c:v>19.701836017610951</c:v>
                </c:pt>
                <c:pt idx="4">
                  <c:v>19.41236908695241</c:v>
                </c:pt>
                <c:pt idx="5">
                  <c:v>19.540374765671235</c:v>
                </c:pt>
                <c:pt idx="6">
                  <c:v>20.300023917060315</c:v>
                </c:pt>
                <c:pt idx="7">
                  <c:v>19.85962826589396</c:v>
                </c:pt>
                <c:pt idx="8">
                  <c:v>19.555534387074616</c:v>
                </c:pt>
                <c:pt idx="9">
                  <c:v>20.765597855160532</c:v>
                </c:pt>
                <c:pt idx="10">
                  <c:v>22.026617843508607</c:v>
                </c:pt>
                <c:pt idx="11">
                  <c:v>21.042952128097475</c:v>
                </c:pt>
                <c:pt idx="12">
                  <c:v>21.216801564954341</c:v>
                </c:pt>
                <c:pt idx="13">
                  <c:v>21.457775128923572</c:v>
                </c:pt>
                <c:pt idx="14">
                  <c:v>21.728442336362058</c:v>
                </c:pt>
                <c:pt idx="15">
                  <c:v>21.969692618216403</c:v>
                </c:pt>
                <c:pt idx="16">
                  <c:v>22.211058677789687</c:v>
                </c:pt>
                <c:pt idx="17">
                  <c:v>22.452927620239169</c:v>
                </c:pt>
                <c:pt idx="18">
                  <c:v>22.68441556001617</c:v>
                </c:pt>
                <c:pt idx="19">
                  <c:v>22.89791829591648</c:v>
                </c:pt>
                <c:pt idx="20">
                  <c:v>23.120233394978808</c:v>
                </c:pt>
                <c:pt idx="21">
                  <c:v>23.35175936660082</c:v>
                </c:pt>
                <c:pt idx="22">
                  <c:v>23.556573071221266</c:v>
                </c:pt>
                <c:pt idx="23">
                  <c:v>23.765156584793846</c:v>
                </c:pt>
                <c:pt idx="24">
                  <c:v>23.970926432272623</c:v>
                </c:pt>
                <c:pt idx="25">
                  <c:v>24.165356288680911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23.181834838611625</c:v>
                </c:pt>
                <c:pt idx="1">
                  <c:v>21.826206115414504</c:v>
                </c:pt>
                <c:pt idx="2">
                  <c:v>20.995130824054328</c:v>
                </c:pt>
                <c:pt idx="3">
                  <c:v>22.355232032549083</c:v>
                </c:pt>
                <c:pt idx="4">
                  <c:v>22.389596756490544</c:v>
                </c:pt>
                <c:pt idx="5">
                  <c:v>22.806193659159341</c:v>
                </c:pt>
                <c:pt idx="6">
                  <c:v>23.880882131659085</c:v>
                </c:pt>
                <c:pt idx="7">
                  <c:v>24.162927613730837</c:v>
                </c:pt>
                <c:pt idx="8">
                  <c:v>25.683521007827142</c:v>
                </c:pt>
                <c:pt idx="9">
                  <c:v>25.456333561960076</c:v>
                </c:pt>
                <c:pt idx="10">
                  <c:v>27.957759360330201</c:v>
                </c:pt>
                <c:pt idx="11">
                  <c:v>27.882756436110437</c:v>
                </c:pt>
                <c:pt idx="12">
                  <c:v>28.109330533576806</c:v>
                </c:pt>
                <c:pt idx="13">
                  <c:v>28.416837823671454</c:v>
                </c:pt>
                <c:pt idx="14">
                  <c:v>28.794442168524952</c:v>
                </c:pt>
                <c:pt idx="15">
                  <c:v>29.117208402464584</c:v>
                </c:pt>
                <c:pt idx="16">
                  <c:v>29.426402724452764</c:v>
                </c:pt>
                <c:pt idx="17">
                  <c:v>29.739483594139326</c:v>
                </c:pt>
                <c:pt idx="18">
                  <c:v>30.0722207296965</c:v>
                </c:pt>
                <c:pt idx="19">
                  <c:v>30.401367746652877</c:v>
                </c:pt>
                <c:pt idx="20">
                  <c:v>30.753767265778574</c:v>
                </c:pt>
                <c:pt idx="21">
                  <c:v>31.103052703437125</c:v>
                </c:pt>
                <c:pt idx="22">
                  <c:v>31.455854408848911</c:v>
                </c:pt>
                <c:pt idx="23">
                  <c:v>31.817851170811881</c:v>
                </c:pt>
                <c:pt idx="24">
                  <c:v>32.179308224145416</c:v>
                </c:pt>
                <c:pt idx="25">
                  <c:v>32.53409025770577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8.0026378401912979</c:v>
                </c:pt>
                <c:pt idx="1">
                  <c:v>7.8918188838311796</c:v>
                </c:pt>
                <c:pt idx="2">
                  <c:v>7.9566676567861299</c:v>
                </c:pt>
                <c:pt idx="3">
                  <c:v>8.095071965655249</c:v>
                </c:pt>
                <c:pt idx="4">
                  <c:v>7.5275931013521182</c:v>
                </c:pt>
                <c:pt idx="5">
                  <c:v>7.6396337675645283</c:v>
                </c:pt>
                <c:pt idx="6">
                  <c:v>7.7316004319096425</c:v>
                </c:pt>
                <c:pt idx="7">
                  <c:v>8.4433808137116024</c:v>
                </c:pt>
                <c:pt idx="8">
                  <c:v>8.618911060917954</c:v>
                </c:pt>
                <c:pt idx="9">
                  <c:v>8.077817744101548</c:v>
                </c:pt>
                <c:pt idx="10">
                  <c:v>8.7119007645620972</c:v>
                </c:pt>
                <c:pt idx="11">
                  <c:v>7.8154822069366414</c:v>
                </c:pt>
                <c:pt idx="12">
                  <c:v>7.8519011465352007</c:v>
                </c:pt>
                <c:pt idx="13">
                  <c:v>7.8997690159201683</c:v>
                </c:pt>
                <c:pt idx="14">
                  <c:v>7.9659935916920501</c:v>
                </c:pt>
                <c:pt idx="15">
                  <c:v>8.0146156799495873</c:v>
                </c:pt>
                <c:pt idx="16">
                  <c:v>8.058922224212111</c:v>
                </c:pt>
                <c:pt idx="17">
                  <c:v>8.0985750127382072</c:v>
                </c:pt>
                <c:pt idx="18">
                  <c:v>8.1399103325282347</c:v>
                </c:pt>
                <c:pt idx="19">
                  <c:v>8.1736007712211318</c:v>
                </c:pt>
                <c:pt idx="20">
                  <c:v>8.2107619326212209</c:v>
                </c:pt>
                <c:pt idx="21">
                  <c:v>8.2529179019557155</c:v>
                </c:pt>
                <c:pt idx="22">
                  <c:v>8.2928843329108926</c:v>
                </c:pt>
                <c:pt idx="23">
                  <c:v>8.3325113445622101</c:v>
                </c:pt>
                <c:pt idx="24">
                  <c:v>8.3801076698848807</c:v>
                </c:pt>
                <c:pt idx="25">
                  <c:v>8.4283160725445487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7.4533977210465165</c:v>
                </c:pt>
                <c:pt idx="1">
                  <c:v>9.6402914284411594</c:v>
                </c:pt>
                <c:pt idx="2">
                  <c:v>9.6565284049571449</c:v>
                </c:pt>
                <c:pt idx="3">
                  <c:v>9.3633055853096199</c:v>
                </c:pt>
                <c:pt idx="4">
                  <c:v>9.4873040570003777</c:v>
                </c:pt>
                <c:pt idx="5">
                  <c:v>9.0328897579836376</c:v>
                </c:pt>
                <c:pt idx="6">
                  <c:v>10.067518877132974</c:v>
                </c:pt>
                <c:pt idx="7">
                  <c:v>10.260715582861986</c:v>
                </c:pt>
                <c:pt idx="8">
                  <c:v>10.639545655659223</c:v>
                </c:pt>
                <c:pt idx="9">
                  <c:v>10.95672977042833</c:v>
                </c:pt>
                <c:pt idx="10">
                  <c:v>11.001883705458065</c:v>
                </c:pt>
                <c:pt idx="11">
                  <c:v>16.23493999390395</c:v>
                </c:pt>
                <c:pt idx="12">
                  <c:v>16.581418807358681</c:v>
                </c:pt>
                <c:pt idx="13">
                  <c:v>16.940217895142144</c:v>
                </c:pt>
                <c:pt idx="14">
                  <c:v>17.329627726360158</c:v>
                </c:pt>
                <c:pt idx="15">
                  <c:v>17.680149098148942</c:v>
                </c:pt>
                <c:pt idx="16">
                  <c:v>18.014640162263404</c:v>
                </c:pt>
                <c:pt idx="17">
                  <c:v>18.345791199127664</c:v>
                </c:pt>
                <c:pt idx="18">
                  <c:v>18.688578097210915</c:v>
                </c:pt>
                <c:pt idx="19">
                  <c:v>19.027156568805363</c:v>
                </c:pt>
                <c:pt idx="20">
                  <c:v>19.366276900294569</c:v>
                </c:pt>
                <c:pt idx="21">
                  <c:v>19.690003395597188</c:v>
                </c:pt>
                <c:pt idx="22">
                  <c:v>20.009658742891062</c:v>
                </c:pt>
                <c:pt idx="23">
                  <c:v>20.357763842913297</c:v>
                </c:pt>
                <c:pt idx="24">
                  <c:v>20.707567011034541</c:v>
                </c:pt>
                <c:pt idx="25">
                  <c:v>21.055821572998454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4.3847456175225963</c:v>
                </c:pt>
                <c:pt idx="1">
                  <c:v>4.9115292651673448</c:v>
                </c:pt>
                <c:pt idx="2">
                  <c:v>5.1879496914215508</c:v>
                </c:pt>
                <c:pt idx="3">
                  <c:v>4.5116944284687852</c:v>
                </c:pt>
                <c:pt idx="4">
                  <c:v>4.7548846718762015</c:v>
                </c:pt>
                <c:pt idx="5">
                  <c:v>4.4444232941510675</c:v>
                </c:pt>
                <c:pt idx="6">
                  <c:v>4.8746564590373804</c:v>
                </c:pt>
                <c:pt idx="7">
                  <c:v>4.676208807640184</c:v>
                </c:pt>
                <c:pt idx="8">
                  <c:v>4.5919056855440168</c:v>
                </c:pt>
                <c:pt idx="9">
                  <c:v>4.4270085893151121</c:v>
                </c:pt>
                <c:pt idx="10">
                  <c:v>4.6873216411379666</c:v>
                </c:pt>
                <c:pt idx="11">
                  <c:v>3.8525308087656853</c:v>
                </c:pt>
                <c:pt idx="12">
                  <c:v>3.8948131279753908</c:v>
                </c:pt>
                <c:pt idx="13">
                  <c:v>3.9428531196105729</c:v>
                </c:pt>
                <c:pt idx="14">
                  <c:v>4.0017784635565326</c:v>
                </c:pt>
                <c:pt idx="15">
                  <c:v>4.0581613546153656</c:v>
                </c:pt>
                <c:pt idx="16">
                  <c:v>4.1010754762309976</c:v>
                </c:pt>
                <c:pt idx="17">
                  <c:v>4.141769151668913</c:v>
                </c:pt>
                <c:pt idx="18">
                  <c:v>4.16946411438804</c:v>
                </c:pt>
                <c:pt idx="19">
                  <c:v>4.2192408933339731</c:v>
                </c:pt>
                <c:pt idx="20">
                  <c:v>4.2556795079149445</c:v>
                </c:pt>
                <c:pt idx="21">
                  <c:v>4.291783265899463</c:v>
                </c:pt>
                <c:pt idx="22">
                  <c:v>4.3167468241689884</c:v>
                </c:pt>
                <c:pt idx="23">
                  <c:v>4.3694149889279021</c:v>
                </c:pt>
                <c:pt idx="24">
                  <c:v>4.396658789070985</c:v>
                </c:pt>
                <c:pt idx="25">
                  <c:v>4.4519253372123764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6.1358370109161919</c:v>
                </c:pt>
                <c:pt idx="1">
                  <c:v>5.4715088391413067</c:v>
                </c:pt>
                <c:pt idx="2">
                  <c:v>5.9313934480462045</c:v>
                </c:pt>
                <c:pt idx="3">
                  <c:v>6.1979401114567665</c:v>
                </c:pt>
                <c:pt idx="4">
                  <c:v>6.3931837189110832</c:v>
                </c:pt>
                <c:pt idx="5">
                  <c:v>7.5269975158661087</c:v>
                </c:pt>
                <c:pt idx="6">
                  <c:v>6.901704513757366</c:v>
                </c:pt>
                <c:pt idx="7">
                  <c:v>7.3001313924002416</c:v>
                </c:pt>
                <c:pt idx="8">
                  <c:v>6.6834593502709687</c:v>
                </c:pt>
                <c:pt idx="9">
                  <c:v>7.4707121265529306</c:v>
                </c:pt>
                <c:pt idx="10">
                  <c:v>7.6956038424600592</c:v>
                </c:pt>
                <c:pt idx="11">
                  <c:v>6.5926783745323458</c:v>
                </c:pt>
                <c:pt idx="12">
                  <c:v>6.482429479434499</c:v>
                </c:pt>
                <c:pt idx="13">
                  <c:v>6.4840839145934428</c:v>
                </c:pt>
                <c:pt idx="14">
                  <c:v>6.5572983869707073</c:v>
                </c:pt>
                <c:pt idx="15">
                  <c:v>6.6237757922128777</c:v>
                </c:pt>
                <c:pt idx="16">
                  <c:v>6.6817764358186151</c:v>
                </c:pt>
                <c:pt idx="17">
                  <c:v>6.7373164559830316</c:v>
                </c:pt>
                <c:pt idx="18">
                  <c:v>6.7934236250218554</c:v>
                </c:pt>
                <c:pt idx="19">
                  <c:v>6.8516628953631509</c:v>
                </c:pt>
                <c:pt idx="20">
                  <c:v>6.9163311270490508</c:v>
                </c:pt>
                <c:pt idx="21">
                  <c:v>6.974713838818829</c:v>
                </c:pt>
                <c:pt idx="22">
                  <c:v>7.0407353930975782</c:v>
                </c:pt>
                <c:pt idx="23">
                  <c:v>7.1101317053477757</c:v>
                </c:pt>
                <c:pt idx="24">
                  <c:v>7.1742310849897191</c:v>
                </c:pt>
                <c:pt idx="25">
                  <c:v>7.2418470917099587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27.396421917111951</c:v>
                </c:pt>
                <c:pt idx="1">
                  <c:v>25.170550804360587</c:v>
                </c:pt>
                <c:pt idx="2">
                  <c:v>25.785441661630312</c:v>
                </c:pt>
                <c:pt idx="3">
                  <c:v>25.848239309712579</c:v>
                </c:pt>
                <c:pt idx="4">
                  <c:v>26.610150107326568</c:v>
                </c:pt>
                <c:pt idx="5">
                  <c:v>27.483441028271098</c:v>
                </c:pt>
                <c:pt idx="6">
                  <c:v>27.354400172788644</c:v>
                </c:pt>
                <c:pt idx="7">
                  <c:v>28.465554515110441</c:v>
                </c:pt>
                <c:pt idx="8">
                  <c:v>28.199689935393778</c:v>
                </c:pt>
                <c:pt idx="9">
                  <c:v>27.784113801495693</c:v>
                </c:pt>
                <c:pt idx="10">
                  <c:v>28.718892057032409</c:v>
                </c:pt>
                <c:pt idx="11">
                  <c:v>28.096094200104869</c:v>
                </c:pt>
                <c:pt idx="12">
                  <c:v>28.231960806747463</c:v>
                </c:pt>
                <c:pt idx="13">
                  <c:v>28.403473791440305</c:v>
                </c:pt>
                <c:pt idx="14">
                  <c:v>28.625037726235938</c:v>
                </c:pt>
                <c:pt idx="15">
                  <c:v>28.782348842639074</c:v>
                </c:pt>
                <c:pt idx="16">
                  <c:v>28.916110864929045</c:v>
                </c:pt>
                <c:pt idx="17">
                  <c:v>29.040512978859791</c:v>
                </c:pt>
                <c:pt idx="18">
                  <c:v>29.188975349308965</c:v>
                </c:pt>
                <c:pt idx="19">
                  <c:v>29.332626776366556</c:v>
                </c:pt>
                <c:pt idx="20">
                  <c:v>29.496665920596229</c:v>
                </c:pt>
                <c:pt idx="21">
                  <c:v>29.662070437916896</c:v>
                </c:pt>
                <c:pt idx="22">
                  <c:v>29.831611485222755</c:v>
                </c:pt>
                <c:pt idx="23">
                  <c:v>29.991126299678367</c:v>
                </c:pt>
                <c:pt idx="24">
                  <c:v>30.169292474128479</c:v>
                </c:pt>
                <c:pt idx="25">
                  <c:v>30.332034577933754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45.161833904360783</c:v>
                </c:pt>
                <c:pt idx="1">
                  <c:v>46.115132316247106</c:v>
                </c:pt>
                <c:pt idx="2">
                  <c:v>47.259612307060713</c:v>
                </c:pt>
                <c:pt idx="3">
                  <c:v>45.025754410125693</c:v>
                </c:pt>
                <c:pt idx="4">
                  <c:v>46.156371669307241</c:v>
                </c:pt>
                <c:pt idx="5">
                  <c:v>49.13839945665805</c:v>
                </c:pt>
                <c:pt idx="6">
                  <c:v>47.207392482003854</c:v>
                </c:pt>
                <c:pt idx="7">
                  <c:v>48.978127392640424</c:v>
                </c:pt>
                <c:pt idx="8">
                  <c:v>47.50528606050662</c:v>
                </c:pt>
                <c:pt idx="9">
                  <c:v>45.165151846246381</c:v>
                </c:pt>
                <c:pt idx="10">
                  <c:v>47.19806700974938</c:v>
                </c:pt>
                <c:pt idx="11">
                  <c:v>48.521030989910265</c:v>
                </c:pt>
                <c:pt idx="12">
                  <c:v>48.62660030461786</c:v>
                </c:pt>
                <c:pt idx="13">
                  <c:v>48.723386233326174</c:v>
                </c:pt>
                <c:pt idx="14">
                  <c:v>48.874779378086927</c:v>
                </c:pt>
                <c:pt idx="15">
                  <c:v>48.934345395177246</c:v>
                </c:pt>
                <c:pt idx="16">
                  <c:v>48.927854583739013</c:v>
                </c:pt>
                <c:pt idx="17">
                  <c:v>48.865408449766718</c:v>
                </c:pt>
                <c:pt idx="18">
                  <c:v>48.781326157439551</c:v>
                </c:pt>
                <c:pt idx="19">
                  <c:v>48.705437401308153</c:v>
                </c:pt>
                <c:pt idx="20">
                  <c:v>48.659816475317555</c:v>
                </c:pt>
                <c:pt idx="21">
                  <c:v>48.595596153685619</c:v>
                </c:pt>
                <c:pt idx="22">
                  <c:v>48.503865639209117</c:v>
                </c:pt>
                <c:pt idx="23">
                  <c:v>48.40223085676103</c:v>
                </c:pt>
                <c:pt idx="24">
                  <c:v>48.273035160713384</c:v>
                </c:pt>
                <c:pt idx="25">
                  <c:v>48.119806641230511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12.677210249266141</c:v>
                </c:pt>
                <c:pt idx="1">
                  <c:v>11.79313347014247</c:v>
                </c:pt>
                <c:pt idx="2">
                  <c:v>11.397119315294336</c:v>
                </c:pt>
                <c:pt idx="3">
                  <c:v>11.40481454397508</c:v>
                </c:pt>
                <c:pt idx="4">
                  <c:v>11.296172004140892</c:v>
                </c:pt>
                <c:pt idx="5">
                  <c:v>10.999553279205751</c:v>
                </c:pt>
                <c:pt idx="6">
                  <c:v>10.405000766087859</c:v>
                </c:pt>
                <c:pt idx="7">
                  <c:v>11.127101017212677</c:v>
                </c:pt>
                <c:pt idx="8">
                  <c:v>10.89016882431976</c:v>
                </c:pt>
                <c:pt idx="9">
                  <c:v>9.4948630690001181</c:v>
                </c:pt>
                <c:pt idx="10">
                  <c:v>9.2803332734652102</c:v>
                </c:pt>
                <c:pt idx="11">
                  <c:v>9.2229906294252366</c:v>
                </c:pt>
                <c:pt idx="12">
                  <c:v>9.1051740138672326</c:v>
                </c:pt>
                <c:pt idx="13">
                  <c:v>8.9455234029814577</c:v>
                </c:pt>
                <c:pt idx="14">
                  <c:v>8.7828592870581037</c:v>
                </c:pt>
                <c:pt idx="15">
                  <c:v>8.5683495355485668</c:v>
                </c:pt>
                <c:pt idx="16">
                  <c:v>8.2790560122975378</c:v>
                </c:pt>
                <c:pt idx="17">
                  <c:v>8.0044120477194394</c:v>
                </c:pt>
                <c:pt idx="18">
                  <c:v>7.7009934956836306</c:v>
                </c:pt>
                <c:pt idx="19">
                  <c:v>7.3735186220704341</c:v>
                </c:pt>
                <c:pt idx="20">
                  <c:v>7.0418345244859051</c:v>
                </c:pt>
                <c:pt idx="21">
                  <c:v>6.6973245697938655</c:v>
                </c:pt>
                <c:pt idx="22">
                  <c:v>6.3750084277828707</c:v>
                </c:pt>
                <c:pt idx="23">
                  <c:v>5.9894477276361933</c:v>
                </c:pt>
                <c:pt idx="24">
                  <c:v>5.6545381434970423</c:v>
                </c:pt>
                <c:pt idx="25">
                  <c:v>5.4074642547867375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4.0804356626135707</c:v>
                </c:pt>
                <c:pt idx="1">
                  <c:v>3.5904698845939786</c:v>
                </c:pt>
                <c:pt idx="2">
                  <c:v>4.3377884149111736</c:v>
                </c:pt>
                <c:pt idx="3">
                  <c:v>3.2697117352010374</c:v>
                </c:pt>
                <c:pt idx="4">
                  <c:v>3.2934022970348691</c:v>
                </c:pt>
                <c:pt idx="5">
                  <c:v>4.3313158907234133</c:v>
                </c:pt>
                <c:pt idx="6">
                  <c:v>3.5746174495726146</c:v>
                </c:pt>
                <c:pt idx="7">
                  <c:v>3.2279705212636531</c:v>
                </c:pt>
                <c:pt idx="8">
                  <c:v>3.8565027737642157</c:v>
                </c:pt>
                <c:pt idx="9">
                  <c:v>3.8065912759839784</c:v>
                </c:pt>
                <c:pt idx="10">
                  <c:v>3.1931450848658716</c:v>
                </c:pt>
                <c:pt idx="11">
                  <c:v>3.000025546873188</c:v>
                </c:pt>
                <c:pt idx="12">
                  <c:v>3.0229955747757788</c:v>
                </c:pt>
                <c:pt idx="13">
                  <c:v>3.0739443956127133</c:v>
                </c:pt>
                <c:pt idx="14">
                  <c:v>3.1338122591334989</c:v>
                </c:pt>
                <c:pt idx="15">
                  <c:v>3.1783302802326965</c:v>
                </c:pt>
                <c:pt idx="16">
                  <c:v>3.2164484202735721</c:v>
                </c:pt>
                <c:pt idx="17">
                  <c:v>3.2540898516374219</c:v>
                </c:pt>
                <c:pt idx="18">
                  <c:v>3.2905192035288575</c:v>
                </c:pt>
                <c:pt idx="19">
                  <c:v>3.3255755888374736</c:v>
                </c:pt>
                <c:pt idx="20">
                  <c:v>3.360905788842615</c:v>
                </c:pt>
                <c:pt idx="21">
                  <c:v>3.3965502655477238</c:v>
                </c:pt>
                <c:pt idx="22">
                  <c:v>3.431174816528475</c:v>
                </c:pt>
                <c:pt idx="23">
                  <c:v>3.4663555657555989</c:v>
                </c:pt>
                <c:pt idx="24">
                  <c:v>3.5009461510901092</c:v>
                </c:pt>
                <c:pt idx="25">
                  <c:v>3.5350171502669578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26.66129865315596</c:v>
                </c:pt>
                <c:pt idx="1">
                  <c:v>27.83055534218758</c:v>
                </c:pt>
                <c:pt idx="2">
                  <c:v>26.20716600711464</c:v>
                </c:pt>
                <c:pt idx="3">
                  <c:v>26.962480865521833</c:v>
                </c:pt>
                <c:pt idx="4">
                  <c:v>27.624335576488797</c:v>
                </c:pt>
                <c:pt idx="5">
                  <c:v>28.622677836919465</c:v>
                </c:pt>
                <c:pt idx="6">
                  <c:v>25.724720859878783</c:v>
                </c:pt>
                <c:pt idx="7">
                  <c:v>25.63521216485772</c:v>
                </c:pt>
                <c:pt idx="8">
                  <c:v>26.539787075308936</c:v>
                </c:pt>
                <c:pt idx="9">
                  <c:v>28.343637186861034</c:v>
                </c:pt>
                <c:pt idx="10">
                  <c:v>23.236826282247673</c:v>
                </c:pt>
                <c:pt idx="11">
                  <c:v>23.338179841592442</c:v>
                </c:pt>
                <c:pt idx="12">
                  <c:v>23.111060609401886</c:v>
                </c:pt>
                <c:pt idx="13">
                  <c:v>22.912356059530879</c:v>
                </c:pt>
                <c:pt idx="14">
                  <c:v>22.78118011778616</c:v>
                </c:pt>
                <c:pt idx="15">
                  <c:v>22.623948301451765</c:v>
                </c:pt>
                <c:pt idx="16">
                  <c:v>22.441532561883982</c:v>
                </c:pt>
                <c:pt idx="17">
                  <c:v>22.248036254789426</c:v>
                </c:pt>
                <c:pt idx="18">
                  <c:v>22.048520613267414</c:v>
                </c:pt>
                <c:pt idx="19">
                  <c:v>21.84774778894473</c:v>
                </c:pt>
                <c:pt idx="20">
                  <c:v>21.668451555421981</c:v>
                </c:pt>
                <c:pt idx="21">
                  <c:v>21.49455736296817</c:v>
                </c:pt>
                <c:pt idx="22">
                  <c:v>21.333805775260451</c:v>
                </c:pt>
                <c:pt idx="23">
                  <c:v>21.171406898518121</c:v>
                </c:pt>
                <c:pt idx="24">
                  <c:v>21.006995832243216</c:v>
                </c:pt>
                <c:pt idx="25">
                  <c:v>20.841134342227381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21.939953590862327</c:v>
                </c:pt>
                <c:pt idx="1">
                  <c:v>19.266645040314835</c:v>
                </c:pt>
                <c:pt idx="2">
                  <c:v>19.142441405836848</c:v>
                </c:pt>
                <c:pt idx="3">
                  <c:v>18.733869847113905</c:v>
                </c:pt>
                <c:pt idx="4">
                  <c:v>17.544630040894642</c:v>
                </c:pt>
                <c:pt idx="5">
                  <c:v>18.67563056886091</c:v>
                </c:pt>
                <c:pt idx="6">
                  <c:v>16.649291473084322</c:v>
                </c:pt>
                <c:pt idx="7">
                  <c:v>17.534964933690937</c:v>
                </c:pt>
                <c:pt idx="8">
                  <c:v>19.903460972146664</c:v>
                </c:pt>
                <c:pt idx="9">
                  <c:v>21.339556958033437</c:v>
                </c:pt>
                <c:pt idx="10">
                  <c:v>17.473473402618112</c:v>
                </c:pt>
                <c:pt idx="11">
                  <c:v>17.802074456191345</c:v>
                </c:pt>
                <c:pt idx="12">
                  <c:v>17.553871641391563</c:v>
                </c:pt>
                <c:pt idx="13">
                  <c:v>17.259630879328128</c:v>
                </c:pt>
                <c:pt idx="14">
                  <c:v>17.030632221728105</c:v>
                </c:pt>
                <c:pt idx="15">
                  <c:v>16.813170514329276</c:v>
                </c:pt>
                <c:pt idx="16">
                  <c:v>16.570183066320478</c:v>
                </c:pt>
                <c:pt idx="17">
                  <c:v>16.320714124061801</c:v>
                </c:pt>
                <c:pt idx="18">
                  <c:v>16.090764522811561</c:v>
                </c:pt>
                <c:pt idx="19">
                  <c:v>15.851978954891868</c:v>
                </c:pt>
                <c:pt idx="20">
                  <c:v>15.61182897587652</c:v>
                </c:pt>
                <c:pt idx="21">
                  <c:v>15.366536379950059</c:v>
                </c:pt>
                <c:pt idx="22">
                  <c:v>15.12452646765809</c:v>
                </c:pt>
                <c:pt idx="23">
                  <c:v>14.88711305207852</c:v>
                </c:pt>
                <c:pt idx="24">
                  <c:v>14.645437009021991</c:v>
                </c:pt>
                <c:pt idx="25">
                  <c:v>14.401581227548823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9.6015722392637031</c:v>
                </c:pt>
                <c:pt idx="1">
                  <c:v>8.9838529469678647</c:v>
                </c:pt>
                <c:pt idx="2">
                  <c:v>10.009486938188639</c:v>
                </c:pt>
                <c:pt idx="3">
                  <c:v>9.6592983910193144</c:v>
                </c:pt>
                <c:pt idx="4">
                  <c:v>10.070314235423769</c:v>
                </c:pt>
                <c:pt idx="5">
                  <c:v>9.6691034984265638</c:v>
                </c:pt>
                <c:pt idx="6">
                  <c:v>9.4349713612709731</c:v>
                </c:pt>
                <c:pt idx="7">
                  <c:v>10.017404449920406</c:v>
                </c:pt>
                <c:pt idx="8">
                  <c:v>8.8205941600197484</c:v>
                </c:pt>
                <c:pt idx="9">
                  <c:v>8.4461052767901954</c:v>
                </c:pt>
                <c:pt idx="10">
                  <c:v>8.3294023293213026</c:v>
                </c:pt>
                <c:pt idx="11">
                  <c:v>8.7346003628360904</c:v>
                </c:pt>
                <c:pt idx="12">
                  <c:v>8.6812833971350916</c:v>
                </c:pt>
                <c:pt idx="13">
                  <c:v>8.5838788139841959</c:v>
                </c:pt>
                <c:pt idx="14">
                  <c:v>8.4993582567234611</c:v>
                </c:pt>
                <c:pt idx="15">
                  <c:v>8.418630701072793</c:v>
                </c:pt>
                <c:pt idx="16">
                  <c:v>8.3557791134695645</c:v>
                </c:pt>
                <c:pt idx="17">
                  <c:v>8.2933978367703514</c:v>
                </c:pt>
                <c:pt idx="18">
                  <c:v>8.2410548810237412</c:v>
                </c:pt>
                <c:pt idx="19">
                  <c:v>8.1958658128328121</c:v>
                </c:pt>
                <c:pt idx="20">
                  <c:v>8.1573229237486728</c:v>
                </c:pt>
                <c:pt idx="21">
                  <c:v>8.1177118744753507</c:v>
                </c:pt>
                <c:pt idx="22">
                  <c:v>8.0787232112072669</c:v>
                </c:pt>
                <c:pt idx="23">
                  <c:v>8.0427773296705354</c:v>
                </c:pt>
                <c:pt idx="24">
                  <c:v>8.0105308423270714</c:v>
                </c:pt>
                <c:pt idx="25">
                  <c:v>7.9851910077103829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40.033207993116129</c:v>
                </c:pt>
                <c:pt idx="1">
                  <c:v>37.959200933851491</c:v>
                </c:pt>
                <c:pt idx="2">
                  <c:v>38.406042557451272</c:v>
                </c:pt>
                <c:pt idx="3">
                  <c:v>38.25971965827393</c:v>
                </c:pt>
                <c:pt idx="4">
                  <c:v>39.543933941939827</c:v>
                </c:pt>
                <c:pt idx="5">
                  <c:v>38.549226321705426</c:v>
                </c:pt>
                <c:pt idx="6">
                  <c:v>41.942520287753219</c:v>
                </c:pt>
                <c:pt idx="7">
                  <c:v>42.545881975677794</c:v>
                </c:pt>
                <c:pt idx="8">
                  <c:v>40.176890723472624</c:v>
                </c:pt>
                <c:pt idx="9">
                  <c:v>41.06186937421402</c:v>
                </c:pt>
                <c:pt idx="10">
                  <c:v>39.709013980070296</c:v>
                </c:pt>
                <c:pt idx="11">
                  <c:v>39.796551981074991</c:v>
                </c:pt>
                <c:pt idx="12">
                  <c:v>40.17282886044498</c:v>
                </c:pt>
                <c:pt idx="13">
                  <c:v>40.600369369332732</c:v>
                </c:pt>
                <c:pt idx="14">
                  <c:v>41.081983670496363</c:v>
                </c:pt>
                <c:pt idx="15">
                  <c:v>41.475231244635403</c:v>
                </c:pt>
                <c:pt idx="16">
                  <c:v>41.831936540313038</c:v>
                </c:pt>
                <c:pt idx="17">
                  <c:v>42.179221100591789</c:v>
                </c:pt>
                <c:pt idx="18">
                  <c:v>42.547585271868698</c:v>
                </c:pt>
                <c:pt idx="19">
                  <c:v>42.905327238838119</c:v>
                </c:pt>
                <c:pt idx="20">
                  <c:v>43.25767196237328</c:v>
                </c:pt>
                <c:pt idx="21">
                  <c:v>43.624314735919803</c:v>
                </c:pt>
                <c:pt idx="22">
                  <c:v>43.986333743748489</c:v>
                </c:pt>
                <c:pt idx="23">
                  <c:v>44.372229798544247</c:v>
                </c:pt>
                <c:pt idx="24">
                  <c:v>44.758132635091087</c:v>
                </c:pt>
                <c:pt idx="25">
                  <c:v>45.131434884626096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8.9170316585108402</c:v>
                </c:pt>
                <c:pt idx="1">
                  <c:v>10.106101074173059</c:v>
                </c:pt>
                <c:pt idx="2">
                  <c:v>9.5986225024087659</c:v>
                </c:pt>
                <c:pt idx="3">
                  <c:v>9.629906686369667</c:v>
                </c:pt>
                <c:pt idx="4">
                  <c:v>9.3786792670014645</c:v>
                </c:pt>
                <c:pt idx="5">
                  <c:v>11.482295485656088</c:v>
                </c:pt>
                <c:pt idx="6">
                  <c:v>11.59041013138896</c:v>
                </c:pt>
                <c:pt idx="7">
                  <c:v>11.344925892794912</c:v>
                </c:pt>
                <c:pt idx="8">
                  <c:v>10.053805296838449</c:v>
                </c:pt>
                <c:pt idx="9">
                  <c:v>10.028377892597495</c:v>
                </c:pt>
                <c:pt idx="10">
                  <c:v>9.1820078898329758</c:v>
                </c:pt>
                <c:pt idx="11">
                  <c:v>8.4633732149837755</c:v>
                </c:pt>
                <c:pt idx="12">
                  <c:v>8.453901237748342</c:v>
                </c:pt>
                <c:pt idx="13">
                  <c:v>8.4589634797514908</c:v>
                </c:pt>
                <c:pt idx="14">
                  <c:v>8.4761662827212447</c:v>
                </c:pt>
                <c:pt idx="15">
                  <c:v>8.4814204479781505</c:v>
                </c:pt>
                <c:pt idx="16">
                  <c:v>8.4810299922760883</c:v>
                </c:pt>
                <c:pt idx="17">
                  <c:v>8.4773581309553396</c:v>
                </c:pt>
                <c:pt idx="18">
                  <c:v>8.4691619641651492</c:v>
                </c:pt>
                <c:pt idx="19">
                  <c:v>8.4584087074777905</c:v>
                </c:pt>
                <c:pt idx="20">
                  <c:v>8.449667638645888</c:v>
                </c:pt>
                <c:pt idx="21">
                  <c:v>8.4422304498937866</c:v>
                </c:pt>
                <c:pt idx="22">
                  <c:v>8.4333252347715515</c:v>
                </c:pt>
                <c:pt idx="23">
                  <c:v>8.4215295495555402</c:v>
                </c:pt>
                <c:pt idx="24">
                  <c:v>8.4158876783859125</c:v>
                </c:pt>
                <c:pt idx="25">
                  <c:v>8.4132106883947344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0.69931281484444596</c:v>
                </c:pt>
                <c:pt idx="1">
                  <c:v>0.47173256635525912</c:v>
                </c:pt>
                <c:pt idx="2">
                  <c:v>0.49885847169289999</c:v>
                </c:pt>
                <c:pt idx="3">
                  <c:v>0.43077282967818464</c:v>
                </c:pt>
                <c:pt idx="4">
                  <c:v>0.50545336541669728</c:v>
                </c:pt>
                <c:pt idx="5">
                  <c:v>0.44667082132503066</c:v>
                </c:pt>
                <c:pt idx="6">
                  <c:v>0.38144392549890038</c:v>
                </c:pt>
                <c:pt idx="7">
                  <c:v>0.4126788318053074</c:v>
                </c:pt>
                <c:pt idx="8">
                  <c:v>0.43019657578683407</c:v>
                </c:pt>
                <c:pt idx="9">
                  <c:v>0.3674632446263803</c:v>
                </c:pt>
                <c:pt idx="10">
                  <c:v>0.44693455623107448</c:v>
                </c:pt>
                <c:pt idx="11">
                  <c:v>0.32347867998120783</c:v>
                </c:pt>
                <c:pt idx="12">
                  <c:v>0.3271134614801115</c:v>
                </c:pt>
                <c:pt idx="13">
                  <c:v>0.33103501211472541</c:v>
                </c:pt>
                <c:pt idx="14">
                  <c:v>0.33582043698388281</c:v>
                </c:pt>
                <c:pt idx="15">
                  <c:v>0.34088140481104534</c:v>
                </c:pt>
                <c:pt idx="16">
                  <c:v>0.34444049953339206</c:v>
                </c:pt>
                <c:pt idx="17">
                  <c:v>0.34778056410097186</c:v>
                </c:pt>
                <c:pt idx="18">
                  <c:v>0.3500995389628801</c:v>
                </c:pt>
                <c:pt idx="19">
                  <c:v>0.35466166691610529</c:v>
                </c:pt>
                <c:pt idx="20">
                  <c:v>0.35801815465109366</c:v>
                </c:pt>
                <c:pt idx="21">
                  <c:v>0.36134168404027395</c:v>
                </c:pt>
                <c:pt idx="22">
                  <c:v>0.3637003701367264</c:v>
                </c:pt>
                <c:pt idx="23">
                  <c:v>0.36819743333784483</c:v>
                </c:pt>
                <c:pt idx="24">
                  <c:v>0.3706192749372143</c:v>
                </c:pt>
                <c:pt idx="25">
                  <c:v>0.37504575772625592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33.039305303843605</c:v>
                </c:pt>
                <c:pt idx="1">
                  <c:v>34.189149003085035</c:v>
                </c:pt>
                <c:pt idx="2">
                  <c:v>35.184989148868588</c:v>
                </c:pt>
                <c:pt idx="3">
                  <c:v>34.562793579659036</c:v>
                </c:pt>
                <c:pt idx="4">
                  <c:v>36.447825021672372</c:v>
                </c:pt>
                <c:pt idx="5">
                  <c:v>34.223800198352485</c:v>
                </c:pt>
                <c:pt idx="6">
                  <c:v>33.259163684145626</c:v>
                </c:pt>
                <c:pt idx="7">
                  <c:v>33.681160277601087</c:v>
                </c:pt>
                <c:pt idx="8">
                  <c:v>32.137963975215577</c:v>
                </c:pt>
                <c:pt idx="9">
                  <c:v>30.736255514037811</c:v>
                </c:pt>
                <c:pt idx="10">
                  <c:v>30.25093913476638</c:v>
                </c:pt>
                <c:pt idx="11">
                  <c:v>29.489034465291272</c:v>
                </c:pt>
                <c:pt idx="12">
                  <c:v>29.40531029337653</c:v>
                </c:pt>
                <c:pt idx="13">
                  <c:v>29.361841694069234</c:v>
                </c:pt>
                <c:pt idx="14">
                  <c:v>29.329205994652618</c:v>
                </c:pt>
                <c:pt idx="15">
                  <c:v>29.213833101714457</c:v>
                </c:pt>
                <c:pt idx="16">
                  <c:v>29.072678331907959</c:v>
                </c:pt>
                <c:pt idx="17">
                  <c:v>28.916500607453717</c:v>
                </c:pt>
                <c:pt idx="18">
                  <c:v>28.761276427920073</c:v>
                </c:pt>
                <c:pt idx="19">
                  <c:v>28.605284093976394</c:v>
                </c:pt>
                <c:pt idx="20">
                  <c:v>28.450220185999903</c:v>
                </c:pt>
                <c:pt idx="21">
                  <c:v>28.348009535349256</c:v>
                </c:pt>
                <c:pt idx="22">
                  <c:v>28.236599049586736</c:v>
                </c:pt>
                <c:pt idx="23">
                  <c:v>28.118086392221503</c:v>
                </c:pt>
                <c:pt idx="24">
                  <c:v>27.979102179651765</c:v>
                </c:pt>
                <c:pt idx="25">
                  <c:v>27.813348952284226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8.3395096194587559</c:v>
                </c:pt>
                <c:pt idx="1">
                  <c:v>8.3125318052839425</c:v>
                </c:pt>
                <c:pt idx="2">
                  <c:v>8.5681483493012749</c:v>
                </c:pt>
                <c:pt idx="3">
                  <c:v>8.395984707624514</c:v>
                </c:pt>
                <c:pt idx="4">
                  <c:v>7.9688909618676904</c:v>
                </c:pt>
                <c:pt idx="5">
                  <c:v>9.0886906437377402</c:v>
                </c:pt>
                <c:pt idx="6">
                  <c:v>8.9232366047213176</c:v>
                </c:pt>
                <c:pt idx="7">
                  <c:v>9.8278451024031526</c:v>
                </c:pt>
                <c:pt idx="8">
                  <c:v>9.551928473973426</c:v>
                </c:pt>
                <c:pt idx="9">
                  <c:v>8.8480017178491579</c:v>
                </c:pt>
                <c:pt idx="10">
                  <c:v>9.088846806026746</c:v>
                </c:pt>
                <c:pt idx="11">
                  <c:v>9.6570431882925938</c:v>
                </c:pt>
                <c:pt idx="12">
                  <c:v>9.792643748489132</c:v>
                </c:pt>
                <c:pt idx="13">
                  <c:v>9.9167425379998182</c:v>
                </c:pt>
                <c:pt idx="14">
                  <c:v>10.047613464004355</c:v>
                </c:pt>
                <c:pt idx="15">
                  <c:v>10.158634946145103</c:v>
                </c:pt>
                <c:pt idx="16">
                  <c:v>10.260042756732146</c:v>
                </c:pt>
                <c:pt idx="17">
                  <c:v>10.363908112495128</c:v>
                </c:pt>
                <c:pt idx="18">
                  <c:v>10.474384463680645</c:v>
                </c:pt>
                <c:pt idx="19">
                  <c:v>10.587937204480779</c:v>
                </c:pt>
                <c:pt idx="20">
                  <c:v>10.704467004996365</c:v>
                </c:pt>
                <c:pt idx="21">
                  <c:v>10.814373994009941</c:v>
                </c:pt>
                <c:pt idx="22">
                  <c:v>10.922207287626129</c:v>
                </c:pt>
                <c:pt idx="23">
                  <c:v>11.036680750426164</c:v>
                </c:pt>
                <c:pt idx="24">
                  <c:v>11.150684097245206</c:v>
                </c:pt>
                <c:pt idx="25">
                  <c:v>11.267733851765355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22.556040057468323</c:v>
                </c:pt>
                <c:pt idx="1">
                  <c:v>21.419891198961672</c:v>
                </c:pt>
                <c:pt idx="2">
                  <c:v>21.667953124371614</c:v>
                </c:pt>
                <c:pt idx="3">
                  <c:v>22.57750804022017</c:v>
                </c:pt>
                <c:pt idx="4">
                  <c:v>23.080935372543745</c:v>
                </c:pt>
                <c:pt idx="5">
                  <c:v>23.01767694669358</c:v>
                </c:pt>
                <c:pt idx="6">
                  <c:v>21.877360281524926</c:v>
                </c:pt>
                <c:pt idx="7">
                  <c:v>22.023418013640295</c:v>
                </c:pt>
                <c:pt idx="8">
                  <c:v>22.659305985348212</c:v>
                </c:pt>
                <c:pt idx="9">
                  <c:v>21.737054143198129</c:v>
                </c:pt>
                <c:pt idx="10">
                  <c:v>18.382917992462492</c:v>
                </c:pt>
                <c:pt idx="11">
                  <c:v>19.559552072302932</c:v>
                </c:pt>
                <c:pt idx="12">
                  <c:v>19.398774453526308</c:v>
                </c:pt>
                <c:pt idx="13">
                  <c:v>19.246292744552036</c:v>
                </c:pt>
                <c:pt idx="14">
                  <c:v>19.147109959960545</c:v>
                </c:pt>
                <c:pt idx="15">
                  <c:v>18.988071519329377</c:v>
                </c:pt>
                <c:pt idx="16">
                  <c:v>18.868385278760655</c:v>
                </c:pt>
                <c:pt idx="17">
                  <c:v>18.739676010248846</c:v>
                </c:pt>
                <c:pt idx="18">
                  <c:v>18.601664119330756</c:v>
                </c:pt>
                <c:pt idx="19">
                  <c:v>18.44890236311058</c:v>
                </c:pt>
                <c:pt idx="20">
                  <c:v>18.30414557743045</c:v>
                </c:pt>
                <c:pt idx="21">
                  <c:v>18.152541136717932</c:v>
                </c:pt>
                <c:pt idx="22">
                  <c:v>18.013878744319442</c:v>
                </c:pt>
                <c:pt idx="23">
                  <c:v>17.868412596281225</c:v>
                </c:pt>
                <c:pt idx="24">
                  <c:v>17.697197779534473</c:v>
                </c:pt>
                <c:pt idx="25">
                  <c:v>17.514325366127888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20.417005623951216</c:v>
                </c:pt>
                <c:pt idx="1">
                  <c:v>19.438612700450893</c:v>
                </c:pt>
                <c:pt idx="2">
                  <c:v>21.935470487478948</c:v>
                </c:pt>
                <c:pt idx="3">
                  <c:v>19.71963783364766</c:v>
                </c:pt>
                <c:pt idx="4">
                  <c:v>21.32350457496058</c:v>
                </c:pt>
                <c:pt idx="5">
                  <c:v>24.123007113083549</c:v>
                </c:pt>
                <c:pt idx="6">
                  <c:v>23.881367629116085</c:v>
                </c:pt>
                <c:pt idx="7">
                  <c:v>23.087763648248085</c:v>
                </c:pt>
                <c:pt idx="8">
                  <c:v>23.963126578775782</c:v>
                </c:pt>
                <c:pt idx="9">
                  <c:v>24.835414702497779</c:v>
                </c:pt>
                <c:pt idx="10">
                  <c:v>21.975456313535553</c:v>
                </c:pt>
                <c:pt idx="11">
                  <c:v>22.593096623265204</c:v>
                </c:pt>
                <c:pt idx="12">
                  <c:v>22.587198955335431</c:v>
                </c:pt>
                <c:pt idx="13">
                  <c:v>22.630085690436871</c:v>
                </c:pt>
                <c:pt idx="14">
                  <c:v>22.702819619451699</c:v>
                </c:pt>
                <c:pt idx="15">
                  <c:v>22.740234056496391</c:v>
                </c:pt>
                <c:pt idx="16">
                  <c:v>22.751160644112346</c:v>
                </c:pt>
                <c:pt idx="17">
                  <c:v>22.751364493193641</c:v>
                </c:pt>
                <c:pt idx="18">
                  <c:v>22.74941088795148</c:v>
                </c:pt>
                <c:pt idx="19">
                  <c:v>22.743609045995921</c:v>
                </c:pt>
                <c:pt idx="20">
                  <c:v>22.746491744236565</c:v>
                </c:pt>
                <c:pt idx="21">
                  <c:v>22.737644064186092</c:v>
                </c:pt>
                <c:pt idx="22">
                  <c:v>22.729927757883896</c:v>
                </c:pt>
                <c:pt idx="23">
                  <c:v>22.718941135565149</c:v>
                </c:pt>
                <c:pt idx="24">
                  <c:v>22.704049722556011</c:v>
                </c:pt>
                <c:pt idx="25">
                  <c:v>22.68541236648149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9.9359847376257022</c:v>
                </c:pt>
                <c:pt idx="1">
                  <c:v>9.6203569958692263</c:v>
                </c:pt>
                <c:pt idx="2">
                  <c:v>9.7502072772979478</c:v>
                </c:pt>
                <c:pt idx="3">
                  <c:v>9.6280714033618509</c:v>
                </c:pt>
                <c:pt idx="4">
                  <c:v>10.441831648369302</c:v>
                </c:pt>
                <c:pt idx="5">
                  <c:v>11.487443580203085</c:v>
                </c:pt>
                <c:pt idx="6">
                  <c:v>11.160257153468608</c:v>
                </c:pt>
                <c:pt idx="7">
                  <c:v>10.041157722278529</c:v>
                </c:pt>
                <c:pt idx="8">
                  <c:v>10.375070492135515</c:v>
                </c:pt>
                <c:pt idx="9">
                  <c:v>9.8320405541299714</c:v>
                </c:pt>
                <c:pt idx="10">
                  <c:v>8.59789452449556</c:v>
                </c:pt>
                <c:pt idx="11">
                  <c:v>14.311464864783689</c:v>
                </c:pt>
                <c:pt idx="12">
                  <c:v>14.449651013489465</c:v>
                </c:pt>
                <c:pt idx="13">
                  <c:v>14.620743365617923</c:v>
                </c:pt>
                <c:pt idx="14">
                  <c:v>14.820370132033752</c:v>
                </c:pt>
                <c:pt idx="15">
                  <c:v>15.010512028853473</c:v>
                </c:pt>
                <c:pt idx="16">
                  <c:v>15.180486136732771</c:v>
                </c:pt>
                <c:pt idx="17">
                  <c:v>15.331664024007418</c:v>
                </c:pt>
                <c:pt idx="18">
                  <c:v>15.47222970714787</c:v>
                </c:pt>
                <c:pt idx="19">
                  <c:v>15.603464862428755</c:v>
                </c:pt>
                <c:pt idx="20">
                  <c:v>15.733475888513647</c:v>
                </c:pt>
                <c:pt idx="21">
                  <c:v>15.855152250746412</c:v>
                </c:pt>
                <c:pt idx="22">
                  <c:v>15.999263723713677</c:v>
                </c:pt>
                <c:pt idx="23">
                  <c:v>16.156340967408482</c:v>
                </c:pt>
                <c:pt idx="24">
                  <c:v>16.327213482031649</c:v>
                </c:pt>
                <c:pt idx="25">
                  <c:v>16.496787208058887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46.622255474480959</c:v>
                </c:pt>
                <c:pt idx="1">
                  <c:v>43.667444359899648</c:v>
                </c:pt>
                <c:pt idx="2">
                  <c:v>44.491692582093087</c:v>
                </c:pt>
                <c:pt idx="3">
                  <c:v>41.733842768792123</c:v>
                </c:pt>
                <c:pt idx="4">
                  <c:v>42.105791817742215</c:v>
                </c:pt>
                <c:pt idx="5">
                  <c:v>45.472494733851811</c:v>
                </c:pt>
                <c:pt idx="6">
                  <c:v>45.124821620365871</c:v>
                </c:pt>
                <c:pt idx="7">
                  <c:v>45.09817461403415</c:v>
                </c:pt>
                <c:pt idx="8">
                  <c:v>43.086616671143076</c:v>
                </c:pt>
                <c:pt idx="9">
                  <c:v>41.766910652938115</c:v>
                </c:pt>
                <c:pt idx="10">
                  <c:v>37.688938677596269</c:v>
                </c:pt>
                <c:pt idx="11">
                  <c:v>34.65507421061627</c:v>
                </c:pt>
                <c:pt idx="12">
                  <c:v>34.390397359717561</c:v>
                </c:pt>
                <c:pt idx="13">
                  <c:v>33.98499363077871</c:v>
                </c:pt>
                <c:pt idx="14">
                  <c:v>33.587299558125736</c:v>
                </c:pt>
                <c:pt idx="15">
                  <c:v>33.224143449787029</c:v>
                </c:pt>
                <c:pt idx="16">
                  <c:v>32.819756302483555</c:v>
                </c:pt>
                <c:pt idx="17">
                  <c:v>32.365055222918905</c:v>
                </c:pt>
                <c:pt idx="18">
                  <c:v>31.950145745807632</c:v>
                </c:pt>
                <c:pt idx="19">
                  <c:v>31.564345472285474</c:v>
                </c:pt>
                <c:pt idx="20">
                  <c:v>31.208721238350545</c:v>
                </c:pt>
                <c:pt idx="21">
                  <c:v>30.843252315007302</c:v>
                </c:pt>
                <c:pt idx="22">
                  <c:v>30.498161807946353</c:v>
                </c:pt>
                <c:pt idx="23">
                  <c:v>30.154731631867705</c:v>
                </c:pt>
                <c:pt idx="24">
                  <c:v>29.809162317025759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49.226179286534204</c:v>
                </c:pt>
                <c:pt idx="1">
                  <c:v>121.73921749855063</c:v>
                </c:pt>
                <c:pt idx="2">
                  <c:v>71.509944652399085</c:v>
                </c:pt>
                <c:pt idx="3">
                  <c:v>53.527270896017249</c:v>
                </c:pt>
                <c:pt idx="4">
                  <c:v>46.762923727753545</c:v>
                </c:pt>
                <c:pt idx="5">
                  <c:v>53.919691330747085</c:v>
                </c:pt>
                <c:pt idx="6">
                  <c:v>39.081082804049579</c:v>
                </c:pt>
                <c:pt idx="7">
                  <c:v>40.199737732609378</c:v>
                </c:pt>
                <c:pt idx="8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47.800367492375784</c:v>
                </c:pt>
                <c:pt idx="1">
                  <c:v>103.54383323968845</c:v>
                </c:pt>
                <c:pt idx="2">
                  <c:v>60.815602010650593</c:v>
                </c:pt>
                <c:pt idx="3">
                  <c:v>56.47840028321459</c:v>
                </c:pt>
                <c:pt idx="4">
                  <c:v>52.232847099052961</c:v>
                </c:pt>
                <c:pt idx="5">
                  <c:v>49.337956426134348</c:v>
                </c:pt>
                <c:pt idx="6">
                  <c:v>39.339785940793128</c:v>
                </c:pt>
                <c:pt idx="7">
                  <c:v>40.358374305998041</c:v>
                </c:pt>
                <c:pt idx="8">
                  <c:v>46.286833202091827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9.4313143338239822</c:v>
                </c:pt>
                <c:pt idx="1">
                  <c:v>23.32419138807051</c:v>
                </c:pt>
                <c:pt idx="2">
                  <c:v>13.7006929196234</c:v>
                </c:pt>
                <c:pt idx="3">
                  <c:v>10.255366647766293</c:v>
                </c:pt>
                <c:pt idx="4">
                  <c:v>8.9593756663077997</c:v>
                </c:pt>
                <c:pt idx="5">
                  <c:v>10.330551042017369</c:v>
                </c:pt>
                <c:pt idx="6">
                  <c:v>7.4876007395524455</c:v>
                </c:pt>
                <c:pt idx="7">
                  <c:v>7.701925442692974</c:v>
                </c:pt>
                <c:pt idx="8">
                  <c:v>8.8089818201452363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9.6334029618205399</c:v>
                </c:pt>
                <c:pt idx="1">
                  <c:v>20.867610902124678</c:v>
                </c:pt>
                <c:pt idx="2">
                  <c:v>12.256416242568559</c:v>
                </c:pt>
                <c:pt idx="3">
                  <c:v>11.38232229394443</c:v>
                </c:pt>
                <c:pt idx="4">
                  <c:v>10.526698649933895</c:v>
                </c:pt>
                <c:pt idx="5">
                  <c:v>9.9432795290016358</c:v>
                </c:pt>
                <c:pt idx="6">
                  <c:v>7.9283074645790057</c:v>
                </c:pt>
                <c:pt idx="7">
                  <c:v>8.1335877310080456</c:v>
                </c:pt>
                <c:pt idx="8">
                  <c:v>9.3283742250192176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8.3852664195490014</c:v>
                </c:pt>
                <c:pt idx="1">
                  <c:v>17.349782547889351</c:v>
                </c:pt>
                <c:pt idx="2">
                  <c:v>11.101978662129754</c:v>
                </c:pt>
                <c:pt idx="3">
                  <c:v>11.895267590496077</c:v>
                </c:pt>
                <c:pt idx="4">
                  <c:v>12.124868521552321</c:v>
                </c:pt>
                <c:pt idx="5">
                  <c:v>9.9845701671974023</c:v>
                </c:pt>
                <c:pt idx="6">
                  <c:v>8.5671966726316882</c:v>
                </c:pt>
                <c:pt idx="7">
                  <c:v>9.3244120522857958</c:v>
                </c:pt>
                <c:pt idx="8">
                  <c:v>11.266657366268603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7.3771673209990563E-2</c:v>
                </c:pt>
                <c:pt idx="1">
                  <c:v>8.0216071864206567E-2</c:v>
                </c:pt>
                <c:pt idx="2">
                  <c:v>8.1370214874618887E-2</c:v>
                </c:pt>
                <c:pt idx="3">
                  <c:v>8.3879295271931456E-2</c:v>
                </c:pt>
                <c:pt idx="4">
                  <c:v>8.2304199660933011E-2</c:v>
                </c:pt>
                <c:pt idx="5">
                  <c:v>8.3852664195490006E-2</c:v>
                </c:pt>
                <c:pt idx="6">
                  <c:v>8.5298944593424034E-2</c:v>
                </c:pt>
                <c:pt idx="7">
                  <c:v>8.7833961991028456E-2</c:v>
                </c:pt>
                <c:pt idx="8">
                  <c:v>9.0017645010714881E-2</c:v>
                </c:pt>
                <c:pt idx="9">
                  <c:v>9.0885135458674451E-2</c:v>
                </c:pt>
                <c:pt idx="10">
                  <c:v>9.6334029618205405E-2</c:v>
                </c:pt>
                <c:pt idx="11">
                  <c:v>8.6101268232573136E-2</c:v>
                </c:pt>
                <c:pt idx="12">
                  <c:v>8.6634438932457758E-2</c:v>
                </c:pt>
                <c:pt idx="13">
                  <c:v>8.7160336526297164E-2</c:v>
                </c:pt>
                <c:pt idx="14">
                  <c:v>8.768975325090797E-2</c:v>
                </c:pt>
                <c:pt idx="15">
                  <c:v>8.8239231553748881E-2</c:v>
                </c:pt>
                <c:pt idx="16">
                  <c:v>8.8787984060065203E-2</c:v>
                </c:pt>
                <c:pt idx="17">
                  <c:v>8.9357449442895934E-2</c:v>
                </c:pt>
                <c:pt idx="18">
                  <c:v>8.9946866697059424E-2</c:v>
                </c:pt>
                <c:pt idx="19">
                  <c:v>9.0550194015238672E-2</c:v>
                </c:pt>
                <c:pt idx="20">
                  <c:v>9.1174053353493156E-2</c:v>
                </c:pt>
                <c:pt idx="21">
                  <c:v>9.1780473072086963E-2</c:v>
                </c:pt>
                <c:pt idx="22">
                  <c:v>9.2383578070578024E-2</c:v>
                </c:pt>
                <c:pt idx="23">
                  <c:v>9.3001972766441635E-2</c:v>
                </c:pt>
                <c:pt idx="24">
                  <c:v>9.3648266006737771E-2</c:v>
                </c:pt>
                <c:pt idx="25">
                  <c:v>9.4313143338239827E-2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0.17733504505610823</c:v>
                </c:pt>
                <c:pt idx="1">
                  <c:v>0.17857231109633342</c:v>
                </c:pt>
                <c:pt idx="2">
                  <c:v>0.17359177156139335</c:v>
                </c:pt>
                <c:pt idx="3">
                  <c:v>0.17959331108201743</c:v>
                </c:pt>
                <c:pt idx="4">
                  <c:v>0.17826621447653995</c:v>
                </c:pt>
                <c:pt idx="5">
                  <c:v>0.1734978254788935</c:v>
                </c:pt>
                <c:pt idx="6">
                  <c:v>0.18432206873456233</c:v>
                </c:pt>
                <c:pt idx="7">
                  <c:v>0.18244312772670512</c:v>
                </c:pt>
                <c:pt idx="8">
                  <c:v>0.18811246879284013</c:v>
                </c:pt>
                <c:pt idx="9">
                  <c:v>0.19426192278862214</c:v>
                </c:pt>
                <c:pt idx="10">
                  <c:v>0.20867610902124678</c:v>
                </c:pt>
                <c:pt idx="11">
                  <c:v>0.20994204838127725</c:v>
                </c:pt>
                <c:pt idx="12">
                  <c:v>0.21133990151471255</c:v>
                </c:pt>
                <c:pt idx="13">
                  <c:v>0.21302660386662531</c:v>
                </c:pt>
                <c:pt idx="14">
                  <c:v>0.21474690981953798</c:v>
                </c:pt>
                <c:pt idx="15">
                  <c:v>0.21640686609265414</c:v>
                </c:pt>
                <c:pt idx="16">
                  <c:v>0.21812419514319528</c:v>
                </c:pt>
                <c:pt idx="17">
                  <c:v>0.21988330895544275</c:v>
                </c:pt>
                <c:pt idx="18">
                  <c:v>0.22155534909470509</c:v>
                </c:pt>
                <c:pt idx="19">
                  <c:v>0.22324314935374148</c:v>
                </c:pt>
                <c:pt idx="20">
                  <c:v>0.22495408849782703</c:v>
                </c:pt>
                <c:pt idx="21">
                  <c:v>0.22667749502002654</c:v>
                </c:pt>
                <c:pt idx="22">
                  <c:v>0.22834265061157771</c:v>
                </c:pt>
                <c:pt idx="23">
                  <c:v>0.23000810327489102</c:v>
                </c:pt>
                <c:pt idx="24">
                  <c:v>0.23167253951153233</c:v>
                </c:pt>
                <c:pt idx="25">
                  <c:v>0.23324191388070512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0.10979305713519295</c:v>
                </c:pt>
                <c:pt idx="1">
                  <c:v>0.11057378303983095</c:v>
                </c:pt>
                <c:pt idx="2">
                  <c:v>0.11190337377530099</c:v>
                </c:pt>
                <c:pt idx="3">
                  <c:v>0.11238214119397776</c:v>
                </c:pt>
                <c:pt idx="4">
                  <c:v>0.11201847914772294</c:v>
                </c:pt>
                <c:pt idx="5">
                  <c:v>0.11101978662129754</c:v>
                </c:pt>
                <c:pt idx="6">
                  <c:v>0.11296978494346736</c:v>
                </c:pt>
                <c:pt idx="7">
                  <c:v>0.11548500372295867</c:v>
                </c:pt>
                <c:pt idx="8">
                  <c:v>0.11499801597263927</c:v>
                </c:pt>
                <c:pt idx="9">
                  <c:v>0.11514573938806162</c:v>
                </c:pt>
                <c:pt idx="10">
                  <c:v>0.12256416242568559</c:v>
                </c:pt>
                <c:pt idx="11">
                  <c:v>0.12515466559540012</c:v>
                </c:pt>
                <c:pt idx="12">
                  <c:v>0.12568812364164225</c:v>
                </c:pt>
                <c:pt idx="13">
                  <c:v>0.12646841633751699</c:v>
                </c:pt>
                <c:pt idx="14">
                  <c:v>0.12737845046249033</c:v>
                </c:pt>
                <c:pt idx="15">
                  <c:v>0.12823353715513774</c:v>
                </c:pt>
                <c:pt idx="16">
                  <c:v>0.12907582970465833</c:v>
                </c:pt>
                <c:pt idx="17">
                  <c:v>0.12992798159341709</c:v>
                </c:pt>
                <c:pt idx="18">
                  <c:v>0.13082151008101209</c:v>
                </c:pt>
                <c:pt idx="19">
                  <c:v>0.13172523372943895</c:v>
                </c:pt>
                <c:pt idx="20">
                  <c:v>0.13260452688490176</c:v>
                </c:pt>
                <c:pt idx="21">
                  <c:v>0.13345558360159143</c:v>
                </c:pt>
                <c:pt idx="22">
                  <c:v>0.1342841345520675</c:v>
                </c:pt>
                <c:pt idx="23">
                  <c:v>0.13519346737158547</c:v>
                </c:pt>
                <c:pt idx="24">
                  <c:v>0.13609173938519295</c:v>
                </c:pt>
                <c:pt idx="25">
                  <c:v>0.137006929196234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0.11898002187430967</c:v>
                </c:pt>
                <c:pt idx="1">
                  <c:v>0.12061885048602992</c:v>
                </c:pt>
                <c:pt idx="2">
                  <c:v>0.12039855583954254</c:v>
                </c:pt>
                <c:pt idx="3">
                  <c:v>0.11740518831681562</c:v>
                </c:pt>
                <c:pt idx="4">
                  <c:v>0.11749827425981028</c:v>
                </c:pt>
                <c:pt idx="5">
                  <c:v>0.11895267590496078</c:v>
                </c:pt>
                <c:pt idx="6">
                  <c:v>0.11432414091406243</c:v>
                </c:pt>
                <c:pt idx="7">
                  <c:v>0.11735795438053295</c:v>
                </c:pt>
                <c:pt idx="8">
                  <c:v>0.11433611341464038</c:v>
                </c:pt>
                <c:pt idx="9">
                  <c:v>0.10719100214587177</c:v>
                </c:pt>
                <c:pt idx="10">
                  <c:v>0.1138232229394443</c:v>
                </c:pt>
                <c:pt idx="11">
                  <c:v>0.11546148709663885</c:v>
                </c:pt>
                <c:pt idx="12">
                  <c:v>0.11510006263915581</c:v>
                </c:pt>
                <c:pt idx="13">
                  <c:v>0.11454766944875766</c:v>
                </c:pt>
                <c:pt idx="14">
                  <c:v>0.11390153152105079</c:v>
                </c:pt>
                <c:pt idx="15">
                  <c:v>0.11316576715065062</c:v>
                </c:pt>
                <c:pt idx="16">
                  <c:v>0.11226616937198709</c:v>
                </c:pt>
                <c:pt idx="17">
                  <c:v>0.1113402584258943</c:v>
                </c:pt>
                <c:pt idx="18">
                  <c:v>0.11031746150009022</c:v>
                </c:pt>
                <c:pt idx="19">
                  <c:v>0.10926841800113507</c:v>
                </c:pt>
                <c:pt idx="20">
                  <c:v>0.1082308396284187</c:v>
                </c:pt>
                <c:pt idx="21">
                  <c:v>0.10714374160418297</c:v>
                </c:pt>
                <c:pt idx="22">
                  <c:v>0.10604674822654428</c:v>
                </c:pt>
                <c:pt idx="23">
                  <c:v>0.10480758619410727</c:v>
                </c:pt>
                <c:pt idx="24">
                  <c:v>0.10361879576246809</c:v>
                </c:pt>
                <c:pt idx="25">
                  <c:v>0.10255366647766292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0.12812216666096624</c:v>
                </c:pt>
                <c:pt idx="1">
                  <c:v>0.12429159186670967</c:v>
                </c:pt>
                <c:pt idx="2">
                  <c:v>0.12253356561748502</c:v>
                </c:pt>
                <c:pt idx="3">
                  <c:v>0.12197150687999557</c:v>
                </c:pt>
                <c:pt idx="4">
                  <c:v>0.11970730451022482</c:v>
                </c:pt>
                <c:pt idx="5">
                  <c:v>0.12124868521552321</c:v>
                </c:pt>
                <c:pt idx="6">
                  <c:v>0.1099013990657732</c:v>
                </c:pt>
                <c:pt idx="7">
                  <c:v>0.11015370811014034</c:v>
                </c:pt>
                <c:pt idx="8">
                  <c:v>0.11575542107206192</c:v>
                </c:pt>
                <c:pt idx="9">
                  <c:v>0.12145935567296101</c:v>
                </c:pt>
                <c:pt idx="10">
                  <c:v>0.10526698649933895</c:v>
                </c:pt>
                <c:pt idx="11">
                  <c:v>0.10572544356296672</c:v>
                </c:pt>
                <c:pt idx="12">
                  <c:v>0.10440869977153022</c:v>
                </c:pt>
                <c:pt idx="13">
                  <c:v>0.10294947481960613</c:v>
                </c:pt>
                <c:pt idx="14">
                  <c:v>0.1016285521218066</c:v>
                </c:pt>
                <c:pt idx="15">
                  <c:v>0.10043548042439408</c:v>
                </c:pt>
                <c:pt idx="16">
                  <c:v>9.9268872787470971E-2</c:v>
                </c:pt>
                <c:pt idx="17">
                  <c:v>9.8118032533422758E-2</c:v>
                </c:pt>
                <c:pt idx="18">
                  <c:v>9.7013775875358088E-2</c:v>
                </c:pt>
                <c:pt idx="19">
                  <c:v>9.5906192925297132E-2</c:v>
                </c:pt>
                <c:pt idx="20">
                  <c:v>9.4817721437017707E-2</c:v>
                </c:pt>
                <c:pt idx="21">
                  <c:v>9.3739244787828802E-2</c:v>
                </c:pt>
                <c:pt idx="22">
                  <c:v>9.2692769756451299E-2</c:v>
                </c:pt>
                <c:pt idx="23">
                  <c:v>9.1658338287449501E-2</c:v>
                </c:pt>
                <c:pt idx="24">
                  <c:v>9.0622797227515026E-2</c:v>
                </c:pt>
                <c:pt idx="25">
                  <c:v>8.9593756663078006E-2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0.10213351421956417</c:v>
                </c:pt>
                <c:pt idx="1">
                  <c:v>0.10109923405336008</c:v>
                </c:pt>
                <c:pt idx="2">
                  <c:v>9.9558124443855214E-2</c:v>
                </c:pt>
                <c:pt idx="3">
                  <c:v>0.10053178037632904</c:v>
                </c:pt>
                <c:pt idx="4">
                  <c:v>0.10108712601997688</c:v>
                </c:pt>
                <c:pt idx="5">
                  <c:v>9.9845701671974027E-2</c:v>
                </c:pt>
                <c:pt idx="6">
                  <c:v>0.10698591366145717</c:v>
                </c:pt>
                <c:pt idx="7">
                  <c:v>0.10602981277133594</c:v>
                </c:pt>
                <c:pt idx="8">
                  <c:v>9.9192130157709751E-2</c:v>
                </c:pt>
                <c:pt idx="9">
                  <c:v>0.100911124272574</c:v>
                </c:pt>
                <c:pt idx="10">
                  <c:v>9.9432795290016363E-2</c:v>
                </c:pt>
                <c:pt idx="11">
                  <c:v>9.7144464525239213E-2</c:v>
                </c:pt>
                <c:pt idx="12">
                  <c:v>9.7599467999404804E-2</c:v>
                </c:pt>
                <c:pt idx="13">
                  <c:v>9.8104014232223952E-2</c:v>
                </c:pt>
                <c:pt idx="14">
                  <c:v>9.8564557492802324E-2</c:v>
                </c:pt>
                <c:pt idx="15">
                  <c:v>9.8985950582185178E-2</c:v>
                </c:pt>
                <c:pt idx="16">
                  <c:v>9.9413042560070969E-2</c:v>
                </c:pt>
                <c:pt idx="17">
                  <c:v>9.9856805434189427E-2</c:v>
                </c:pt>
                <c:pt idx="18">
                  <c:v>0.10032626450688624</c:v>
                </c:pt>
                <c:pt idx="19">
                  <c:v>0.10077198096190727</c:v>
                </c:pt>
                <c:pt idx="20">
                  <c:v>0.10116535657928841</c:v>
                </c:pt>
                <c:pt idx="21">
                  <c:v>0.10159202824045485</c:v>
                </c:pt>
                <c:pt idx="22">
                  <c:v>0.10199742094863692</c:v>
                </c:pt>
                <c:pt idx="23">
                  <c:v>0.10243802935723788</c:v>
                </c:pt>
                <c:pt idx="24">
                  <c:v>0.10288301018829034</c:v>
                </c:pt>
                <c:pt idx="25">
                  <c:v>0.10330551042017369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8.5119876663777863E-2</c:v>
                </c:pt>
                <c:pt idx="1">
                  <c:v>8.8528016047659433E-2</c:v>
                </c:pt>
                <c:pt idx="2">
                  <c:v>8.9807502438832357E-2</c:v>
                </c:pt>
                <c:pt idx="3">
                  <c:v>8.9376796090451988E-2</c:v>
                </c:pt>
                <c:pt idx="4">
                  <c:v>9.0838231741617634E-2</c:v>
                </c:pt>
                <c:pt idx="5">
                  <c:v>8.5671966726316884E-2</c:v>
                </c:pt>
                <c:pt idx="6">
                  <c:v>8.3705369675430824E-2</c:v>
                </c:pt>
                <c:pt idx="7">
                  <c:v>8.4953139745357814E-2</c:v>
                </c:pt>
                <c:pt idx="8">
                  <c:v>8.1627247886259968E-2</c:v>
                </c:pt>
                <c:pt idx="9">
                  <c:v>7.7626693085705703E-2</c:v>
                </c:pt>
                <c:pt idx="10">
                  <c:v>7.9283074645790055E-2</c:v>
                </c:pt>
                <c:pt idx="11">
                  <c:v>7.8274152252149787E-2</c:v>
                </c:pt>
                <c:pt idx="12">
                  <c:v>7.8149113184295377E-2</c:v>
                </c:pt>
                <c:pt idx="13">
                  <c:v>7.8018993447338314E-2</c:v>
                </c:pt>
                <c:pt idx="14">
                  <c:v>7.7788132615292938E-2</c:v>
                </c:pt>
                <c:pt idx="15">
                  <c:v>7.7485334498117689E-2</c:v>
                </c:pt>
                <c:pt idx="16">
                  <c:v>7.7188820049728962E-2</c:v>
                </c:pt>
                <c:pt idx="17">
                  <c:v>7.6903546023099886E-2</c:v>
                </c:pt>
                <c:pt idx="18">
                  <c:v>7.6632449524413615E-2</c:v>
                </c:pt>
                <c:pt idx="19">
                  <c:v>7.6366993812535588E-2</c:v>
                </c:pt>
                <c:pt idx="20">
                  <c:v>7.6079336859953578E-2</c:v>
                </c:pt>
                <c:pt idx="21">
                  <c:v>7.5886826859044701E-2</c:v>
                </c:pt>
                <c:pt idx="22">
                  <c:v>7.5669629654303044E-2</c:v>
                </c:pt>
                <c:pt idx="23">
                  <c:v>7.5447508497934745E-2</c:v>
                </c:pt>
                <c:pt idx="24">
                  <c:v>7.5185681165042331E-2</c:v>
                </c:pt>
                <c:pt idx="25">
                  <c:v>7.4876007395524455E-2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8.8399350127579643E-2</c:v>
                </c:pt>
                <c:pt idx="1">
                  <c:v>8.5105393953697636E-2</c:v>
                </c:pt>
                <c:pt idx="2">
                  <c:v>8.9500200357665941E-2</c:v>
                </c:pt>
                <c:pt idx="3">
                  <c:v>8.8000253561583225E-2</c:v>
                </c:pt>
                <c:pt idx="4">
                  <c:v>9.0813125576481607E-2</c:v>
                </c:pt>
                <c:pt idx="5">
                  <c:v>9.3244120522857965E-2</c:v>
                </c:pt>
                <c:pt idx="6">
                  <c:v>9.0802116745560491E-2</c:v>
                </c:pt>
                <c:pt idx="7">
                  <c:v>8.8081455467191205E-2</c:v>
                </c:pt>
                <c:pt idx="8">
                  <c:v>9.1284976678950885E-2</c:v>
                </c:pt>
                <c:pt idx="9">
                  <c:v>9.1330922900737438E-2</c:v>
                </c:pt>
                <c:pt idx="10">
                  <c:v>8.1335877310080462E-2</c:v>
                </c:pt>
                <c:pt idx="11">
                  <c:v>8.4285911631461083E-2</c:v>
                </c:pt>
                <c:pt idx="12">
                  <c:v>8.3707598222536761E-2</c:v>
                </c:pt>
                <c:pt idx="13">
                  <c:v>8.317898820930994E-2</c:v>
                </c:pt>
                <c:pt idx="14">
                  <c:v>8.267371303266309E-2</c:v>
                </c:pt>
                <c:pt idx="15">
                  <c:v>8.2121641743469684E-2</c:v>
                </c:pt>
                <c:pt idx="16">
                  <c:v>8.1676618140714211E-2</c:v>
                </c:pt>
                <c:pt idx="17">
                  <c:v>8.1231541292041493E-2</c:v>
                </c:pt>
                <c:pt idx="18">
                  <c:v>8.0764133858496012E-2</c:v>
                </c:pt>
                <c:pt idx="19">
                  <c:v>8.0262559689776483E-2</c:v>
                </c:pt>
                <c:pt idx="20">
                  <c:v>7.9763254138039794E-2</c:v>
                </c:pt>
                <c:pt idx="21">
                  <c:v>7.9234870938052177E-2</c:v>
                </c:pt>
                <c:pt idx="22">
                  <c:v>7.8732449660970663E-2</c:v>
                </c:pt>
                <c:pt idx="23">
                  <c:v>7.8207966463853015E-2</c:v>
                </c:pt>
                <c:pt idx="24">
                  <c:v>7.7628722320816676E-2</c:v>
                </c:pt>
                <c:pt idx="25">
                  <c:v>7.7019254426929737E-2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0.11634529505251058</c:v>
                </c:pt>
                <c:pt idx="1">
                  <c:v>0.11099474759217248</c:v>
                </c:pt>
                <c:pt idx="2">
                  <c:v>0.11133669109130567</c:v>
                </c:pt>
                <c:pt idx="3">
                  <c:v>0.10685972722689785</c:v>
                </c:pt>
                <c:pt idx="4">
                  <c:v>0.10746704460669275</c:v>
                </c:pt>
                <c:pt idx="5">
                  <c:v>0.11266657366268604</c:v>
                </c:pt>
                <c:pt idx="6">
                  <c:v>0.11169026166626213</c:v>
                </c:pt>
                <c:pt idx="7">
                  <c:v>0.10766183608474943</c:v>
                </c:pt>
                <c:pt idx="8">
                  <c:v>0.10467598101418264</c:v>
                </c:pt>
                <c:pt idx="9">
                  <c:v>0.10118810428679198</c:v>
                </c:pt>
                <c:pt idx="10">
                  <c:v>9.3283742250192175E-2</c:v>
                </c:pt>
                <c:pt idx="11">
                  <c:v>9.7910558722293858E-2</c:v>
                </c:pt>
                <c:pt idx="12">
                  <c:v>9.7372594094264422E-2</c:v>
                </c:pt>
                <c:pt idx="13">
                  <c:v>9.6545503112324391E-2</c:v>
                </c:pt>
                <c:pt idx="14">
                  <c:v>9.5628399683448023E-2</c:v>
                </c:pt>
                <c:pt idx="15">
                  <c:v>9.4926190799642013E-2</c:v>
                </c:pt>
                <c:pt idx="16">
                  <c:v>9.4198468182108988E-2</c:v>
                </c:pt>
                <c:pt idx="17">
                  <c:v>9.3381076299596341E-2</c:v>
                </c:pt>
                <c:pt idx="18">
                  <c:v>9.2622188861978968E-2</c:v>
                </c:pt>
                <c:pt idx="19">
                  <c:v>9.1905277510929376E-2</c:v>
                </c:pt>
                <c:pt idx="20">
                  <c:v>9.1210822621059867E-2</c:v>
                </c:pt>
                <c:pt idx="21">
                  <c:v>9.0489735876731522E-2</c:v>
                </c:pt>
                <c:pt idx="22">
                  <c:v>8.9850618518870676E-2</c:v>
                </c:pt>
                <c:pt idx="23">
                  <c:v>8.9237027786499376E-2</c:v>
                </c:pt>
                <c:pt idx="24">
                  <c:v>8.8648448432404367E-2</c:v>
                </c:pt>
                <c:pt idx="25">
                  <c:v>8.8089818201452369E-2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3.9524273935769543</c:v>
                </c:pt>
                <c:pt idx="1">
                  <c:v>11.346268904764429</c:v>
                </c:pt>
                <c:pt idx="2">
                  <c:v>2.5889966680571703</c:v>
                </c:pt>
                <c:pt idx="3">
                  <c:v>-5.4779378206172993</c:v>
                </c:pt>
                <c:pt idx="4">
                  <c:v>0.63716290273828236</c:v>
                </c:pt>
                <c:pt idx="5">
                  <c:v>0.97951788275135243</c:v>
                </c:pt>
                <c:pt idx="6">
                  <c:v>-3.7282336102032616</c:v>
                </c:pt>
                <c:pt idx="7">
                  <c:v>-0.56821521408122067</c:v>
                </c:pt>
                <c:pt idx="8">
                  <c:v>-5.360987106986812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1.4552194827984977</c:v>
                </c:pt>
                <c:pt idx="1">
                  <c:v>4.4836566901636417</c:v>
                </c:pt>
                <c:pt idx="2">
                  <c:v>2.0992199787569845</c:v>
                </c:pt>
                <c:pt idx="3">
                  <c:v>1.8183853679680908</c:v>
                </c:pt>
                <c:pt idx="4">
                  <c:v>-9.7030435986156789</c:v>
                </c:pt>
                <c:pt idx="5">
                  <c:v>-2.1197540853035477</c:v>
                </c:pt>
                <c:pt idx="6">
                  <c:v>-0.24447129109383781</c:v>
                </c:pt>
                <c:pt idx="7">
                  <c:v>-6.214094539697868</c:v>
                </c:pt>
                <c:pt idx="8">
                  <c:v>-5.3121180049762557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-2.9635432414324612</c:v>
                </c:pt>
                <c:pt idx="1">
                  <c:v>6.4185548142397266</c:v>
                </c:pt>
                <c:pt idx="2">
                  <c:v>4.3434487569152509</c:v>
                </c:pt>
                <c:pt idx="3">
                  <c:v>1.0242946475112191</c:v>
                </c:pt>
                <c:pt idx="4">
                  <c:v>-1.1987673019664342</c:v>
                </c:pt>
                <c:pt idx="5">
                  <c:v>0.95957667129025026</c:v>
                </c:pt>
                <c:pt idx="6">
                  <c:v>3.2682107066428046E-2</c:v>
                </c:pt>
                <c:pt idx="7">
                  <c:v>1.3699312698277311</c:v>
                </c:pt>
                <c:pt idx="8">
                  <c:v>1.9478222765486777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4.3893550355908815</c:v>
                </c:pt>
                <c:pt idx="1">
                  <c:v>11.77682944462245</c:v>
                </c:pt>
                <c:pt idx="2">
                  <c:v>6.3508938848332406</c:v>
                </c:pt>
                <c:pt idx="3">
                  <c:v>-3.9754240347085599</c:v>
                </c:pt>
                <c:pt idx="4">
                  <c:v>-4.2711560693329815</c:v>
                </c:pt>
                <c:pt idx="5">
                  <c:v>3.6221582333224873</c:v>
                </c:pt>
                <c:pt idx="6">
                  <c:v>-0.29138524380997666</c:v>
                </c:pt>
                <c:pt idx="7">
                  <c:v>-1.5285678432163934</c:v>
                </c:pt>
                <c:pt idx="8">
                  <c:v>-2.2567034073016927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1.7830188812056278</c:v>
                </c:pt>
                <c:pt idx="1">
                  <c:v>8.4690861567320681</c:v>
                </c:pt>
                <c:pt idx="2">
                  <c:v>11.079510330737847</c:v>
                </c:pt>
                <c:pt idx="3">
                  <c:v>-6.3775980186378973</c:v>
                </c:pt>
                <c:pt idx="4">
                  <c:v>0.3979725432080885</c:v>
                </c:pt>
                <c:pt idx="5">
                  <c:v>3.2612268633044152</c:v>
                </c:pt>
                <c:pt idx="6">
                  <c:v>-1.3157675291981619</c:v>
                </c:pt>
                <c:pt idx="7">
                  <c:v>1.1255063458547223</c:v>
                </c:pt>
                <c:pt idx="8">
                  <c:v>-1.018019175199214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-0.35720708704726434</c:v>
                </c:pt>
                <c:pt idx="1">
                  <c:v>9.7262981021300732</c:v>
                </c:pt>
                <c:pt idx="2">
                  <c:v>-0.38516768898934117</c:v>
                </c:pt>
                <c:pt idx="3">
                  <c:v>3.4264686314405459</c:v>
                </c:pt>
                <c:pt idx="4">
                  <c:v>-5.8678959145074927</c:v>
                </c:pt>
                <c:pt idx="5">
                  <c:v>1.3205080413083401</c:v>
                </c:pt>
                <c:pt idx="6">
                  <c:v>1.0570643924546381</c:v>
                </c:pt>
                <c:pt idx="7">
                  <c:v>-1.2841429192434219</c:v>
                </c:pt>
                <c:pt idx="8">
                  <c:v>0.70913804444616702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0.60559692774230367</c:v>
                </c:pt>
                <c:pt idx="1">
                  <c:v>-0.72323028969761083</c:v>
                </c:pt>
                <c:pt idx="2">
                  <c:v>0.29298384140115097</c:v>
                </c:pt>
                <c:pt idx="3">
                  <c:v>-0.20415079775819689</c:v>
                </c:pt>
                <c:pt idx="4">
                  <c:v>0.25996926950360333</c:v>
                </c:pt>
                <c:pt idx="5">
                  <c:v>0.95412783797023559</c:v>
                </c:pt>
                <c:pt idx="6">
                  <c:v>-0.30715457981355176</c:v>
                </c:pt>
                <c:pt idx="7">
                  <c:v>1.3917716101557138</c:v>
                </c:pt>
                <c:pt idx="8">
                  <c:v>1.332911329198665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1.1074753511642967</c:v>
                </c:pt>
                <c:pt idx="1">
                  <c:v>4.668839839479908</c:v>
                </c:pt>
                <c:pt idx="2">
                  <c:v>3.896740366550917</c:v>
                </c:pt>
                <c:pt idx="3">
                  <c:v>-2.8135822080758714</c:v>
                </c:pt>
                <c:pt idx="4">
                  <c:v>0.74480451899973943</c:v>
                </c:pt>
                <c:pt idx="5">
                  <c:v>-9.1719547650075839E-2</c:v>
                </c:pt>
                <c:pt idx="6">
                  <c:v>8.9791488116198082E-2</c:v>
                </c:pt>
                <c:pt idx="7">
                  <c:v>1.0012849937463946</c:v>
                </c:pt>
                <c:pt idx="8">
                  <c:v>-3.1621975121292323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-0.28726048474828048</c:v>
                </c:pt>
                <c:pt idx="1">
                  <c:v>14.249774709079901</c:v>
                </c:pt>
                <c:pt idx="2">
                  <c:v>6.5046184337964519</c:v>
                </c:pt>
                <c:pt idx="3">
                  <c:v>6.6603618636719375E-2</c:v>
                </c:pt>
                <c:pt idx="4">
                  <c:v>-6.4746971598027834</c:v>
                </c:pt>
                <c:pt idx="5">
                  <c:v>3.7193266142925658</c:v>
                </c:pt>
                <c:pt idx="6">
                  <c:v>-4.1340045046158735E-2</c:v>
                </c:pt>
                <c:pt idx="7">
                  <c:v>-2.5516931772907938</c:v>
                </c:pt>
                <c:pt idx="8">
                  <c:v>1.5204050521774874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0.1893462422243446</c:v>
                </c:pt>
                <c:pt idx="1">
                  <c:v>0.18937346564651447</c:v>
                </c:pt>
                <c:pt idx="2">
                  <c:v>4.6744078089476115E-2</c:v>
                </c:pt>
                <c:pt idx="3">
                  <c:v>-0.38398713222560854</c:v>
                </c:pt>
                <c:pt idx="4">
                  <c:v>0.20331299854023688</c:v>
                </c:pt>
                <c:pt idx="5">
                  <c:v>0.62348820171453267</c:v>
                </c:pt>
                <c:pt idx="6">
                  <c:v>-0.19678794556677326</c:v>
                </c:pt>
                <c:pt idx="7">
                  <c:v>8.5068675290709217E-2</c:v>
                </c:pt>
                <c:pt idx="8">
                  <c:v>0.62964900081526665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0.83013942865801349</c:v>
                </c:pt>
                <c:pt idx="1">
                  <c:v>2.9781676593616915</c:v>
                </c:pt>
                <c:pt idx="2">
                  <c:v>3.6814584912563237</c:v>
                </c:pt>
                <c:pt idx="3">
                  <c:v>-3.0674853697983124</c:v>
                </c:pt>
                <c:pt idx="4">
                  <c:v>9.688604538831358E-2</c:v>
                </c:pt>
                <c:pt idx="5">
                  <c:v>-0.71552140485717075</c:v>
                </c:pt>
                <c:pt idx="6">
                  <c:v>-0.60932062924115726</c:v>
                </c:pt>
                <c:pt idx="7">
                  <c:v>0.60655508613569475</c:v>
                </c:pt>
                <c:pt idx="8">
                  <c:v>-2.1220448898079951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0.7635332103232475</c:v>
                </c:pt>
                <c:pt idx="1">
                  <c:v>5.3015450317239008</c:v>
                </c:pt>
                <c:pt idx="2">
                  <c:v>7.3513077613920395</c:v>
                </c:pt>
                <c:pt idx="3">
                  <c:v>-2.926125516613947</c:v>
                </c:pt>
                <c:pt idx="4">
                  <c:v>9.7773499279538045E-2</c:v>
                </c:pt>
                <c:pt idx="5">
                  <c:v>3.353260066447028</c:v>
                </c:pt>
                <c:pt idx="6">
                  <c:v>-0.50965895439022812</c:v>
                </c:pt>
                <c:pt idx="7">
                  <c:v>0.43388258442831473</c:v>
                </c:pt>
                <c:pt idx="8">
                  <c:v>0.474376713793494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0.41625068551795241</c:v>
                </c:pt>
                <c:pt idx="1">
                  <c:v>-0.91260375534413019</c:v>
                </c:pt>
                <c:pt idx="2">
                  <c:v>0.24623976331167352</c:v>
                </c:pt>
                <c:pt idx="3">
                  <c:v>0.17983633446741065</c:v>
                </c:pt>
                <c:pt idx="4">
                  <c:v>5.6656270963379995E-2</c:v>
                </c:pt>
                <c:pt idx="5">
                  <c:v>0.33063963625570436</c:v>
                </c:pt>
                <c:pt idx="6">
                  <c:v>-0.11036663424677862</c:v>
                </c:pt>
                <c:pt idx="7">
                  <c:v>1.3067029348650028</c:v>
                </c:pt>
                <c:pt idx="8">
                  <c:v>0.70326232838339653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0.27733592250628059</c:v>
                </c:pt>
                <c:pt idx="1">
                  <c:v>1.6906721801182165</c:v>
                </c:pt>
                <c:pt idx="2">
                  <c:v>0.21528187529459419</c:v>
                </c:pt>
                <c:pt idx="3">
                  <c:v>0.25390316172245875</c:v>
                </c:pt>
                <c:pt idx="4">
                  <c:v>0.64791847361142718</c:v>
                </c:pt>
                <c:pt idx="5">
                  <c:v>0.62380185720708781</c:v>
                </c:pt>
                <c:pt idx="6">
                  <c:v>0.69911211735735002</c:v>
                </c:pt>
                <c:pt idx="7">
                  <c:v>0.39472990761069937</c:v>
                </c:pt>
                <c:pt idx="8">
                  <c:v>-1.0401526223212283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-1.0507936950715226</c:v>
                </c:pt>
                <c:pt idx="1">
                  <c:v>8.9482296773560108</c:v>
                </c:pt>
                <c:pt idx="2">
                  <c:v>-0.84668932759557336</c:v>
                </c:pt>
                <c:pt idx="3">
                  <c:v>2.9927291352506593</c:v>
                </c:pt>
                <c:pt idx="4">
                  <c:v>-6.5724706590823061</c:v>
                </c:pt>
                <c:pt idx="5">
                  <c:v>0.3660665478455476</c:v>
                </c:pt>
                <c:pt idx="6">
                  <c:v>0.46831890934405607</c:v>
                </c:pt>
                <c:pt idx="7">
                  <c:v>-2.9855757617191117</c:v>
                </c:pt>
                <c:pt idx="8">
                  <c:v>1.0460283383840085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29.880785800881405</c:v>
                </c:pt>
                <c:pt idx="1">
                  <c:v>12.511934815118931</c:v>
                </c:pt>
                <c:pt idx="2">
                  <c:v>23.692567314037611</c:v>
                </c:pt>
                <c:pt idx="3">
                  <c:v>21.674771905892207</c:v>
                </c:pt>
                <c:pt idx="4">
                  <c:v>19.540374765671235</c:v>
                </c:pt>
                <c:pt idx="5">
                  <c:v>22.806193659159341</c:v>
                </c:pt>
                <c:pt idx="6">
                  <c:v>7.6396337675645283</c:v>
                </c:pt>
                <c:pt idx="7">
                  <c:v>9.0328897579836376</c:v>
                </c:pt>
                <c:pt idx="8">
                  <c:v>4.4444232941510675</c:v>
                </c:pt>
                <c:pt idx="9">
                  <c:v>7.5269975158661087</c:v>
                </c:pt>
                <c:pt idx="10">
                  <c:v>27.483441028271098</c:v>
                </c:pt>
                <c:pt idx="11">
                  <c:v>49.13839945665805</c:v>
                </c:pt>
                <c:pt idx="12">
                  <c:v>10.999553279205751</c:v>
                </c:pt>
                <c:pt idx="13">
                  <c:v>4.3313158907234133</c:v>
                </c:pt>
                <c:pt idx="14">
                  <c:v>28.622677836919465</c:v>
                </c:pt>
                <c:pt idx="15">
                  <c:v>18.67563056886091</c:v>
                </c:pt>
                <c:pt idx="16">
                  <c:v>9.6691034984265638</c:v>
                </c:pt>
                <c:pt idx="17">
                  <c:v>38.549226321705426</c:v>
                </c:pt>
                <c:pt idx="18">
                  <c:v>11.482295485656088</c:v>
                </c:pt>
                <c:pt idx="19">
                  <c:v>0.44667082132503066</c:v>
                </c:pt>
                <c:pt idx="20">
                  <c:v>34.223800198352485</c:v>
                </c:pt>
                <c:pt idx="21">
                  <c:v>9.0886906437377402</c:v>
                </c:pt>
                <c:pt idx="22">
                  <c:v>23.01767694669358</c:v>
                </c:pt>
                <c:pt idx="23">
                  <c:v>24.123007113083549</c:v>
                </c:pt>
                <c:pt idx="24">
                  <c:v>11.487443580203085</c:v>
                </c:pt>
                <c:pt idx="25">
                  <c:v>45.472494733851811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34.557349518918279</c:v>
                </c:pt>
                <c:pt idx="1">
                  <c:v>13.243017973457505</c:v>
                </c:pt>
                <c:pt idx="2">
                  <c:v>26.67415223973487</c:v>
                </c:pt>
                <c:pt idx="3">
                  <c:v>26.885303796114776</c:v>
                </c:pt>
                <c:pt idx="4">
                  <c:v>22.026617843508607</c:v>
                </c:pt>
                <c:pt idx="5">
                  <c:v>27.957759360330201</c:v>
                </c:pt>
                <c:pt idx="6">
                  <c:v>8.7119007645620972</c:v>
                </c:pt>
                <c:pt idx="7">
                  <c:v>11.001883705458065</c:v>
                </c:pt>
                <c:pt idx="8">
                  <c:v>4.6873216411379666</c:v>
                </c:pt>
                <c:pt idx="9">
                  <c:v>7.6956038424600592</c:v>
                </c:pt>
                <c:pt idx="10">
                  <c:v>28.718892057032409</c:v>
                </c:pt>
                <c:pt idx="11">
                  <c:v>47.19806700974938</c:v>
                </c:pt>
                <c:pt idx="12">
                  <c:v>9.2803332734652102</c:v>
                </c:pt>
                <c:pt idx="13">
                  <c:v>3.1931450848658716</c:v>
                </c:pt>
                <c:pt idx="14">
                  <c:v>23.236826282247673</c:v>
                </c:pt>
                <c:pt idx="15">
                  <c:v>17.473473402618112</c:v>
                </c:pt>
                <c:pt idx="16">
                  <c:v>8.3294023293213026</c:v>
                </c:pt>
                <c:pt idx="17">
                  <c:v>39.709013980070296</c:v>
                </c:pt>
                <c:pt idx="18">
                  <c:v>9.1820078898329758</c:v>
                </c:pt>
                <c:pt idx="19">
                  <c:v>0.44693455623107448</c:v>
                </c:pt>
                <c:pt idx="20">
                  <c:v>30.25093913476638</c:v>
                </c:pt>
                <c:pt idx="21">
                  <c:v>9.088846806026746</c:v>
                </c:pt>
                <c:pt idx="22">
                  <c:v>18.382917992462492</c:v>
                </c:pt>
                <c:pt idx="23">
                  <c:v>21.975456313535553</c:v>
                </c:pt>
                <c:pt idx="24">
                  <c:v>8.59789452449556</c:v>
                </c:pt>
                <c:pt idx="25">
                  <c:v>37.688938677596269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33.924972676339749</c:v>
                </c:pt>
                <c:pt idx="1">
                  <c:v>15.301206610194454</c:v>
                </c:pt>
                <c:pt idx="2">
                  <c:v>36.460147888250177</c:v>
                </c:pt>
                <c:pt idx="3">
                  <c:v>28.579623063913772</c:v>
                </c:pt>
                <c:pt idx="4">
                  <c:v>24.165356288680911</c:v>
                </c:pt>
                <c:pt idx="5">
                  <c:v>32.53409025770577</c:v>
                </c:pt>
                <c:pt idx="6">
                  <c:v>8.4283160725445487</c:v>
                </c:pt>
                <c:pt idx="7">
                  <c:v>21.055821572998454</c:v>
                </c:pt>
                <c:pt idx="8">
                  <c:v>4.4519253372123764</c:v>
                </c:pt>
                <c:pt idx="9">
                  <c:v>7.2418470917099587</c:v>
                </c:pt>
                <c:pt idx="10">
                  <c:v>30.332034577933754</c:v>
                </c:pt>
                <c:pt idx="11">
                  <c:v>48.119806641230511</c:v>
                </c:pt>
                <c:pt idx="12">
                  <c:v>5.4074642547867375</c:v>
                </c:pt>
                <c:pt idx="13">
                  <c:v>3.5350171502669578</c:v>
                </c:pt>
                <c:pt idx="14">
                  <c:v>20.841134342227381</c:v>
                </c:pt>
                <c:pt idx="15">
                  <c:v>14.401581227548823</c:v>
                </c:pt>
                <c:pt idx="16">
                  <c:v>7.9851910077103829</c:v>
                </c:pt>
                <c:pt idx="17">
                  <c:v>45.131434884626096</c:v>
                </c:pt>
                <c:pt idx="18">
                  <c:v>8.4132106883947344</c:v>
                </c:pt>
                <c:pt idx="19">
                  <c:v>0.37504575772625592</c:v>
                </c:pt>
                <c:pt idx="20">
                  <c:v>27.813348952284226</c:v>
                </c:pt>
                <c:pt idx="21">
                  <c:v>11.267733851765355</c:v>
                </c:pt>
                <c:pt idx="22">
                  <c:v>17.514325366127888</c:v>
                </c:pt>
                <c:pt idx="23">
                  <c:v>22.68541236648149</c:v>
                </c:pt>
                <c:pt idx="24">
                  <c:v>16.496787208058887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  <c:pt idx="25">
                  <c:v>-7.7835560562555415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5.9104097619839706</c:v>
                </c:pt>
                <c:pt idx="1">
                  <c:v>6.9644835525859454</c:v>
                </c:pt>
                <c:pt idx="2">
                  <c:v>6.4997342006689927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2.4748566575650321</c:v>
                </c:pt>
                <c:pt idx="1">
                  <c:v>2.6689194092345967</c:v>
                </c:pt>
                <c:pt idx="2">
                  <c:v>2.9315801331549864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1.511117087036709</c:v>
                </c:pt>
                <c:pt idx="1">
                  <c:v>1.7557448829615236</c:v>
                </c:pt>
                <c:pt idx="2">
                  <c:v>1.6147931717855848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1.7867026710835934</c:v>
                </c:pt>
                <c:pt idx="1">
                  <c:v>2.2172544822101985</c:v>
                </c:pt>
                <c:pt idx="2">
                  <c:v>4.0341150723063137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0.87910548936650024</c:v>
                </c:pt>
                <c:pt idx="1">
                  <c:v>0.9446550424104222</c:v>
                </c:pt>
                <c:pt idx="2">
                  <c:v>0.85295076429892458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1.4888376728998831</c:v>
                </c:pt>
                <c:pt idx="1">
                  <c:v>1.5509264204041293</c:v>
                </c:pt>
                <c:pt idx="2">
                  <c:v>1.3874758770500211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5.4362157417430685</c:v>
                </c:pt>
                <c:pt idx="1">
                  <c:v>5.787835414582287</c:v>
                </c:pt>
                <c:pt idx="2">
                  <c:v>5.8113580341825504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9.7195595113275992</c:v>
                </c:pt>
                <c:pt idx="1">
                  <c:v>9.5120188897385738</c:v>
                </c:pt>
                <c:pt idx="2">
                  <c:v>9.2193428109587501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2.1757080791684795</c:v>
                </c:pt>
                <c:pt idx="1">
                  <c:v>1.8703034042058586</c:v>
                </c:pt>
                <c:pt idx="2">
                  <c:v>1.036023836807539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7.6250244918932619</c:v>
                </c:pt>
                <c:pt idx="1">
                  <c:v>8.0027194968238895</c:v>
                </c:pt>
                <c:pt idx="2">
                  <c:v>8.646796377509105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2.2711943313888474</c:v>
                </c:pt>
                <c:pt idx="1">
                  <c:v>1.8504874887308156</c:v>
                </c:pt>
                <c:pt idx="2">
                  <c:v>1.6118991095586381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8.8351343915292396E-2</c:v>
                </c:pt>
                <c:pt idx="1">
                  <c:v>9.0072543446933023E-2</c:v>
                </c:pt>
                <c:pt idx="2">
                  <c:v>7.1855554949622202E-2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6.769456604403115</c:v>
                </c:pt>
                <c:pt idx="1">
                  <c:v>6.096595108922398</c:v>
                </c:pt>
                <c:pt idx="2">
                  <c:v>5.328799440607467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1.7977400682285729</c:v>
                </c:pt>
                <c:pt idx="1">
                  <c:v>1.8317123556566086</c:v>
                </c:pt>
                <c:pt idx="2">
                  <c:v>2.158801298944975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4.5528890515295011</c:v>
                </c:pt>
                <c:pt idx="1">
                  <c:v>3.7047844174783462</c:v>
                </c:pt>
                <c:pt idx="2">
                  <c:v>3.3555947316432215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4.7715230007562957</c:v>
                </c:pt>
                <c:pt idx="1">
                  <c:v>4.428803313529702</c:v>
                </c:pt>
                <c:pt idx="2">
                  <c:v>4.3463307110497489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4.6863821477954444</c:v>
                </c:pt>
                <c:pt idx="1">
                  <c:v>5.3757506619860154</c:v>
                </c:pt>
                <c:pt idx="2">
                  <c:v>6.9854520577399475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4.287262869023424</c:v>
                </c:pt>
                <c:pt idx="1">
                  <c:v>5.4183048960920122</c:v>
                </c:pt>
                <c:pt idx="2">
                  <c:v>5.4756109973318567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3.8650798053792075</c:v>
                </c:pt>
                <c:pt idx="1">
                  <c:v>4.4391141052710479</c:v>
                </c:pt>
                <c:pt idx="2">
                  <c:v>4.6298752909662575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4.5110577256912778</c:v>
                </c:pt>
                <c:pt idx="1">
                  <c:v>5.6344412387756044</c:v>
                </c:pt>
                <c:pt idx="2">
                  <c:v>6.2332530420324375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0.85673288157009675</c:v>
                </c:pt>
                <c:pt idx="1">
                  <c:v>0.6435275486736789</c:v>
                </c:pt>
                <c:pt idx="2">
                  <c:v>0.6772790089103351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5.6615564138363759</c:v>
                </c:pt>
                <c:pt idx="1">
                  <c:v>4.6830123464305675</c:v>
                </c:pt>
                <c:pt idx="2">
                  <c:v>3.9929828376659935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3.6940336830815816</c:v>
                </c:pt>
                <c:pt idx="1">
                  <c:v>3.5215003411202326</c:v>
                </c:pt>
                <c:pt idx="2">
                  <c:v>2.7592196150446848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1.9125455430642653</c:v>
                </c:pt>
                <c:pt idx="1">
                  <c:v>1.678658413709418</c:v>
                </c:pt>
                <c:pt idx="2">
                  <c:v>1.5298942046867838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2.2722126228243189</c:v>
                </c:pt>
                <c:pt idx="1">
                  <c:v>1.7327687405521968</c:v>
                </c:pt>
                <c:pt idx="2">
                  <c:v>3.1606431356733475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8.9944447434442854</c:v>
                </c:pt>
                <c:pt idx="1">
                  <c:v>7.5956054844670229</c:v>
                </c:pt>
                <c:pt idx="2">
                  <c:v>5.6483386844718861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-0.30888113075301504</c:v>
                </c:pt>
                <c:pt idx="1">
                  <c:v>-0.15863657338866233</c:v>
                </c:pt>
                <c:pt idx="2">
                  <c:v>-0.25870313674354861</c:v>
                </c:pt>
                <c:pt idx="3">
                  <c:v>4.5817349046127376</c:v>
                </c:pt>
                <c:pt idx="4">
                  <c:v>-5.4699233712994157</c:v>
                </c:pt>
                <c:pt idx="5">
                  <c:v>-2.9511293871973407</c:v>
                </c:pt>
                <c:pt idx="6">
                  <c:v>10.694342641748491</c:v>
                </c:pt>
                <c:pt idx="7">
                  <c:v>18.195384258862177</c:v>
                </c:pt>
                <c:pt idx="8">
                  <c:v>1.4258117941584203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22.489106732582641</c:v>
                </c:pt>
                <c:pt idx="1">
                  <c:v>19.309786239425978</c:v>
                </c:pt>
                <c:pt idx="2">
                  <c:v>17.552191640652445</c:v>
                </c:pt>
                <c:pt idx="3">
                  <c:v>33.236917556178</c:v>
                </c:pt>
                <c:pt idx="4">
                  <c:v>14.891703136376162</c:v>
                </c:pt>
                <c:pt idx="5">
                  <c:v>25.282095390748907</c:v>
                </c:pt>
                <c:pt idx="6">
                  <c:v>42.42460793045494</c:v>
                </c:pt>
                <c:pt idx="7">
                  <c:v>70.294767484452763</c:v>
                </c:pt>
                <c:pt idx="8">
                  <c:v>25.98703749599521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15.857589617225866</c:v>
                </c:pt>
                <c:pt idx="1">
                  <c:v>10.129447878769344</c:v>
                </c:pt>
                <c:pt idx="2">
                  <c:v>21.814704094914461</c:v>
                </c:pt>
                <c:pt idx="3">
                  <c:v>16.060853948588878</c:v>
                </c:pt>
                <c:pt idx="4">
                  <c:v>13.618970881797207</c:v>
                </c:pt>
                <c:pt idx="5">
                  <c:v>18.800238559152206</c:v>
                </c:pt>
                <c:pt idx="6">
                  <c:v>2.9672614568897928</c:v>
                </c:pt>
                <c:pt idx="7">
                  <c:v>20.529550127106315</c:v>
                </c:pt>
                <c:pt idx="8">
                  <c:v>1.213828403503918</c:v>
                </c:pt>
                <c:pt idx="9">
                  <c:v>2.7354455652122951</c:v>
                </c:pt>
                <c:pt idx="10">
                  <c:v>14.978522377742626</c:v>
                </c:pt>
                <c:pt idx="11">
                  <c:v>25.159164799661895</c:v>
                </c:pt>
                <c:pt idx="12">
                  <c:v>0.12293059108701154</c:v>
                </c:pt>
                <c:pt idx="13">
                  <c:v>2.1369310777218109</c:v>
                </c:pt>
                <c:pt idx="14">
                  <c:v>5.8932992847850389</c:v>
                </c:pt>
                <c:pt idx="15">
                  <c:v>3.7038174570972782</c:v>
                </c:pt>
                <c:pt idx="16">
                  <c:v>3.1576553167720327</c:v>
                </c:pt>
                <c:pt idx="17">
                  <c:v>29.540835329875819</c:v>
                </c:pt>
                <c:pt idx="18">
                  <c:v>3.5882185505127211</c:v>
                </c:pt>
                <c:pt idx="19">
                  <c:v>0.10786367578946029</c:v>
                </c:pt>
                <c:pt idx="20">
                  <c:v>10.676502024010755</c:v>
                </c:pt>
                <c:pt idx="21">
                  <c:v>6.8756896166416945</c:v>
                </c:pt>
                <c:pt idx="22">
                  <c:v>6.5689808694962144</c:v>
                </c:pt>
                <c:pt idx="23">
                  <c:v>12.74080536992976</c:v>
                </c:pt>
                <c:pt idx="24">
                  <c:v>14.948853544263731</c:v>
                </c:pt>
                <c:pt idx="25">
                  <c:v>7.5402531883189106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9467"/>
          <a:ext cx="11612033" cy="4326466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146</v>
      </c>
      <c r="B2" s="83" t="s">
        <v>528</v>
      </c>
      <c r="C2" t="s">
        <v>512</v>
      </c>
      <c r="D2" t="s">
        <v>511</v>
      </c>
    </row>
    <row r="3" spans="1:10" x14ac:dyDescent="0.25">
      <c r="B3" s="83"/>
    </row>
    <row r="11" spans="1:10" x14ac:dyDescent="0.25">
      <c r="A11" t="s">
        <v>147</v>
      </c>
      <c r="B11" s="83" t="s">
        <v>528</v>
      </c>
    </row>
    <row r="12" spans="1:10" x14ac:dyDescent="0.25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53125" defaultRowHeight="12.5" x14ac:dyDescent="0.25"/>
  <cols>
    <col min="1" max="13" width="11.54296875" style="214" customWidth="1"/>
    <col min="14" max="256" width="10.453125" style="214"/>
    <col min="257" max="269" width="11.54296875" style="214" customWidth="1"/>
    <col min="270" max="512" width="10.453125" style="214"/>
    <col min="513" max="525" width="11.54296875" style="214" customWidth="1"/>
    <col min="526" max="768" width="10.453125" style="214"/>
    <col min="769" max="781" width="11.54296875" style="214" customWidth="1"/>
    <col min="782" max="1024" width="10.453125" style="214"/>
    <col min="1025" max="1037" width="11.54296875" style="214" customWidth="1"/>
    <col min="1038" max="1280" width="10.453125" style="214"/>
    <col min="1281" max="1293" width="11.54296875" style="214" customWidth="1"/>
    <col min="1294" max="1536" width="10.453125" style="214"/>
    <col min="1537" max="1549" width="11.54296875" style="214" customWidth="1"/>
    <col min="1550" max="1792" width="10.453125" style="214"/>
    <col min="1793" max="1805" width="11.54296875" style="214" customWidth="1"/>
    <col min="1806" max="2048" width="10.453125" style="214"/>
    <col min="2049" max="2061" width="11.54296875" style="214" customWidth="1"/>
    <col min="2062" max="2304" width="10.453125" style="214"/>
    <col min="2305" max="2317" width="11.54296875" style="214" customWidth="1"/>
    <col min="2318" max="2560" width="10.453125" style="214"/>
    <col min="2561" max="2573" width="11.54296875" style="214" customWidth="1"/>
    <col min="2574" max="2816" width="10.453125" style="214"/>
    <col min="2817" max="2829" width="11.54296875" style="214" customWidth="1"/>
    <col min="2830" max="3072" width="10.453125" style="214"/>
    <col min="3073" max="3085" width="11.54296875" style="214" customWidth="1"/>
    <col min="3086" max="3328" width="10.453125" style="214"/>
    <col min="3329" max="3341" width="11.54296875" style="214" customWidth="1"/>
    <col min="3342" max="3584" width="10.453125" style="214"/>
    <col min="3585" max="3597" width="11.54296875" style="214" customWidth="1"/>
    <col min="3598" max="3840" width="10.453125" style="214"/>
    <col min="3841" max="3853" width="11.54296875" style="214" customWidth="1"/>
    <col min="3854" max="4096" width="10.453125" style="214"/>
    <col min="4097" max="4109" width="11.54296875" style="214" customWidth="1"/>
    <col min="4110" max="4352" width="10.453125" style="214"/>
    <col min="4353" max="4365" width="11.54296875" style="214" customWidth="1"/>
    <col min="4366" max="4608" width="10.453125" style="214"/>
    <col min="4609" max="4621" width="11.54296875" style="214" customWidth="1"/>
    <col min="4622" max="4864" width="10.453125" style="214"/>
    <col min="4865" max="4877" width="11.54296875" style="214" customWidth="1"/>
    <col min="4878" max="5120" width="10.453125" style="214"/>
    <col min="5121" max="5133" width="11.54296875" style="214" customWidth="1"/>
    <col min="5134" max="5376" width="10.453125" style="214"/>
    <col min="5377" max="5389" width="11.54296875" style="214" customWidth="1"/>
    <col min="5390" max="5632" width="10.453125" style="214"/>
    <col min="5633" max="5645" width="11.54296875" style="214" customWidth="1"/>
    <col min="5646" max="5888" width="10.453125" style="214"/>
    <col min="5889" max="5901" width="11.54296875" style="214" customWidth="1"/>
    <col min="5902" max="6144" width="10.453125" style="214"/>
    <col min="6145" max="6157" width="11.54296875" style="214" customWidth="1"/>
    <col min="6158" max="6400" width="10.453125" style="214"/>
    <col min="6401" max="6413" width="11.54296875" style="214" customWidth="1"/>
    <col min="6414" max="6656" width="10.453125" style="214"/>
    <col min="6657" max="6669" width="11.54296875" style="214" customWidth="1"/>
    <col min="6670" max="6912" width="10.453125" style="214"/>
    <col min="6913" max="6925" width="11.54296875" style="214" customWidth="1"/>
    <col min="6926" max="7168" width="10.453125" style="214"/>
    <col min="7169" max="7181" width="11.54296875" style="214" customWidth="1"/>
    <col min="7182" max="7424" width="10.453125" style="214"/>
    <col min="7425" max="7437" width="11.54296875" style="214" customWidth="1"/>
    <col min="7438" max="7680" width="10.453125" style="214"/>
    <col min="7681" max="7693" width="11.54296875" style="214" customWidth="1"/>
    <col min="7694" max="7936" width="10.453125" style="214"/>
    <col min="7937" max="7949" width="11.54296875" style="214" customWidth="1"/>
    <col min="7950" max="8192" width="10.453125" style="214"/>
    <col min="8193" max="8205" width="11.54296875" style="214" customWidth="1"/>
    <col min="8206" max="8448" width="10.453125" style="214"/>
    <col min="8449" max="8461" width="11.54296875" style="214" customWidth="1"/>
    <col min="8462" max="8704" width="10.453125" style="214"/>
    <col min="8705" max="8717" width="11.54296875" style="214" customWidth="1"/>
    <col min="8718" max="8960" width="10.453125" style="214"/>
    <col min="8961" max="8973" width="11.54296875" style="214" customWidth="1"/>
    <col min="8974" max="9216" width="10.453125" style="214"/>
    <col min="9217" max="9229" width="11.54296875" style="214" customWidth="1"/>
    <col min="9230" max="9472" width="10.453125" style="214"/>
    <col min="9473" max="9485" width="11.54296875" style="214" customWidth="1"/>
    <col min="9486" max="9728" width="10.453125" style="214"/>
    <col min="9729" max="9741" width="11.54296875" style="214" customWidth="1"/>
    <col min="9742" max="9984" width="10.453125" style="214"/>
    <col min="9985" max="9997" width="11.54296875" style="214" customWidth="1"/>
    <col min="9998" max="10240" width="10.453125" style="214"/>
    <col min="10241" max="10253" width="11.54296875" style="214" customWidth="1"/>
    <col min="10254" max="10496" width="10.453125" style="214"/>
    <col min="10497" max="10509" width="11.54296875" style="214" customWidth="1"/>
    <col min="10510" max="10752" width="10.453125" style="214"/>
    <col min="10753" max="10765" width="11.54296875" style="214" customWidth="1"/>
    <col min="10766" max="11008" width="10.453125" style="214"/>
    <col min="11009" max="11021" width="11.54296875" style="214" customWidth="1"/>
    <col min="11022" max="11264" width="10.453125" style="214"/>
    <col min="11265" max="11277" width="11.54296875" style="214" customWidth="1"/>
    <col min="11278" max="11520" width="10.453125" style="214"/>
    <col min="11521" max="11533" width="11.54296875" style="214" customWidth="1"/>
    <col min="11534" max="11776" width="10.453125" style="214"/>
    <col min="11777" max="11789" width="11.54296875" style="214" customWidth="1"/>
    <col min="11790" max="12032" width="10.453125" style="214"/>
    <col min="12033" max="12045" width="11.54296875" style="214" customWidth="1"/>
    <col min="12046" max="12288" width="10.453125" style="214"/>
    <col min="12289" max="12301" width="11.54296875" style="214" customWidth="1"/>
    <col min="12302" max="12544" width="10.453125" style="214"/>
    <col min="12545" max="12557" width="11.54296875" style="214" customWidth="1"/>
    <col min="12558" max="12800" width="10.453125" style="214"/>
    <col min="12801" max="12813" width="11.54296875" style="214" customWidth="1"/>
    <col min="12814" max="13056" width="10.453125" style="214"/>
    <col min="13057" max="13069" width="11.54296875" style="214" customWidth="1"/>
    <col min="13070" max="13312" width="10.453125" style="214"/>
    <col min="13313" max="13325" width="11.54296875" style="214" customWidth="1"/>
    <col min="13326" max="13568" width="10.453125" style="214"/>
    <col min="13569" max="13581" width="11.54296875" style="214" customWidth="1"/>
    <col min="13582" max="13824" width="10.453125" style="214"/>
    <col min="13825" max="13837" width="11.54296875" style="214" customWidth="1"/>
    <col min="13838" max="14080" width="10.453125" style="214"/>
    <col min="14081" max="14093" width="11.54296875" style="214" customWidth="1"/>
    <col min="14094" max="14336" width="10.453125" style="214"/>
    <col min="14337" max="14349" width="11.54296875" style="214" customWidth="1"/>
    <col min="14350" max="14592" width="10.453125" style="214"/>
    <col min="14593" max="14605" width="11.54296875" style="214" customWidth="1"/>
    <col min="14606" max="14848" width="10.453125" style="214"/>
    <col min="14849" max="14861" width="11.54296875" style="214" customWidth="1"/>
    <col min="14862" max="15104" width="10.453125" style="214"/>
    <col min="15105" max="15117" width="11.54296875" style="214" customWidth="1"/>
    <col min="15118" max="15360" width="10.453125" style="214"/>
    <col min="15361" max="15373" width="11.54296875" style="214" customWidth="1"/>
    <col min="15374" max="15616" width="10.453125" style="214"/>
    <col min="15617" max="15629" width="11.54296875" style="214" customWidth="1"/>
    <col min="15630" max="15872" width="10.453125" style="214"/>
    <col min="15873" max="15885" width="11.54296875" style="214" customWidth="1"/>
    <col min="15886" max="16128" width="10.453125" style="214"/>
    <col min="16129" max="16141" width="11.54296875" style="214" customWidth="1"/>
    <col min="16142" max="16384" width="10.453125" style="214"/>
  </cols>
  <sheetData>
    <row r="1" spans="1:14" ht="13" x14ac:dyDescent="0.3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3">
      <c r="A2" s="216"/>
      <c r="B2" s="216"/>
      <c r="C2" s="216"/>
      <c r="D2" s="216"/>
      <c r="E2" s="216"/>
      <c r="F2" s="369" t="s">
        <v>151</v>
      </c>
      <c r="G2" s="369"/>
      <c r="H2" s="369"/>
      <c r="I2" s="216"/>
      <c r="J2" s="216"/>
      <c r="K2" s="216"/>
      <c r="L2" s="216"/>
      <c r="M2" s="216"/>
      <c r="N2" s="216"/>
    </row>
    <row r="3" spans="1:14" ht="18.75" customHeight="1" x14ac:dyDescent="0.3">
      <c r="A3" s="216"/>
      <c r="B3" s="216"/>
      <c r="C3" s="370" t="s">
        <v>454</v>
      </c>
      <c r="D3" s="370"/>
      <c r="E3" s="370"/>
      <c r="F3" s="370"/>
      <c r="G3" s="370"/>
      <c r="H3" s="370"/>
      <c r="I3" s="370"/>
      <c r="J3" s="370"/>
      <c r="K3" s="370"/>
      <c r="L3" s="216"/>
      <c r="M3" s="216"/>
      <c r="N3" s="216"/>
    </row>
    <row r="4" spans="1:14" ht="18.75" customHeight="1" x14ac:dyDescent="0.3">
      <c r="A4" s="216"/>
      <c r="B4" s="216"/>
      <c r="C4" s="370" t="s">
        <v>455</v>
      </c>
      <c r="D4" s="370"/>
      <c r="E4" s="370"/>
      <c r="F4" s="370"/>
      <c r="G4" s="370"/>
      <c r="H4" s="370"/>
      <c r="I4" s="370"/>
      <c r="J4" s="370"/>
      <c r="K4" s="370"/>
      <c r="L4" s="216"/>
      <c r="M4" s="216"/>
      <c r="N4" s="216"/>
    </row>
    <row r="5" spans="1:14" ht="18.75" customHeight="1" x14ac:dyDescent="0.3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3">
      <c r="A7" s="216"/>
      <c r="B7" s="216"/>
      <c r="C7" s="371" t="s">
        <v>153</v>
      </c>
      <c r="D7" s="371"/>
      <c r="E7" s="371"/>
      <c r="F7" s="371"/>
      <c r="G7" s="371"/>
      <c r="H7" s="371"/>
      <c r="I7" s="371"/>
      <c r="J7" s="371"/>
      <c r="K7" s="371"/>
      <c r="L7" s="216"/>
      <c r="M7" s="216"/>
      <c r="N7" s="216"/>
    </row>
    <row r="8" spans="1:14" ht="18.75" customHeight="1" x14ac:dyDescent="0.3">
      <c r="A8" s="216"/>
      <c r="B8" s="216"/>
      <c r="C8" s="372" t="s">
        <v>154</v>
      </c>
      <c r="D8" s="372"/>
      <c r="E8" s="372"/>
      <c r="F8" s="372"/>
      <c r="G8" s="372"/>
      <c r="H8" s="372"/>
      <c r="I8" s="372"/>
      <c r="J8" s="372"/>
      <c r="K8" s="372"/>
      <c r="L8" s="216"/>
      <c r="M8" s="216"/>
      <c r="N8" s="216"/>
    </row>
    <row r="9" spans="1:14" ht="18.75" customHeight="1" x14ac:dyDescent="0.3">
      <c r="A9" s="216"/>
      <c r="B9" s="372" t="s">
        <v>155</v>
      </c>
      <c r="C9" s="372"/>
      <c r="D9" s="372"/>
      <c r="E9" s="372"/>
      <c r="F9" s="372"/>
      <c r="G9" s="372"/>
      <c r="H9" s="372"/>
      <c r="I9" s="372"/>
      <c r="J9" s="372"/>
      <c r="K9" s="372"/>
      <c r="L9" s="372"/>
      <c r="M9" s="355"/>
      <c r="N9" s="216"/>
    </row>
    <row r="10" spans="1:14" ht="18.75" customHeight="1" x14ac:dyDescent="0.3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ht="13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5" x14ac:dyDescent="0.3">
      <c r="A12" s="216"/>
      <c r="B12" s="216"/>
      <c r="C12" s="216"/>
      <c r="D12" s="216"/>
      <c r="E12" s="216"/>
      <c r="F12" s="216"/>
      <c r="G12" s="217" t="s">
        <v>510</v>
      </c>
      <c r="H12" s="216"/>
      <c r="I12" s="216"/>
      <c r="J12" s="216"/>
      <c r="K12" s="216"/>
      <c r="L12" s="216"/>
      <c r="M12" s="216"/>
      <c r="N12" s="216"/>
    </row>
    <row r="13" spans="1:14" ht="13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3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5" x14ac:dyDescent="0.3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.5" x14ac:dyDescent="0.3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.5" x14ac:dyDescent="0.3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.5" x14ac:dyDescent="0.3">
      <c r="A18" s="218"/>
      <c r="B18" s="223"/>
      <c r="C18" s="216"/>
      <c r="D18" s="216"/>
      <c r="E18" s="216"/>
      <c r="F18" s="216"/>
      <c r="G18" s="224" t="s">
        <v>513</v>
      </c>
      <c r="H18" s="216"/>
      <c r="I18" s="216"/>
      <c r="J18" s="216"/>
      <c r="K18" s="216"/>
      <c r="L18" s="225"/>
      <c r="M18" s="216"/>
      <c r="N18" s="216"/>
    </row>
    <row r="19" spans="1:14" ht="15.5" x14ac:dyDescent="0.3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.5" x14ac:dyDescent="0.3">
      <c r="A20" s="218"/>
      <c r="B20" s="223"/>
      <c r="C20" s="216"/>
      <c r="D20" s="216"/>
      <c r="E20" s="216"/>
      <c r="F20" s="216"/>
      <c r="G20" s="224" t="s">
        <v>514</v>
      </c>
      <c r="H20" s="216"/>
      <c r="I20" s="216"/>
      <c r="J20" s="216"/>
      <c r="K20" s="216"/>
      <c r="L20" s="225"/>
      <c r="M20" s="216"/>
      <c r="N20" s="216"/>
    </row>
    <row r="21" spans="1:14" ht="15.5" x14ac:dyDescent="0.3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.5" x14ac:dyDescent="0.3">
      <c r="A22" s="218"/>
      <c r="B22" s="223"/>
      <c r="C22" s="216"/>
      <c r="D22" s="216"/>
      <c r="E22" s="216"/>
      <c r="F22" s="216"/>
      <c r="G22" s="357" t="s">
        <v>515</v>
      </c>
      <c r="H22" s="216"/>
      <c r="I22" s="216"/>
      <c r="J22" s="216"/>
      <c r="K22" s="216"/>
      <c r="L22" s="225"/>
      <c r="M22" s="216"/>
      <c r="N22" s="216"/>
    </row>
    <row r="23" spans="1:14" ht="15.5" x14ac:dyDescent="0.3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.5" x14ac:dyDescent="0.3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.5" x14ac:dyDescent="0.3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.5" x14ac:dyDescent="0.3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.5" x14ac:dyDescent="0.3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.5" x14ac:dyDescent="0.3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.5" x14ac:dyDescent="0.3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.5" x14ac:dyDescent="0.3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.5" x14ac:dyDescent="0.3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.5" x14ac:dyDescent="0.3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.5" x14ac:dyDescent="0.3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.5" x14ac:dyDescent="0.3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.5" x14ac:dyDescent="0.3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5" x14ac:dyDescent="0.3">
      <c r="A36" s="218"/>
      <c r="B36" s="226"/>
      <c r="C36" s="216"/>
      <c r="D36" s="216"/>
      <c r="E36" s="216"/>
      <c r="F36" s="216"/>
      <c r="G36" s="224" t="s">
        <v>516</v>
      </c>
      <c r="H36" s="216"/>
      <c r="I36" s="216"/>
      <c r="J36" s="216"/>
      <c r="K36" s="216"/>
      <c r="L36" s="225"/>
      <c r="M36" s="216"/>
      <c r="N36" s="216"/>
    </row>
    <row r="37" spans="1:14" ht="15.5" x14ac:dyDescent="0.3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.5" x14ac:dyDescent="0.3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.5" x14ac:dyDescent="0.3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3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5">
      <c r="A41" s="368"/>
      <c r="B41" s="368"/>
      <c r="C41" s="368"/>
      <c r="D41" s="368"/>
      <c r="E41" s="368"/>
      <c r="F41" s="368"/>
      <c r="G41" s="368"/>
      <c r="H41" s="367"/>
      <c r="I41" s="367"/>
      <c r="J41" s="367"/>
      <c r="K41" s="367"/>
      <c r="L41" s="367"/>
      <c r="M41" s="367"/>
      <c r="N41" s="367"/>
    </row>
    <row r="42" spans="1:14" x14ac:dyDescent="0.25">
      <c r="A42" s="368"/>
      <c r="B42" s="368"/>
      <c r="C42" s="368"/>
      <c r="D42" s="368"/>
      <c r="E42" s="368"/>
      <c r="F42" s="368"/>
      <c r="G42" s="368"/>
      <c r="H42" s="367"/>
      <c r="I42" s="367"/>
      <c r="J42" s="367"/>
      <c r="K42" s="367"/>
      <c r="L42" s="367"/>
      <c r="M42" s="367"/>
      <c r="N42" s="367"/>
    </row>
    <row r="43" spans="1:14" ht="13" x14ac:dyDescent="0.3">
      <c r="A43" s="227"/>
      <c r="B43" s="227"/>
      <c r="C43" s="227"/>
      <c r="D43" s="227"/>
      <c r="E43" s="227"/>
      <c r="F43" s="227"/>
      <c r="G43" s="227"/>
      <c r="H43" s="367"/>
      <c r="I43" s="367"/>
      <c r="J43" s="367"/>
      <c r="K43" s="367"/>
      <c r="L43" s="367"/>
      <c r="M43" s="367"/>
      <c r="N43" s="367"/>
    </row>
    <row r="44" spans="1:14" ht="13" x14ac:dyDescent="0.3">
      <c r="A44" s="227"/>
      <c r="B44" s="227"/>
      <c r="C44" s="227"/>
      <c r="D44" s="227"/>
      <c r="E44" s="227"/>
      <c r="F44" s="227"/>
      <c r="G44" s="227"/>
      <c r="H44" s="367"/>
      <c r="I44" s="367"/>
      <c r="J44" s="367"/>
      <c r="K44" s="367"/>
      <c r="L44" s="367"/>
      <c r="M44" s="367"/>
      <c r="N44" s="367"/>
    </row>
    <row r="45" spans="1:14" ht="13" x14ac:dyDescent="0.3">
      <c r="A45" s="227"/>
      <c r="B45" s="227"/>
      <c r="C45" s="227"/>
      <c r="D45" s="227"/>
      <c r="E45" s="227"/>
      <c r="F45" s="227"/>
      <c r="G45" s="227"/>
      <c r="H45" s="367"/>
      <c r="I45" s="367"/>
      <c r="J45" s="367"/>
      <c r="K45" s="367"/>
      <c r="L45" s="367"/>
      <c r="M45" s="367"/>
      <c r="N45" s="367"/>
    </row>
    <row r="46" spans="1:14" ht="13" x14ac:dyDescent="0.3">
      <c r="A46" s="227"/>
      <c r="B46" s="227"/>
      <c r="C46" s="227"/>
      <c r="D46" s="227"/>
      <c r="E46" s="227"/>
      <c r="F46" s="227"/>
      <c r="G46" s="227"/>
      <c r="H46" s="367"/>
      <c r="I46" s="367"/>
      <c r="J46" s="367"/>
      <c r="K46" s="367"/>
      <c r="L46" s="367"/>
      <c r="M46" s="367"/>
      <c r="N46" s="367"/>
    </row>
    <row r="47" spans="1:14" ht="13" x14ac:dyDescent="0.3">
      <c r="A47" s="227"/>
      <c r="B47" s="227"/>
      <c r="C47" s="227"/>
      <c r="D47" s="227"/>
      <c r="E47" s="227"/>
      <c r="F47" s="227"/>
      <c r="G47" s="227"/>
      <c r="H47" s="367"/>
      <c r="I47" s="367"/>
      <c r="J47" s="367"/>
      <c r="K47" s="367"/>
      <c r="L47" s="367"/>
      <c r="M47" s="367"/>
      <c r="N47" s="367"/>
    </row>
    <row r="48" spans="1:14" ht="13" x14ac:dyDescent="0.3">
      <c r="A48" s="227"/>
      <c r="B48" s="227"/>
      <c r="C48" s="227"/>
      <c r="D48" s="227"/>
      <c r="E48" s="227"/>
      <c r="F48" s="227"/>
      <c r="G48" s="227"/>
      <c r="H48" s="367"/>
      <c r="I48" s="367"/>
      <c r="J48" s="367"/>
      <c r="K48" s="367"/>
      <c r="L48" s="367"/>
      <c r="M48" s="367"/>
      <c r="N48" s="367"/>
    </row>
    <row r="49" spans="1:14" ht="13" x14ac:dyDescent="0.3">
      <c r="A49" s="227"/>
      <c r="B49" s="227"/>
      <c r="C49" s="227"/>
      <c r="D49" s="227"/>
      <c r="E49" s="227"/>
      <c r="F49" s="227"/>
      <c r="G49" s="227"/>
      <c r="H49" s="367"/>
      <c r="I49" s="367"/>
      <c r="J49" s="367"/>
      <c r="K49" s="367"/>
      <c r="L49" s="367"/>
      <c r="M49" s="367"/>
      <c r="N49" s="367"/>
    </row>
    <row r="50" spans="1:14" ht="13" x14ac:dyDescent="0.3">
      <c r="A50" s="227"/>
      <c r="B50" s="227"/>
      <c r="C50" s="227"/>
      <c r="D50" s="227"/>
      <c r="E50" s="227"/>
      <c r="F50" s="227"/>
      <c r="G50" s="227"/>
      <c r="H50" s="367"/>
      <c r="I50" s="367"/>
      <c r="J50" s="367"/>
      <c r="K50" s="367"/>
      <c r="L50" s="367"/>
      <c r="M50" s="367"/>
      <c r="N50" s="367"/>
    </row>
    <row r="51" spans="1:14" ht="13" x14ac:dyDescent="0.3">
      <c r="A51" s="227"/>
      <c r="B51" s="227"/>
      <c r="C51" s="227"/>
      <c r="D51" s="227"/>
      <c r="E51" s="227"/>
      <c r="F51" s="227"/>
      <c r="G51" s="227"/>
      <c r="H51" s="367"/>
      <c r="I51" s="367"/>
      <c r="J51" s="367"/>
      <c r="K51" s="367"/>
      <c r="L51" s="367"/>
      <c r="M51" s="367"/>
      <c r="N51" s="367"/>
    </row>
    <row r="52" spans="1:14" ht="13" x14ac:dyDescent="0.3">
      <c r="A52" s="227"/>
      <c r="B52" s="227"/>
      <c r="C52" s="227"/>
      <c r="D52" s="227"/>
      <c r="E52" s="227"/>
      <c r="F52" s="227"/>
      <c r="G52" s="227"/>
      <c r="H52" s="367"/>
      <c r="I52" s="367"/>
      <c r="J52" s="367"/>
      <c r="K52" s="367"/>
      <c r="L52" s="367"/>
      <c r="M52" s="367"/>
      <c r="N52" s="367"/>
    </row>
    <row r="53" spans="1:14" ht="13" x14ac:dyDescent="0.3">
      <c r="A53" s="227"/>
      <c r="B53" s="227"/>
      <c r="C53" s="227"/>
      <c r="D53" s="227"/>
      <c r="E53" s="227"/>
      <c r="F53" s="227"/>
      <c r="G53" s="227"/>
      <c r="H53" s="367"/>
      <c r="I53" s="367"/>
      <c r="J53" s="367"/>
      <c r="K53" s="367"/>
      <c r="L53" s="367"/>
      <c r="M53" s="367"/>
      <c r="N53" s="367"/>
    </row>
    <row r="54" spans="1:14" ht="13" x14ac:dyDescent="0.3">
      <c r="A54" s="227"/>
      <c r="B54" s="227"/>
      <c r="C54" s="227"/>
      <c r="D54" s="227"/>
      <c r="E54" s="227"/>
      <c r="F54" s="227"/>
      <c r="G54" s="227"/>
      <c r="H54" s="367"/>
      <c r="I54" s="367"/>
      <c r="J54" s="367"/>
      <c r="K54" s="367"/>
      <c r="L54" s="367"/>
      <c r="M54" s="367"/>
      <c r="N54" s="367"/>
    </row>
    <row r="55" spans="1:14" ht="13" x14ac:dyDescent="0.3">
      <c r="A55" s="227"/>
      <c r="B55" s="227"/>
      <c r="C55" s="227"/>
      <c r="D55" s="227"/>
      <c r="E55" s="227"/>
      <c r="F55" s="227"/>
      <c r="G55" s="227"/>
      <c r="H55" s="367"/>
      <c r="I55" s="367"/>
      <c r="J55" s="367"/>
      <c r="K55" s="367"/>
      <c r="L55" s="367"/>
      <c r="M55" s="367"/>
      <c r="N55" s="367"/>
    </row>
    <row r="56" spans="1:14" ht="13" x14ac:dyDescent="0.3">
      <c r="A56" s="227"/>
      <c r="B56" s="227"/>
      <c r="C56" s="227"/>
      <c r="D56" s="227"/>
      <c r="E56" s="227"/>
      <c r="F56" s="227"/>
      <c r="G56" s="227"/>
      <c r="H56" s="367"/>
      <c r="I56" s="367"/>
      <c r="J56" s="367"/>
      <c r="K56" s="367"/>
      <c r="L56" s="367"/>
      <c r="M56" s="367"/>
      <c r="N56" s="367"/>
    </row>
    <row r="57" spans="1:14" ht="13" x14ac:dyDescent="0.3">
      <c r="A57" s="227"/>
      <c r="B57" s="227"/>
      <c r="C57" s="227"/>
      <c r="D57" s="227"/>
      <c r="E57" s="227"/>
      <c r="F57" s="227"/>
      <c r="G57" s="227"/>
      <c r="H57" s="367"/>
      <c r="I57" s="367"/>
      <c r="J57" s="367"/>
      <c r="K57" s="367"/>
      <c r="L57" s="367"/>
      <c r="M57" s="367"/>
      <c r="N57" s="367"/>
    </row>
    <row r="58" spans="1:14" ht="13" x14ac:dyDescent="0.3">
      <c r="A58" s="227"/>
      <c r="B58" s="227"/>
      <c r="C58" s="227"/>
      <c r="D58" s="227"/>
      <c r="E58" s="227"/>
      <c r="F58" s="227"/>
      <c r="G58" s="227"/>
      <c r="H58" s="367"/>
      <c r="I58" s="367"/>
      <c r="J58" s="367"/>
      <c r="K58" s="367"/>
      <c r="L58" s="367"/>
      <c r="M58" s="367"/>
      <c r="N58" s="367"/>
    </row>
    <row r="59" spans="1:14" ht="13" x14ac:dyDescent="0.3">
      <c r="A59" s="227"/>
      <c r="B59" s="227"/>
      <c r="C59" s="227"/>
      <c r="D59" s="227"/>
      <c r="E59" s="227"/>
      <c r="F59" s="227"/>
      <c r="G59" s="227"/>
      <c r="H59" s="367"/>
      <c r="I59" s="367"/>
      <c r="J59" s="367"/>
      <c r="K59" s="367"/>
      <c r="L59" s="367"/>
      <c r="M59" s="367"/>
      <c r="N59" s="367"/>
    </row>
    <row r="60" spans="1:14" ht="13" x14ac:dyDescent="0.3">
      <c r="A60" s="227"/>
      <c r="B60" s="227"/>
      <c r="C60" s="227"/>
      <c r="D60" s="227"/>
      <c r="E60" s="227"/>
      <c r="F60" s="227"/>
      <c r="G60" s="227"/>
      <c r="H60" s="367"/>
      <c r="I60" s="367"/>
      <c r="J60" s="367"/>
      <c r="K60" s="367"/>
      <c r="L60" s="367"/>
      <c r="M60" s="367"/>
      <c r="N60" s="367"/>
    </row>
    <row r="61" spans="1:14" ht="13" x14ac:dyDescent="0.3">
      <c r="A61" s="227"/>
      <c r="B61" s="227"/>
      <c r="C61" s="227"/>
      <c r="D61" s="227"/>
      <c r="E61" s="227"/>
      <c r="F61" s="227"/>
      <c r="G61" s="227"/>
      <c r="H61" s="367"/>
      <c r="I61" s="367"/>
      <c r="J61" s="367"/>
      <c r="K61" s="367"/>
      <c r="L61" s="367"/>
      <c r="M61" s="367"/>
      <c r="N61" s="367"/>
    </row>
    <row r="62" spans="1:14" ht="13" x14ac:dyDescent="0.3">
      <c r="A62" s="227"/>
      <c r="B62" s="227"/>
      <c r="C62" s="227"/>
      <c r="D62" s="227"/>
      <c r="E62" s="227"/>
      <c r="F62" s="227"/>
      <c r="G62" s="227"/>
      <c r="H62" s="367"/>
      <c r="I62" s="367"/>
      <c r="J62" s="367"/>
      <c r="K62" s="367"/>
      <c r="L62" s="367"/>
      <c r="M62" s="367"/>
      <c r="N62" s="367"/>
    </row>
    <row r="63" spans="1:14" ht="13" x14ac:dyDescent="0.3">
      <c r="A63" s="227"/>
      <c r="B63" s="227"/>
      <c r="C63" s="227"/>
      <c r="D63" s="227"/>
      <c r="E63" s="227"/>
      <c r="F63" s="227"/>
      <c r="G63" s="227"/>
      <c r="H63" s="367"/>
      <c r="I63" s="367"/>
      <c r="J63" s="367"/>
      <c r="K63" s="367"/>
      <c r="L63" s="367"/>
      <c r="M63" s="367"/>
      <c r="N63" s="367"/>
    </row>
    <row r="64" spans="1:14" ht="13" x14ac:dyDescent="0.3">
      <c r="A64" s="227"/>
      <c r="B64" s="227"/>
      <c r="C64" s="227"/>
      <c r="D64" s="227"/>
      <c r="E64" s="227"/>
      <c r="F64" s="227"/>
      <c r="G64" s="227"/>
      <c r="H64" s="367"/>
      <c r="I64" s="367"/>
      <c r="J64" s="367"/>
      <c r="K64" s="367"/>
      <c r="L64" s="367"/>
      <c r="M64" s="367"/>
      <c r="N64" s="367"/>
    </row>
    <row r="65" spans="1:14" ht="13" x14ac:dyDescent="0.3">
      <c r="A65" s="227"/>
      <c r="B65" s="227"/>
      <c r="C65" s="227"/>
      <c r="D65" s="227"/>
      <c r="E65" s="227"/>
      <c r="F65" s="227"/>
      <c r="G65" s="227"/>
      <c r="H65" s="367"/>
      <c r="I65" s="367"/>
      <c r="J65" s="367"/>
      <c r="K65" s="367"/>
      <c r="L65" s="367"/>
      <c r="M65" s="367"/>
      <c r="N65" s="367"/>
    </row>
    <row r="66" spans="1:14" ht="13" x14ac:dyDescent="0.3">
      <c r="A66" s="227"/>
      <c r="B66" s="227"/>
      <c r="C66" s="227"/>
      <c r="D66" s="227"/>
      <c r="E66" s="227"/>
      <c r="F66" s="227"/>
      <c r="G66" s="227"/>
      <c r="H66" s="367"/>
      <c r="I66" s="367"/>
      <c r="J66" s="367"/>
      <c r="K66" s="367"/>
      <c r="L66" s="367"/>
      <c r="M66" s="367"/>
      <c r="N66" s="367"/>
    </row>
    <row r="67" spans="1:14" ht="13" x14ac:dyDescent="0.3">
      <c r="A67" s="227"/>
      <c r="B67" s="227"/>
      <c r="C67" s="227"/>
      <c r="D67" s="227"/>
      <c r="E67" s="227"/>
      <c r="F67" s="227"/>
      <c r="G67" s="227"/>
      <c r="H67" s="367"/>
      <c r="I67" s="367"/>
      <c r="J67" s="367"/>
      <c r="K67" s="367"/>
      <c r="L67" s="367"/>
      <c r="M67" s="367"/>
      <c r="N67" s="367"/>
    </row>
    <row r="68" spans="1:14" ht="13" x14ac:dyDescent="0.3">
      <c r="A68" s="227"/>
      <c r="B68" s="227"/>
      <c r="C68" s="227"/>
      <c r="D68" s="227"/>
      <c r="E68" s="227"/>
      <c r="F68" s="227"/>
      <c r="G68" s="227"/>
      <c r="H68" s="367"/>
      <c r="I68" s="367"/>
      <c r="J68" s="367"/>
      <c r="K68" s="367"/>
      <c r="L68" s="367"/>
      <c r="M68" s="367"/>
      <c r="N68" s="367"/>
    </row>
    <row r="69" spans="1:14" ht="13" x14ac:dyDescent="0.3">
      <c r="A69" s="227"/>
      <c r="B69" s="227"/>
      <c r="C69" s="227"/>
      <c r="D69" s="227"/>
      <c r="E69" s="227"/>
      <c r="F69" s="227"/>
      <c r="G69" s="227"/>
      <c r="H69" s="367"/>
      <c r="I69" s="367"/>
      <c r="J69" s="367"/>
      <c r="K69" s="367"/>
      <c r="L69" s="367"/>
      <c r="M69" s="367"/>
      <c r="N69" s="367"/>
    </row>
    <row r="70" spans="1:14" ht="13" x14ac:dyDescent="0.3">
      <c r="A70" s="227"/>
      <c r="B70" s="227"/>
      <c r="C70" s="227"/>
      <c r="D70" s="227"/>
      <c r="E70" s="227"/>
      <c r="F70" s="227"/>
      <c r="G70" s="227"/>
      <c r="H70" s="367"/>
      <c r="I70" s="367"/>
      <c r="J70" s="367"/>
      <c r="K70" s="367"/>
      <c r="L70" s="367"/>
      <c r="M70" s="367"/>
      <c r="N70" s="367"/>
    </row>
    <row r="71" spans="1:14" ht="13" x14ac:dyDescent="0.3">
      <c r="A71" s="227"/>
      <c r="B71" s="227"/>
      <c r="C71" s="227"/>
      <c r="D71" s="227"/>
      <c r="E71" s="227"/>
      <c r="F71" s="227"/>
      <c r="G71" s="227"/>
      <c r="H71" s="367"/>
      <c r="I71" s="367"/>
      <c r="J71" s="367"/>
      <c r="K71" s="367"/>
      <c r="L71" s="367"/>
      <c r="M71" s="367"/>
      <c r="N71" s="367"/>
    </row>
    <row r="72" spans="1:14" ht="13" x14ac:dyDescent="0.3">
      <c r="A72" s="227"/>
      <c r="B72" s="227"/>
      <c r="C72" s="227"/>
      <c r="D72" s="227"/>
      <c r="E72" s="227"/>
      <c r="F72" s="227"/>
      <c r="G72" s="227"/>
      <c r="H72" s="367"/>
      <c r="I72" s="367"/>
      <c r="J72" s="367"/>
      <c r="K72" s="367"/>
      <c r="L72" s="367"/>
      <c r="M72" s="367"/>
      <c r="N72" s="367"/>
    </row>
    <row r="73" spans="1:14" ht="13" x14ac:dyDescent="0.3">
      <c r="A73" s="227"/>
      <c r="B73" s="227"/>
      <c r="C73" s="227"/>
      <c r="D73" s="227"/>
      <c r="E73" s="227"/>
      <c r="F73" s="227"/>
      <c r="G73" s="227"/>
      <c r="H73" s="367"/>
      <c r="I73" s="367"/>
      <c r="J73" s="367"/>
      <c r="K73" s="367"/>
      <c r="L73" s="367"/>
      <c r="M73" s="367"/>
      <c r="N73" s="367"/>
    </row>
    <row r="74" spans="1:14" ht="13" x14ac:dyDescent="0.3">
      <c r="A74" s="227"/>
      <c r="B74" s="227"/>
      <c r="C74" s="227"/>
      <c r="D74" s="227"/>
      <c r="E74" s="227"/>
      <c r="F74" s="227"/>
      <c r="G74" s="227"/>
      <c r="H74" s="367"/>
      <c r="I74" s="367"/>
      <c r="J74" s="367"/>
      <c r="K74" s="367"/>
      <c r="L74" s="367"/>
      <c r="M74" s="367"/>
      <c r="N74" s="367"/>
    </row>
    <row r="75" spans="1:14" ht="13" x14ac:dyDescent="0.3">
      <c r="A75" s="227"/>
      <c r="B75" s="227"/>
      <c r="C75" s="227"/>
      <c r="D75" s="227"/>
      <c r="E75" s="227"/>
      <c r="F75" s="227"/>
      <c r="G75" s="227"/>
      <c r="H75" s="367"/>
      <c r="I75" s="367"/>
      <c r="J75" s="367"/>
      <c r="K75" s="367"/>
      <c r="L75" s="367"/>
      <c r="M75" s="367"/>
      <c r="N75" s="367"/>
    </row>
    <row r="76" spans="1:14" ht="13" x14ac:dyDescent="0.3">
      <c r="A76" s="227"/>
      <c r="B76" s="227"/>
      <c r="C76" s="227"/>
      <c r="D76" s="227"/>
      <c r="E76" s="227"/>
      <c r="F76" s="227"/>
      <c r="G76" s="227"/>
      <c r="H76" s="367"/>
      <c r="I76" s="367"/>
      <c r="J76" s="367"/>
      <c r="K76" s="367"/>
      <c r="L76" s="367"/>
      <c r="M76" s="367"/>
      <c r="N76" s="367"/>
    </row>
    <row r="77" spans="1:14" ht="13" x14ac:dyDescent="0.3">
      <c r="A77" s="227"/>
      <c r="B77" s="227"/>
      <c r="C77" s="227"/>
      <c r="D77" s="227"/>
      <c r="E77" s="227"/>
      <c r="F77" s="227"/>
      <c r="G77" s="227"/>
      <c r="H77" s="367"/>
      <c r="I77" s="367"/>
      <c r="J77" s="367"/>
      <c r="K77" s="367"/>
      <c r="L77" s="367"/>
      <c r="M77" s="367"/>
      <c r="N77" s="367"/>
    </row>
    <row r="78" spans="1:14" ht="13" x14ac:dyDescent="0.3">
      <c r="A78" s="227"/>
      <c r="B78" s="227"/>
      <c r="C78" s="227"/>
      <c r="D78" s="227"/>
      <c r="E78" s="227"/>
      <c r="F78" s="227"/>
      <c r="G78" s="227"/>
      <c r="H78" s="367"/>
      <c r="I78" s="367"/>
      <c r="J78" s="367"/>
      <c r="K78" s="367"/>
      <c r="L78" s="367"/>
      <c r="M78" s="367"/>
      <c r="N78" s="367"/>
    </row>
    <row r="79" spans="1:14" ht="13" x14ac:dyDescent="0.3">
      <c r="A79" s="227"/>
      <c r="B79" s="227"/>
      <c r="C79" s="227"/>
      <c r="D79" s="227"/>
      <c r="E79" s="227"/>
      <c r="F79" s="227"/>
      <c r="G79" s="227"/>
      <c r="H79" s="367"/>
      <c r="I79" s="367"/>
      <c r="J79" s="367"/>
      <c r="K79" s="367"/>
      <c r="L79" s="367"/>
      <c r="M79" s="367"/>
      <c r="N79" s="367"/>
    </row>
    <row r="80" spans="1:14" ht="13" x14ac:dyDescent="0.3">
      <c r="A80" s="227"/>
      <c r="B80" s="227"/>
      <c r="C80" s="227"/>
      <c r="D80" s="227"/>
      <c r="E80" s="227"/>
      <c r="F80" s="227"/>
      <c r="G80" s="227"/>
      <c r="H80" s="367"/>
      <c r="I80" s="367"/>
      <c r="J80" s="367"/>
      <c r="K80" s="367"/>
      <c r="L80" s="367"/>
      <c r="M80" s="367"/>
      <c r="N80" s="367"/>
    </row>
    <row r="81" spans="1:14" ht="13" x14ac:dyDescent="0.3">
      <c r="A81" s="227"/>
      <c r="B81" s="227"/>
      <c r="C81" s="227"/>
      <c r="D81" s="227"/>
      <c r="E81" s="227"/>
      <c r="F81" s="227"/>
      <c r="G81" s="227"/>
      <c r="H81" s="367"/>
      <c r="I81" s="367"/>
      <c r="J81" s="367"/>
      <c r="K81" s="367"/>
      <c r="L81" s="367"/>
      <c r="M81" s="367"/>
      <c r="N81" s="367"/>
    </row>
    <row r="82" spans="1:14" ht="13" x14ac:dyDescent="0.3">
      <c r="A82" s="227"/>
      <c r="B82" s="227"/>
      <c r="C82" s="227"/>
      <c r="D82" s="227"/>
      <c r="E82" s="227"/>
      <c r="F82" s="227"/>
      <c r="G82" s="227"/>
      <c r="H82" s="367"/>
      <c r="I82" s="367"/>
      <c r="J82" s="367"/>
      <c r="K82" s="367"/>
      <c r="L82" s="367"/>
      <c r="M82" s="367"/>
      <c r="N82" s="367"/>
    </row>
    <row r="83" spans="1:14" ht="13" x14ac:dyDescent="0.3">
      <c r="A83" s="227"/>
      <c r="B83" s="227"/>
      <c r="C83" s="227"/>
      <c r="D83" s="227"/>
      <c r="E83" s="227"/>
      <c r="F83" s="227"/>
      <c r="G83" s="227"/>
      <c r="H83" s="367"/>
      <c r="I83" s="367"/>
      <c r="J83" s="367"/>
      <c r="K83" s="367"/>
      <c r="L83" s="367"/>
      <c r="M83" s="367"/>
      <c r="N83" s="367"/>
    </row>
    <row r="84" spans="1:14" ht="13" x14ac:dyDescent="0.3">
      <c r="A84" s="227"/>
      <c r="B84" s="227"/>
      <c r="C84" s="227"/>
      <c r="D84" s="227"/>
      <c r="E84" s="227"/>
      <c r="F84" s="227"/>
      <c r="G84" s="227"/>
      <c r="H84" s="367"/>
      <c r="I84" s="367"/>
      <c r="J84" s="367"/>
      <c r="K84" s="367"/>
      <c r="L84" s="367"/>
      <c r="M84" s="367"/>
      <c r="N84" s="367"/>
    </row>
    <row r="85" spans="1:14" ht="13" x14ac:dyDescent="0.3">
      <c r="A85" s="227"/>
      <c r="B85" s="227"/>
      <c r="C85" s="227"/>
      <c r="D85" s="227"/>
      <c r="E85" s="227"/>
      <c r="F85" s="227"/>
      <c r="G85" s="227"/>
      <c r="H85" s="367"/>
      <c r="I85" s="367"/>
      <c r="J85" s="367"/>
      <c r="K85" s="367"/>
      <c r="L85" s="367"/>
      <c r="M85" s="367"/>
      <c r="N85" s="367"/>
    </row>
    <row r="86" spans="1:14" ht="13" x14ac:dyDescent="0.3">
      <c r="A86" s="227"/>
      <c r="B86" s="227"/>
      <c r="C86" s="227"/>
      <c r="D86" s="227"/>
      <c r="E86" s="227"/>
      <c r="F86" s="227"/>
      <c r="G86" s="227"/>
      <c r="H86" s="367"/>
      <c r="I86" s="367"/>
      <c r="J86" s="367"/>
      <c r="K86" s="367"/>
      <c r="L86" s="367"/>
      <c r="M86" s="367"/>
      <c r="N86" s="367"/>
    </row>
    <row r="87" spans="1:14" ht="13" x14ac:dyDescent="0.3">
      <c r="A87" s="227"/>
      <c r="B87" s="227"/>
      <c r="C87" s="227"/>
      <c r="D87" s="227"/>
      <c r="E87" s="227"/>
      <c r="F87" s="227"/>
      <c r="G87" s="227"/>
      <c r="H87" s="367"/>
      <c r="I87" s="367"/>
      <c r="J87" s="367"/>
      <c r="K87" s="367"/>
      <c r="L87" s="367"/>
      <c r="M87" s="367"/>
      <c r="N87" s="367"/>
    </row>
    <row r="88" spans="1:14" ht="13" x14ac:dyDescent="0.3">
      <c r="A88" s="227"/>
      <c r="B88" s="227"/>
      <c r="C88" s="227"/>
      <c r="D88" s="227"/>
      <c r="E88" s="227"/>
      <c r="F88" s="227"/>
      <c r="G88" s="227"/>
      <c r="H88" s="367"/>
      <c r="I88" s="367"/>
      <c r="J88" s="367"/>
      <c r="K88" s="367"/>
      <c r="L88" s="367"/>
      <c r="M88" s="367"/>
      <c r="N88" s="367"/>
    </row>
    <row r="89" spans="1:14" ht="13" x14ac:dyDescent="0.3">
      <c r="A89" s="227"/>
      <c r="B89" s="227"/>
      <c r="C89" s="227"/>
      <c r="D89" s="227"/>
      <c r="E89" s="227"/>
      <c r="F89" s="227"/>
      <c r="G89" s="227"/>
      <c r="H89" s="367"/>
      <c r="I89" s="367"/>
      <c r="J89" s="367"/>
      <c r="K89" s="367"/>
      <c r="L89" s="367"/>
      <c r="M89" s="367"/>
      <c r="N89" s="367"/>
    </row>
    <row r="90" spans="1:14" ht="13" x14ac:dyDescent="0.3">
      <c r="A90" s="227"/>
      <c r="B90" s="227"/>
      <c r="C90" s="227"/>
      <c r="D90" s="227"/>
      <c r="E90" s="227"/>
      <c r="F90" s="227"/>
      <c r="G90" s="227"/>
      <c r="H90" s="367"/>
      <c r="I90" s="367"/>
      <c r="J90" s="367"/>
      <c r="K90" s="367"/>
      <c r="L90" s="367"/>
      <c r="M90" s="367"/>
      <c r="N90" s="367"/>
    </row>
    <row r="91" spans="1:14" ht="13" x14ac:dyDescent="0.3">
      <c r="A91" s="227"/>
      <c r="B91" s="227"/>
      <c r="C91" s="227"/>
      <c r="D91" s="227"/>
      <c r="E91" s="227"/>
      <c r="F91" s="227"/>
      <c r="G91" s="227"/>
      <c r="H91" s="367"/>
      <c r="I91" s="367"/>
      <c r="J91" s="367"/>
      <c r="K91" s="367"/>
      <c r="L91" s="367"/>
      <c r="M91" s="367"/>
      <c r="N91" s="367"/>
    </row>
    <row r="92" spans="1:14" ht="13" x14ac:dyDescent="0.3">
      <c r="A92" s="227"/>
      <c r="B92" s="227"/>
      <c r="C92" s="227"/>
      <c r="D92" s="227"/>
      <c r="E92" s="227"/>
      <c r="F92" s="227"/>
      <c r="G92" s="227"/>
      <c r="H92" s="367"/>
      <c r="I92" s="367"/>
      <c r="J92" s="367"/>
      <c r="K92" s="367"/>
      <c r="L92" s="367"/>
      <c r="M92" s="367"/>
      <c r="N92" s="367"/>
    </row>
    <row r="93" spans="1:14" ht="13" x14ac:dyDescent="0.3">
      <c r="A93" s="227"/>
      <c r="B93" s="227"/>
      <c r="C93" s="227"/>
      <c r="D93" s="227"/>
      <c r="E93" s="227"/>
      <c r="F93" s="227"/>
      <c r="G93" s="227"/>
      <c r="H93" s="367"/>
      <c r="I93" s="367"/>
      <c r="J93" s="367"/>
      <c r="K93" s="367"/>
      <c r="L93" s="367"/>
      <c r="M93" s="367"/>
      <c r="N93" s="367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tabSelected="1" zoomScale="85" workbookViewId="0">
      <selection activeCell="A2" sqref="A2"/>
    </sheetView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505</v>
      </c>
      <c r="B1" t="s">
        <v>506</v>
      </c>
    </row>
    <row r="2" spans="1:2" x14ac:dyDescent="0.25">
      <c r="A2" t="s">
        <v>430</v>
      </c>
      <c r="B2" t="s">
        <v>431</v>
      </c>
    </row>
    <row r="3" spans="1:2" x14ac:dyDescent="0.25">
      <c r="A3" t="s">
        <v>432</v>
      </c>
      <c r="B3" t="s">
        <v>507</v>
      </c>
    </row>
    <row r="4" spans="1:2" x14ac:dyDescent="0.25">
      <c r="A4" t="s">
        <v>508</v>
      </c>
      <c r="B4" s="366">
        <v>44960.548171296294</v>
      </c>
    </row>
    <row r="5" spans="1:2" x14ac:dyDescent="0.25">
      <c r="A5" t="s">
        <v>433</v>
      </c>
      <c r="B5" t="s">
        <v>509</v>
      </c>
    </row>
    <row r="6" spans="1:2" x14ac:dyDescent="0.25">
      <c r="A6" t="s">
        <v>127</v>
      </c>
      <c r="B6" t="s">
        <v>529</v>
      </c>
    </row>
    <row r="40" spans="7:7" x14ac:dyDescent="0.25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75" t="s">
        <v>103</v>
      </c>
    </row>
    <row r="4" spans="1:52" x14ac:dyDescent="0.25">
      <c r="B4" s="83" t="s">
        <v>102</v>
      </c>
      <c r="C4" t="str">
        <f>Stored!B11</f>
        <v>M:/IE/Projects/Nuffield via NFER AI and automation/Data/Results/Workbooks/LEPs/BC_LEP/BC_LEP_Database.Main.xlsx</v>
      </c>
    </row>
    <row r="5" spans="1:52" x14ac:dyDescent="0.25">
      <c r="B5" s="83"/>
    </row>
    <row r="6" spans="1:52" ht="22.5" customHeight="1" x14ac:dyDescent="0.25">
      <c r="B6" s="176" t="s">
        <v>143</v>
      </c>
      <c r="C6" s="176"/>
      <c r="D6" s="199"/>
    </row>
    <row r="7" spans="1:52" ht="15.75" customHeight="1" x14ac:dyDescent="0.25">
      <c r="B7" s="53"/>
      <c r="C7" s="54"/>
      <c r="D7" s="55"/>
    </row>
    <row r="8" spans="1:52" ht="21" customHeight="1" x14ac:dyDescent="0.25">
      <c r="B8" s="56"/>
      <c r="C8" s="198"/>
      <c r="D8" s="57"/>
    </row>
    <row r="10" spans="1:52" ht="17.25" customHeight="1" x14ac:dyDescent="0.25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5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" thickBot="1" x14ac:dyDescent="0.3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" thickBot="1" x14ac:dyDescent="0.3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5">
      <c r="A14" s="83"/>
    </row>
    <row r="16" spans="1:52" ht="45.75" customHeight="1" x14ac:dyDescent="0.25"/>
    <row r="17" spans="5:5" ht="15.75" customHeight="1" x14ac:dyDescent="0.25">
      <c r="E17" s="54"/>
    </row>
    <row r="18" spans="5:5" ht="24" customHeight="1" x14ac:dyDescent="0.25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213" t="s">
        <v>150</v>
      </c>
    </row>
    <row r="2" spans="1:2" x14ac:dyDescent="0.25">
      <c r="A2" s="83" t="s">
        <v>148</v>
      </c>
    </row>
    <row r="3" spans="1:2" s="1" customFormat="1" ht="13" x14ac:dyDescent="0.3">
      <c r="A3" s="208"/>
      <c r="B3" s="208"/>
    </row>
    <row r="4" spans="1:2" s="83" customFormat="1" ht="13" x14ac:dyDescent="0.3">
      <c r="A4" s="209" t="s">
        <v>149</v>
      </c>
      <c r="B4" s="209" t="s">
        <v>150</v>
      </c>
    </row>
    <row r="5" spans="1:2" x14ac:dyDescent="0.25">
      <c r="A5" s="210" t="s">
        <v>374</v>
      </c>
      <c r="B5" s="211" t="s">
        <v>377</v>
      </c>
    </row>
    <row r="6" spans="1:2" x14ac:dyDescent="0.25">
      <c r="A6" s="210" t="s">
        <v>375</v>
      </c>
      <c r="B6" s="211" t="s">
        <v>378</v>
      </c>
    </row>
    <row r="7" spans="1:2" x14ac:dyDescent="0.25">
      <c r="A7" s="210" t="s">
        <v>380</v>
      </c>
      <c r="B7" s="211" t="s">
        <v>384</v>
      </c>
    </row>
    <row r="8" spans="1:2" x14ac:dyDescent="0.25">
      <c r="A8" s="210" t="s">
        <v>383</v>
      </c>
      <c r="B8" s="212" t="s">
        <v>385</v>
      </c>
    </row>
    <row r="9" spans="1:2" x14ac:dyDescent="0.25">
      <c r="A9" s="210" t="s">
        <v>381</v>
      </c>
      <c r="B9" s="212" t="s">
        <v>434</v>
      </c>
    </row>
    <row r="10" spans="1:2" x14ac:dyDescent="0.25">
      <c r="A10" s="210" t="s">
        <v>386</v>
      </c>
      <c r="B10" s="211" t="s">
        <v>393</v>
      </c>
    </row>
    <row r="11" spans="1:2" x14ac:dyDescent="0.25">
      <c r="A11" s="210" t="s">
        <v>388</v>
      </c>
      <c r="B11" s="211" t="s">
        <v>391</v>
      </c>
    </row>
    <row r="12" spans="1:2" x14ac:dyDescent="0.25">
      <c r="A12" s="210" t="s">
        <v>390</v>
      </c>
      <c r="B12" s="211" t="s">
        <v>435</v>
      </c>
    </row>
    <row r="13" spans="1:2" x14ac:dyDescent="0.25">
      <c r="A13" s="210" t="s">
        <v>405</v>
      </c>
      <c r="B13" s="211" t="s">
        <v>436</v>
      </c>
    </row>
    <row r="14" spans="1:2" x14ac:dyDescent="0.25">
      <c r="A14" s="210" t="s">
        <v>392</v>
      </c>
      <c r="B14" s="211" t="s">
        <v>425</v>
      </c>
    </row>
    <row r="15" spans="1:2" x14ac:dyDescent="0.25">
      <c r="A15" s="210" t="s">
        <v>376</v>
      </c>
      <c r="B15" s="211" t="s">
        <v>461</v>
      </c>
    </row>
    <row r="16" spans="1:2" x14ac:dyDescent="0.25">
      <c r="A16" s="210" t="s">
        <v>379</v>
      </c>
      <c r="B16" s="211" t="s">
        <v>462</v>
      </c>
    </row>
    <row r="17" spans="1:2" x14ac:dyDescent="0.25">
      <c r="A17" s="210" t="s">
        <v>382</v>
      </c>
      <c r="B17" s="211" t="s">
        <v>463</v>
      </c>
    </row>
    <row r="18" spans="1:2" x14ac:dyDescent="0.25">
      <c r="A18" s="210" t="s">
        <v>426</v>
      </c>
      <c r="B18" s="211" t="s">
        <v>427</v>
      </c>
    </row>
    <row r="19" spans="1:2" x14ac:dyDescent="0.25">
      <c r="A19" s="210" t="s">
        <v>387</v>
      </c>
      <c r="B19" s="211" t="s">
        <v>464</v>
      </c>
    </row>
    <row r="20" spans="1:2" x14ac:dyDescent="0.25">
      <c r="A20" s="210" t="s">
        <v>389</v>
      </c>
      <c r="B20" s="211" t="s">
        <v>465</v>
      </c>
    </row>
    <row r="21" spans="1:2" x14ac:dyDescent="0.25">
      <c r="A21" s="210" t="s">
        <v>417</v>
      </c>
      <c r="B21" s="211" t="s">
        <v>419</v>
      </c>
    </row>
    <row r="22" spans="1:2" x14ac:dyDescent="0.25">
      <c r="A22" s="210" t="s">
        <v>418</v>
      </c>
      <c r="B22" s="211" t="s">
        <v>420</v>
      </c>
    </row>
    <row r="23" spans="1:2" x14ac:dyDescent="0.25">
      <c r="A23" s="210" t="s">
        <v>423</v>
      </c>
      <c r="B23" s="211" t="s">
        <v>424</v>
      </c>
    </row>
    <row r="24" spans="1:2" x14ac:dyDescent="0.25">
      <c r="A24" s="210" t="s">
        <v>394</v>
      </c>
      <c r="B24" s="211" t="s">
        <v>395</v>
      </c>
    </row>
    <row r="25" spans="1:2" x14ac:dyDescent="0.25">
      <c r="A25" s="210" t="s">
        <v>396</v>
      </c>
      <c r="B25" s="211" t="s">
        <v>397</v>
      </c>
    </row>
    <row r="26" spans="1:2" x14ac:dyDescent="0.25">
      <c r="A26" s="210" t="s">
        <v>398</v>
      </c>
      <c r="B26" s="211" t="s">
        <v>466</v>
      </c>
    </row>
    <row r="27" spans="1:2" x14ac:dyDescent="0.25">
      <c r="A27" s="210" t="s">
        <v>400</v>
      </c>
      <c r="B27" s="211" t="s">
        <v>467</v>
      </c>
    </row>
    <row r="28" spans="1:2" x14ac:dyDescent="0.25">
      <c r="A28" s="210" t="s">
        <v>399</v>
      </c>
      <c r="B28" s="211" t="s">
        <v>468</v>
      </c>
    </row>
    <row r="29" spans="1:2" x14ac:dyDescent="0.25">
      <c r="A29" s="210" t="s">
        <v>401</v>
      </c>
      <c r="B29" s="211" t="s">
        <v>404</v>
      </c>
    </row>
    <row r="30" spans="1:2" x14ac:dyDescent="0.25">
      <c r="A30" s="210" t="s">
        <v>402</v>
      </c>
      <c r="B30" s="211" t="s">
        <v>469</v>
      </c>
    </row>
    <row r="31" spans="1:2" x14ac:dyDescent="0.25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9" t="str">
        <f>CONCATENATE("Industry Table 1  Employment by Industry Sector (SIC 2007), ",B$5,"-",F$5,", ",Info!B5)</f>
        <v>Industry Table 1  Employment by Industry Sector (SIC 2007), 2015-2035, Black Country</v>
      </c>
      <c r="L1" s="19" t="str">
        <f>CONCATENATE("Industry Table 1.1  Employment by Industry Sector (SIC 2007), ",B$5,"-",F$5,", ",Info!B5)</f>
        <v>Industry Table 1.1  Employment by Industry Sector (SIC 2007), 2015-2035, Black Country</v>
      </c>
    </row>
    <row r="2" spans="1:19" ht="13" x14ac:dyDescent="0.3">
      <c r="A2" s="1" t="s">
        <v>517</v>
      </c>
      <c r="J2" s="16" t="s">
        <v>36</v>
      </c>
    </row>
    <row r="3" spans="1:19" ht="15.5" x14ac:dyDescent="0.3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ht="13" x14ac:dyDescent="0.3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ht="13" x14ac:dyDescent="0.3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12.683999999999983</v>
      </c>
      <c r="N5" s="11">
        <f t="shared" si="1"/>
        <v>8.5460000000000029</v>
      </c>
      <c r="O5" s="11">
        <f t="shared" si="1"/>
        <v>7.0439999999999952</v>
      </c>
      <c r="P5" s="11">
        <f t="shared" si="1"/>
        <v>7.0899999999999981</v>
      </c>
      <c r="Q5" s="11">
        <f t="shared" si="1"/>
        <v>7.1439999999999904</v>
      </c>
      <c r="R5" s="40">
        <f t="shared" ref="R5:R10" si="2">IF(D$5-B$5 &lt;&gt; 0,(EXP(LN(D7/B7)/(D$5-B$5))-1)*100,0)</f>
        <v>-11.097776560099105</v>
      </c>
      <c r="S5" s="40">
        <f t="shared" si="0"/>
        <v>9.4021859132298324E-2</v>
      </c>
    </row>
    <row r="6" spans="1:19" ht="13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68.65899999999985</v>
      </c>
      <c r="N6" s="11">
        <f t="shared" si="1"/>
        <v>69.284999999999911</v>
      </c>
      <c r="O6" s="11">
        <f t="shared" si="1"/>
        <v>63.879000000000048</v>
      </c>
      <c r="P6" s="11">
        <f t="shared" si="1"/>
        <v>62.48700000000003</v>
      </c>
      <c r="Q6" s="11">
        <f t="shared" si="1"/>
        <v>56.889999999999958</v>
      </c>
      <c r="R6" s="40">
        <f t="shared" si="2"/>
        <v>-1.4328664326009655</v>
      </c>
      <c r="S6" s="40">
        <f t="shared" si="0"/>
        <v>-0.76949802181702776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12.683999999999983</v>
      </c>
      <c r="C7" s="11">
        <f t="array" ref="C7:C12">MMULT(aggregation!$B$3:$W$8,'Ind T2'!C5:C26)</f>
        <v>8.5460000000000029</v>
      </c>
      <c r="D7" s="11">
        <f t="array" ref="D7:D12">MMULT(aggregation!$B$3:$W$8,'Ind T2'!D5:D26)</f>
        <v>7.0439999999999952</v>
      </c>
      <c r="E7" s="11">
        <f t="array" ref="E7:E12">MMULT(aggregation!$B$3:$W$8,'Ind T2'!E5:E26)</f>
        <v>7.0899999999999981</v>
      </c>
      <c r="F7" s="11">
        <f t="array" ref="F7:F12">MMULT(aggregation!$B$3:$W$8,'Ind T2'!F5:F26)</f>
        <v>7.1439999999999904</v>
      </c>
      <c r="G7" s="11"/>
      <c r="H7" s="11">
        <f>F7-D7</f>
        <v>9.9999999999995204E-2</v>
      </c>
      <c r="I7" s="11">
        <f t="array" ref="I7:I12">MMULT(aggregation!$B$3:$W$8,'RD T1'!AB7:AB28)</f>
        <v>3.181115297019645</v>
      </c>
      <c r="J7" s="11">
        <f>SUM(H7:I7)</f>
        <v>3.2811152970196402</v>
      </c>
      <c r="K7" s="11"/>
      <c r="L7" t="str">
        <f t="shared" si="1"/>
        <v>Construction</v>
      </c>
      <c r="M7" s="11">
        <f t="shared" si="1"/>
        <v>31.762999999999966</v>
      </c>
      <c r="N7" s="11">
        <f t="shared" si="1"/>
        <v>39.074999999999896</v>
      </c>
      <c r="O7" s="11">
        <f t="shared" si="1"/>
        <v>37.014999999999908</v>
      </c>
      <c r="P7" s="11">
        <f t="shared" si="1"/>
        <v>36.903999999999947</v>
      </c>
      <c r="Q7" s="11">
        <f t="shared" si="1"/>
        <v>37.449999999999925</v>
      </c>
      <c r="R7" s="40">
        <f>IF(D$5-B$5 &lt;&gt; 0,(EXP(LN(D9/B9)/(D$5-B$5))-1)*100,0)</f>
        <v>3.1077352720810802</v>
      </c>
      <c r="S7" s="40">
        <f t="shared" si="0"/>
        <v>7.7920169124223726E-2</v>
      </c>
    </row>
    <row r="8" spans="1:19" x14ac:dyDescent="0.25">
      <c r="A8" t="str">
        <f>name!C5</f>
        <v>Manufacturing</v>
      </c>
      <c r="B8" s="11">
        <v>68.65899999999985</v>
      </c>
      <c r="C8" s="11">
        <v>69.284999999999911</v>
      </c>
      <c r="D8" s="11">
        <v>63.879000000000048</v>
      </c>
      <c r="E8" s="11">
        <v>62.48700000000003</v>
      </c>
      <c r="F8" s="11">
        <v>56.889999999999958</v>
      </c>
      <c r="G8" s="11"/>
      <c r="H8" s="11">
        <f t="shared" ref="H8:H12" si="3">F8-D8</f>
        <v>-6.9890000000000896</v>
      </c>
      <c r="I8" s="11">
        <v>25.648034318336933</v>
      </c>
      <c r="J8" s="11">
        <f t="shared" ref="J8:J12" si="4">SUM(H8:I8)</f>
        <v>18.659034318336843</v>
      </c>
      <c r="K8" s="11"/>
      <c r="L8" t="str">
        <f t="shared" si="1"/>
        <v>Trade, accomod. and transport</v>
      </c>
      <c r="M8" s="11">
        <f t="shared" si="1"/>
        <v>147.42899999999986</v>
      </c>
      <c r="N8" s="11">
        <f t="shared" si="1"/>
        <v>146.70800000000003</v>
      </c>
      <c r="O8" s="11">
        <f t="shared" si="1"/>
        <v>144.72400000000016</v>
      </c>
      <c r="P8" s="11">
        <f t="shared" si="1"/>
        <v>150.0100000000003</v>
      </c>
      <c r="Q8" s="11">
        <f t="shared" si="1"/>
        <v>155.9559999999997</v>
      </c>
      <c r="R8" s="40">
        <f t="shared" si="2"/>
        <v>-0.36967947018967662</v>
      </c>
      <c r="S8" s="40">
        <f t="shared" si="0"/>
        <v>0.49954649968431131</v>
      </c>
    </row>
    <row r="9" spans="1:19" x14ac:dyDescent="0.25">
      <c r="A9" t="str">
        <f>name!C6</f>
        <v>Construction</v>
      </c>
      <c r="B9" s="11">
        <v>31.762999999999966</v>
      </c>
      <c r="C9" s="11">
        <v>39.074999999999896</v>
      </c>
      <c r="D9" s="11">
        <v>37.014999999999908</v>
      </c>
      <c r="E9" s="11">
        <v>36.903999999999947</v>
      </c>
      <c r="F9" s="11">
        <v>37.449999999999925</v>
      </c>
      <c r="G9" s="11"/>
      <c r="H9" s="11">
        <f t="shared" si="3"/>
        <v>0.43500000000001648</v>
      </c>
      <c r="I9" s="11">
        <v>15.414609290210322</v>
      </c>
      <c r="J9" s="11">
        <f t="shared" si="4"/>
        <v>15.849609290210338</v>
      </c>
      <c r="K9" s="11"/>
      <c r="L9" t="str">
        <f t="shared" si="1"/>
        <v>Business and other services</v>
      </c>
      <c r="M9" s="11">
        <f t="shared" si="1"/>
        <v>123.34700000000012</v>
      </c>
      <c r="N9" s="11">
        <f t="shared" si="1"/>
        <v>113.62800000000009</v>
      </c>
      <c r="O9" s="11">
        <f t="shared" si="1"/>
        <v>111.41800000000002</v>
      </c>
      <c r="P9" s="11">
        <f t="shared" si="1"/>
        <v>113.29000000000006</v>
      </c>
      <c r="Q9" s="11">
        <f t="shared" si="1"/>
        <v>117.91199999999999</v>
      </c>
      <c r="R9" s="40">
        <f t="shared" si="2"/>
        <v>-2.0137012202789295</v>
      </c>
      <c r="S9" s="40">
        <f t="shared" si="0"/>
        <v>0.37837864603122995</v>
      </c>
    </row>
    <row r="10" spans="1:19" x14ac:dyDescent="0.25">
      <c r="A10" t="str">
        <f>name!C7</f>
        <v>Trade, accomod. and transport</v>
      </c>
      <c r="B10" s="11">
        <v>147.42899999999986</v>
      </c>
      <c r="C10" s="11">
        <v>146.70800000000003</v>
      </c>
      <c r="D10" s="11">
        <v>144.72400000000016</v>
      </c>
      <c r="E10" s="11">
        <v>150.0100000000003</v>
      </c>
      <c r="F10" s="11">
        <v>155.9559999999997</v>
      </c>
      <c r="G10" s="11"/>
      <c r="H10" s="11">
        <f t="shared" si="3"/>
        <v>11.231999999999545</v>
      </c>
      <c r="I10" s="11">
        <v>72.094218762955506</v>
      </c>
      <c r="J10" s="11">
        <f t="shared" si="4"/>
        <v>83.326218762955051</v>
      </c>
      <c r="K10" s="11"/>
      <c r="L10" t="str">
        <f t="shared" si="1"/>
        <v>Non-marketed services</v>
      </c>
      <c r="M10" s="11">
        <f t="shared" si="1"/>
        <v>121.68000000000023</v>
      </c>
      <c r="N10" s="11">
        <f t="shared" si="1"/>
        <v>132.68899999999999</v>
      </c>
      <c r="O10" s="11">
        <f t="shared" si="1"/>
        <v>132.11400000000006</v>
      </c>
      <c r="P10" s="11">
        <f t="shared" si="1"/>
        <v>138.34700000000004</v>
      </c>
      <c r="Q10" s="11">
        <f t="shared" si="1"/>
        <v>146.59199999999998</v>
      </c>
      <c r="R10" s="40">
        <f t="shared" si="2"/>
        <v>1.659022200727156</v>
      </c>
      <c r="S10" s="40">
        <f t="shared" si="0"/>
        <v>0.69566210813678531</v>
      </c>
    </row>
    <row r="11" spans="1:19" x14ac:dyDescent="0.25">
      <c r="A11" t="str">
        <f>name!C8</f>
        <v>Business and other services</v>
      </c>
      <c r="B11" s="11">
        <v>123.34700000000012</v>
      </c>
      <c r="C11" s="11">
        <v>113.62800000000009</v>
      </c>
      <c r="D11" s="11">
        <v>111.41800000000002</v>
      </c>
      <c r="E11" s="11">
        <v>113.29000000000006</v>
      </c>
      <c r="F11" s="11">
        <v>117.91199999999999</v>
      </c>
      <c r="G11" s="11"/>
      <c r="H11" s="11">
        <f t="shared" si="3"/>
        <v>6.4939999999999714</v>
      </c>
      <c r="I11" s="11">
        <v>54.18327461296046</v>
      </c>
      <c r="J11" s="11">
        <f t="shared" si="4"/>
        <v>60.677274612960431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5">
      <c r="A12" t="str">
        <f>name!C9</f>
        <v>Non-marketed services</v>
      </c>
      <c r="B12" s="11">
        <v>121.68000000000023</v>
      </c>
      <c r="C12" s="11">
        <v>132.68899999999999</v>
      </c>
      <c r="D12" s="11">
        <v>132.11400000000006</v>
      </c>
      <c r="E12" s="11">
        <v>138.34700000000004</v>
      </c>
      <c r="F12" s="11">
        <v>146.59199999999998</v>
      </c>
      <c r="G12" s="11"/>
      <c r="H12" s="11">
        <f t="shared" si="3"/>
        <v>14.477999999999923</v>
      </c>
      <c r="I12" s="11">
        <v>75.196961325384336</v>
      </c>
      <c r="J12" s="11">
        <f t="shared" si="4"/>
        <v>89.67496132538426</v>
      </c>
      <c r="K12" s="11"/>
      <c r="L12" s="24" t="str">
        <f t="shared" ref="L12:Q12" si="5">A14</f>
        <v>All industries</v>
      </c>
      <c r="M12" s="34">
        <f t="shared" si="5"/>
        <v>505.56199999999995</v>
      </c>
      <c r="N12" s="34">
        <f t="shared" si="5"/>
        <v>509.93099999999993</v>
      </c>
      <c r="O12" s="34">
        <f t="shared" si="5"/>
        <v>496.19400000000019</v>
      </c>
      <c r="P12" s="34">
        <f t="shared" si="5"/>
        <v>508.12800000000038</v>
      </c>
      <c r="Q12" s="34">
        <f t="shared" si="5"/>
        <v>521.94399999999951</v>
      </c>
      <c r="R12" s="43">
        <f>IF(D$5-B$5 &lt;&gt; 0,(EXP(LN(D14/B14)/(D$5-B$5))-1)*100,0)</f>
        <v>-0.37337526450474945</v>
      </c>
      <c r="S12" s="43">
        <f>F41</f>
        <v>0.33785827979149197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4" t="str">
        <f>name!C3</f>
        <v>All industries</v>
      </c>
      <c r="B14" s="34">
        <f>SUM(B7:B12)</f>
        <v>505.56199999999995</v>
      </c>
      <c r="C14" s="34">
        <f t="shared" ref="C14:F14" si="6">SUM(C7:C12)</f>
        <v>509.93099999999993</v>
      </c>
      <c r="D14" s="34">
        <f t="shared" si="6"/>
        <v>496.19400000000019</v>
      </c>
      <c r="E14" s="34">
        <f t="shared" si="6"/>
        <v>508.12800000000038</v>
      </c>
      <c r="F14" s="34">
        <f t="shared" si="6"/>
        <v>521.94399999999951</v>
      </c>
      <c r="G14" s="34"/>
      <c r="H14" s="34">
        <f>SUM(H7:H12)</f>
        <v>25.749999999999361</v>
      </c>
      <c r="I14" s="34">
        <f>SUM(I7:I12)</f>
        <v>245.71821360686721</v>
      </c>
      <c r="J14" s="34">
        <f t="shared" ref="J14" si="7">SUM(J7:J12)</f>
        <v>271.46821360686658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ht="13" x14ac:dyDescent="0.3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5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ht="13" x14ac:dyDescent="0.3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5">
      <c r="A20" t="str">
        <f>$A$7</f>
        <v>Primary sector and utilities</v>
      </c>
      <c r="B20" s="18">
        <f t="shared" ref="B20:F25" si="8">B7/B$14*100</f>
        <v>2.5088910954541648</v>
      </c>
      <c r="C20" s="18">
        <f t="shared" si="8"/>
        <v>1.6759130156825148</v>
      </c>
      <c r="D20" s="18">
        <f t="shared" si="8"/>
        <v>1.4196060411855025</v>
      </c>
      <c r="E20" s="18">
        <f t="shared" si="8"/>
        <v>1.3953177152213603</v>
      </c>
      <c r="F20" s="18">
        <f t="shared" si="8"/>
        <v>1.3687292123292913</v>
      </c>
      <c r="G20" s="351"/>
      <c r="H20" s="40">
        <f>IF(D7&gt;0,(H7/D7)*100,0)</f>
        <v>1.4196479273139591</v>
      </c>
      <c r="I20" s="40">
        <f>IF(D7&gt;0,(I7/D7)*100,0)</f>
        <v>45.16063737960885</v>
      </c>
      <c r="J20" s="40">
        <f>IF(D7&gt;0,(J7/D7)*100,0)</f>
        <v>46.580285306922811</v>
      </c>
      <c r="K20" s="351"/>
      <c r="L20" s="11"/>
    </row>
    <row r="21" spans="1:12" x14ac:dyDescent="0.25">
      <c r="A21" t="str">
        <f>$A$8</f>
        <v>Manufacturing</v>
      </c>
      <c r="B21" s="18">
        <f t="shared" si="8"/>
        <v>13.580727981928991</v>
      </c>
      <c r="C21" s="18">
        <f t="shared" si="8"/>
        <v>13.587132376733308</v>
      </c>
      <c r="D21" s="18">
        <f t="shared" si="8"/>
        <v>12.873795330052362</v>
      </c>
      <c r="E21" s="18">
        <f t="shared" si="8"/>
        <v>12.297491970527108</v>
      </c>
      <c r="F21" s="18">
        <f t="shared" si="8"/>
        <v>10.899636742639061</v>
      </c>
      <c r="G21" s="351"/>
      <c r="H21" s="40">
        <f t="shared" ref="H21:H25" si="9">IF(D8&gt;0,(H8/D8)*100,0)</f>
        <v>-10.940997824011154</v>
      </c>
      <c r="I21" s="40">
        <f t="shared" ref="I21:I25" si="10">IF(D8&gt;0,(I8/D8)*100,0)</f>
        <v>40.150964038787265</v>
      </c>
      <c r="J21" s="40">
        <f t="shared" ref="J21:J27" si="11">IF(D8&gt;0,(J8/D8)*100,0)</f>
        <v>29.209966214776106</v>
      </c>
      <c r="K21" s="351"/>
      <c r="L21" s="11"/>
    </row>
    <row r="22" spans="1:12" x14ac:dyDescent="0.25">
      <c r="A22" t="str">
        <f>$A$9</f>
        <v>Construction</v>
      </c>
      <c r="B22" s="18">
        <f t="shared" si="8"/>
        <v>6.2827111214845992</v>
      </c>
      <c r="C22" s="18">
        <f t="shared" si="8"/>
        <v>7.662801437841571</v>
      </c>
      <c r="D22" s="18">
        <f t="shared" si="8"/>
        <v>7.4597838748553773</v>
      </c>
      <c r="E22" s="18">
        <f t="shared" si="8"/>
        <v>7.2627369481705246</v>
      </c>
      <c r="F22" s="18">
        <f t="shared" si="8"/>
        <v>7.1750992443633725</v>
      </c>
      <c r="G22" s="351"/>
      <c r="H22" s="40">
        <f t="shared" si="9"/>
        <v>1.1751992435499596</v>
      </c>
      <c r="I22" s="40">
        <f t="shared" si="10"/>
        <v>41.644223396488883</v>
      </c>
      <c r="J22" s="40">
        <f t="shared" si="11"/>
        <v>42.819422640038844</v>
      </c>
      <c r="K22" s="351"/>
    </row>
    <row r="23" spans="1:12" x14ac:dyDescent="0.25">
      <c r="A23" t="str">
        <f>$A$10</f>
        <v>Trade, accomod. and transport</v>
      </c>
      <c r="B23" s="18">
        <f t="shared" si="8"/>
        <v>29.161408491935681</v>
      </c>
      <c r="C23" s="18">
        <f t="shared" si="8"/>
        <v>28.7701669441552</v>
      </c>
      <c r="D23" s="18">
        <f t="shared" si="8"/>
        <v>29.166817817224739</v>
      </c>
      <c r="E23" s="18">
        <f t="shared" si="8"/>
        <v>29.522088922476264</v>
      </c>
      <c r="F23" s="18">
        <f t="shared" si="8"/>
        <v>29.879833851907456</v>
      </c>
      <c r="G23" s="351"/>
      <c r="H23" s="40">
        <f t="shared" si="9"/>
        <v>7.760979519637055</v>
      </c>
      <c r="I23" s="40">
        <f t="shared" si="10"/>
        <v>49.814971091840626</v>
      </c>
      <c r="J23" s="40">
        <f t="shared" si="11"/>
        <v>57.57595061147768</v>
      </c>
      <c r="K23" s="351"/>
      <c r="L23" s="11"/>
    </row>
    <row r="24" spans="1:12" x14ac:dyDescent="0.25">
      <c r="A24" t="str">
        <f>$A$11</f>
        <v>Business and other services</v>
      </c>
      <c r="B24" s="18">
        <f t="shared" si="8"/>
        <v>24.397996684877448</v>
      </c>
      <c r="C24" s="18">
        <f t="shared" si="8"/>
        <v>22.283014760820603</v>
      </c>
      <c r="D24" s="18">
        <f t="shared" si="8"/>
        <v>22.454523835435332</v>
      </c>
      <c r="E24" s="18">
        <f t="shared" si="8"/>
        <v>22.295563322627366</v>
      </c>
      <c r="F24" s="18">
        <f t="shared" si="8"/>
        <v>22.590929295096814</v>
      </c>
      <c r="G24" s="351"/>
      <c r="H24" s="40">
        <f t="shared" si="9"/>
        <v>5.8285016783643311</v>
      </c>
      <c r="I24" s="40">
        <f t="shared" si="10"/>
        <v>48.63062935339034</v>
      </c>
      <c r="J24" s="40">
        <f t="shared" si="11"/>
        <v>54.459131031754673</v>
      </c>
      <c r="K24" s="351"/>
      <c r="L24" s="11"/>
    </row>
    <row r="25" spans="1:12" x14ac:dyDescent="0.25">
      <c r="A25" t="str">
        <f>$A$12</f>
        <v>Non-marketed services</v>
      </c>
      <c r="B25" s="18">
        <f t="shared" si="8"/>
        <v>24.06826462431912</v>
      </c>
      <c r="C25" s="18">
        <f t="shared" si="8"/>
        <v>26.020971464766806</v>
      </c>
      <c r="D25" s="18">
        <f t="shared" si="8"/>
        <v>26.625473101246694</v>
      </c>
      <c r="E25" s="18">
        <f t="shared" si="8"/>
        <v>27.226801120977377</v>
      </c>
      <c r="F25" s="18">
        <f t="shared" si="8"/>
        <v>28.085771653664015</v>
      </c>
      <c r="G25" s="351"/>
      <c r="H25" s="40">
        <f t="shared" si="9"/>
        <v>10.958717471274745</v>
      </c>
      <c r="I25" s="40">
        <f t="shared" si="10"/>
        <v>56.918238283137526</v>
      </c>
      <c r="J25" s="40">
        <f t="shared" si="11"/>
        <v>67.876955754412265</v>
      </c>
      <c r="K25" s="351"/>
      <c r="L25" s="11"/>
    </row>
    <row r="26" spans="1:12" x14ac:dyDescent="0.25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5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5.1895024929764064</v>
      </c>
      <c r="I27" s="43">
        <f>IF(D14&gt;0,(I14/D14)*100,0)</f>
        <v>49.520593478935076</v>
      </c>
      <c r="J27" s="43">
        <f t="shared" si="11"/>
        <v>54.710095971911485</v>
      </c>
      <c r="K27" s="351"/>
      <c r="L27" s="11"/>
    </row>
    <row r="28" spans="1:12" x14ac:dyDescent="0.25">
      <c r="B28" s="18"/>
      <c r="C28" s="18"/>
      <c r="D28" s="18"/>
      <c r="E28" s="18"/>
      <c r="F28" s="18"/>
    </row>
    <row r="29" spans="1:12" ht="13" x14ac:dyDescent="0.3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5" x14ac:dyDescent="0.35">
      <c r="A31" s="194" t="str">
        <f>CONCATENATE(A1," (Continued)")</f>
        <v>Industry Table 1  Employment by Industry Sector (SIC 2007), 2015-2035, Black Country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5">
      <c r="G32" s="18"/>
      <c r="H32" s="18"/>
      <c r="I32" s="18"/>
      <c r="J32" s="18"/>
      <c r="K32" s="18"/>
    </row>
    <row r="33" spans="1:11" ht="13" x14ac:dyDescent="0.3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5">
      <c r="A34" t="str">
        <f>$A$7</f>
        <v>Primary sector and utilities</v>
      </c>
      <c r="B34" s="18">
        <f t="shared" ref="B34:E39" si="12">IF(C$5-B$5 &lt;&gt; 0,(EXP(LN(C7/B7)/(C$5-B$5))-1)*100,0)</f>
        <v>-9.4003199917863434</v>
      </c>
      <c r="C34" s="18">
        <f t="shared" si="12"/>
        <v>-17.57547390592098</v>
      </c>
      <c r="D34" s="18">
        <f t="shared" si="12"/>
        <v>0.13026777305011894</v>
      </c>
      <c r="E34" s="18">
        <f t="shared" si="12"/>
        <v>7.5903822684342259E-2</v>
      </c>
      <c r="F34" s="18">
        <f t="shared" ref="F34:F39" si="13">IF(F$5-D$5 &lt;&gt; 0,(EXP(LN(F7/D7)/(F$5-D$5))-1)*100,0)</f>
        <v>9.4021859132298324E-2</v>
      </c>
      <c r="G34" s="18"/>
      <c r="H34" s="18"/>
      <c r="I34" s="18"/>
      <c r="J34" s="18"/>
      <c r="K34" s="18"/>
    </row>
    <row r="35" spans="1:11" x14ac:dyDescent="0.25">
      <c r="A35" t="str">
        <f>$A$8</f>
        <v>Manufacturing</v>
      </c>
      <c r="B35" s="18">
        <f t="shared" si="12"/>
        <v>0.22716285343247211</v>
      </c>
      <c r="C35" s="18">
        <f t="shared" si="12"/>
        <v>-7.8025546655118294</v>
      </c>
      <c r="D35" s="18">
        <f t="shared" si="12"/>
        <v>-0.43967326985788757</v>
      </c>
      <c r="E35" s="18">
        <f t="shared" si="12"/>
        <v>-0.93400042837517017</v>
      </c>
      <c r="F35" s="18">
        <f t="shared" si="13"/>
        <v>-0.76949802181702776</v>
      </c>
      <c r="G35" s="18"/>
      <c r="H35" s="18"/>
      <c r="I35" s="18"/>
      <c r="J35" s="18"/>
      <c r="K35" s="18"/>
    </row>
    <row r="36" spans="1:11" x14ac:dyDescent="0.25">
      <c r="A36" t="str">
        <f>$A$9</f>
        <v>Construction</v>
      </c>
      <c r="B36" s="18">
        <f t="shared" si="12"/>
        <v>5.3160029551780674</v>
      </c>
      <c r="C36" s="18">
        <f t="shared" si="12"/>
        <v>-5.2719129878438746</v>
      </c>
      <c r="D36" s="18">
        <f t="shared" si="12"/>
        <v>-6.0047756904824112E-2</v>
      </c>
      <c r="E36" s="18">
        <f t="shared" si="12"/>
        <v>0.14697554040974392</v>
      </c>
      <c r="F36" s="18">
        <f t="shared" si="13"/>
        <v>7.7920169124223726E-2</v>
      </c>
      <c r="G36" s="18"/>
      <c r="H36" s="18"/>
      <c r="I36" s="18"/>
      <c r="J36" s="18"/>
      <c r="K36" s="18"/>
    </row>
    <row r="37" spans="1:11" x14ac:dyDescent="0.25">
      <c r="A37" t="str">
        <f>$A$10</f>
        <v>Trade, accomod. and transport</v>
      </c>
      <c r="B37" s="18">
        <f t="shared" si="12"/>
        <v>-0.1224871041336506</v>
      </c>
      <c r="C37" s="18">
        <f t="shared" si="12"/>
        <v>-1.3523461569920348</v>
      </c>
      <c r="D37" s="18">
        <f>IF(E$5-D$5 &lt;&gt; 0,(EXP(LN(E10/D10)/(E$5-D$5))-1)*100,0)</f>
        <v>0.7200495444993793</v>
      </c>
      <c r="E37" s="18">
        <f t="shared" si="12"/>
        <v>0.38947607086927682</v>
      </c>
      <c r="F37" s="18">
        <f t="shared" si="13"/>
        <v>0.49954649968431131</v>
      </c>
      <c r="G37" s="18"/>
      <c r="H37" s="18"/>
      <c r="I37" s="18"/>
      <c r="J37" s="18"/>
      <c r="K37" s="18"/>
    </row>
    <row r="38" spans="1:11" x14ac:dyDescent="0.25">
      <c r="A38" t="str">
        <f>$A$11</f>
        <v>Business and other services</v>
      </c>
      <c r="B38" s="18">
        <f t="shared" si="12"/>
        <v>-2.0308832035628277</v>
      </c>
      <c r="C38" s="18">
        <f t="shared" si="12"/>
        <v>-1.9449431478157364</v>
      </c>
      <c r="D38" s="18">
        <f t="shared" si="12"/>
        <v>0.33379603338987707</v>
      </c>
      <c r="E38" s="18">
        <f t="shared" si="12"/>
        <v>0.40067738054005986</v>
      </c>
      <c r="F38" s="18">
        <f t="shared" si="13"/>
        <v>0.37837864603122995</v>
      </c>
      <c r="G38" s="18"/>
      <c r="H38" s="18"/>
      <c r="I38" s="18"/>
      <c r="J38" s="18"/>
      <c r="K38" s="18"/>
    </row>
    <row r="39" spans="1:11" x14ac:dyDescent="0.25">
      <c r="A39" t="str">
        <f>$A$12</f>
        <v>Non-marketed services</v>
      </c>
      <c r="B39" s="18">
        <f t="shared" si="12"/>
        <v>2.1889484105768631</v>
      </c>
      <c r="C39" s="18">
        <f t="shared" si="12"/>
        <v>-0.4333441355349188</v>
      </c>
      <c r="D39" s="18">
        <f t="shared" si="12"/>
        <v>0.92626019532746628</v>
      </c>
      <c r="E39" s="18">
        <f t="shared" si="12"/>
        <v>0.58056071780008267</v>
      </c>
      <c r="F39" s="18">
        <f t="shared" si="13"/>
        <v>0.69566210813678531</v>
      </c>
    </row>
    <row r="40" spans="1:11" ht="13" x14ac:dyDescent="0.3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5">
      <c r="A41" t="str">
        <f>$A$14</f>
        <v>All industries</v>
      </c>
      <c r="B41" s="18">
        <f>IF(C$5-B$5 &lt;&gt; 0,(EXP(LN(C14/B14)/(C$5-B$5))-1)*100,0)</f>
        <v>0.21535006256829803</v>
      </c>
      <c r="C41" s="18">
        <f>IF(D$5-C$5 &lt;&gt; 0,(EXP(LN(D14/C14)/(D$5-C$5))-1)*100,0)</f>
        <v>-2.6938938797601564</v>
      </c>
      <c r="D41" s="18">
        <f>IF(E$5-D$5 &lt;&gt; 0,(EXP(LN(E14/D14)/(E$5-D$5))-1)*100,0)</f>
        <v>0.47645957720001686</v>
      </c>
      <c r="E41" s="18">
        <f>IF(F$5-E$5 &lt;&gt; 0,(EXP(LN(F14/E14)/(F$5-E$5))-1)*100,0)</f>
        <v>0.26862934467042354</v>
      </c>
      <c r="F41" s="18">
        <f>IF(F$5-D$5 &lt;&gt; 0,(EXP(LN(F14/D14)/(F$5-D$5))-1)*100,0)</f>
        <v>0.33785827979149197</v>
      </c>
      <c r="G41" s="27"/>
      <c r="H41" s="27"/>
      <c r="I41" s="27"/>
      <c r="J41" s="27"/>
      <c r="K41" s="27"/>
    </row>
    <row r="42" spans="1:11" x14ac:dyDescent="0.25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5">
      <c r="G43" s="27"/>
      <c r="H43" s="27"/>
      <c r="I43" s="27"/>
      <c r="J43" s="27"/>
      <c r="K43" s="27"/>
    </row>
    <row r="44" spans="1:11" ht="13" x14ac:dyDescent="0.3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5">
      <c r="A45" t="str">
        <f>$A$7</f>
        <v>Primary sector and utilities</v>
      </c>
      <c r="B45" s="27">
        <f>C7-B7</f>
        <v>-4.1379999999999804</v>
      </c>
      <c r="C45" s="27">
        <f>D7-C7</f>
        <v>-1.5020000000000078</v>
      </c>
      <c r="D45" s="27">
        <f>E7-D7</f>
        <v>4.6000000000002927E-2</v>
      </c>
      <c r="E45" s="27">
        <f>F7-E7</f>
        <v>5.3999999999992276E-2</v>
      </c>
      <c r="F45" s="27">
        <f>F7-D7</f>
        <v>9.9999999999995204E-2</v>
      </c>
      <c r="G45" s="27"/>
      <c r="H45" s="27"/>
      <c r="I45" s="27"/>
      <c r="J45" s="27"/>
      <c r="K45" s="27"/>
    </row>
    <row r="46" spans="1:11" x14ac:dyDescent="0.25">
      <c r="A46" t="str">
        <f>$A$8</f>
        <v>Manufacturing</v>
      </c>
      <c r="B46" s="27">
        <f t="shared" ref="B46:E52" si="14">C8-B8</f>
        <v>0.62600000000006162</v>
      </c>
      <c r="C46" s="27">
        <f>D8-C8</f>
        <v>-5.4059999999998638</v>
      </c>
      <c r="D46" s="27">
        <f t="shared" si="14"/>
        <v>-1.3920000000000172</v>
      </c>
      <c r="E46" s="27">
        <f t="shared" si="14"/>
        <v>-5.5970000000000724</v>
      </c>
      <c r="F46" s="27">
        <f t="shared" ref="F46:F52" si="15">F8-D8</f>
        <v>-6.9890000000000896</v>
      </c>
      <c r="G46" s="27"/>
      <c r="H46" s="27"/>
      <c r="I46" s="27"/>
      <c r="J46" s="27"/>
      <c r="K46" s="27"/>
    </row>
    <row r="47" spans="1:11" x14ac:dyDescent="0.25">
      <c r="A47" t="str">
        <f>$A$9</f>
        <v>Construction</v>
      </c>
      <c r="B47" s="27">
        <f t="shared" si="14"/>
        <v>7.3119999999999301</v>
      </c>
      <c r="C47" s="27">
        <f t="shared" ref="C47:C50" si="16">D9-C9</f>
        <v>-2.0599999999999881</v>
      </c>
      <c r="D47" s="27">
        <f t="shared" si="14"/>
        <v>-0.11099999999996157</v>
      </c>
      <c r="E47" s="27">
        <f t="shared" si="14"/>
        <v>0.54599999999997806</v>
      </c>
      <c r="F47" s="27">
        <f t="shared" si="15"/>
        <v>0.43500000000001648</v>
      </c>
      <c r="G47" s="27"/>
      <c r="H47" s="27"/>
      <c r="I47" s="27"/>
      <c r="J47" s="27"/>
      <c r="K47" s="27"/>
    </row>
    <row r="48" spans="1:11" x14ac:dyDescent="0.25">
      <c r="A48" t="str">
        <f>$A$10</f>
        <v>Trade, accomod. and transport</v>
      </c>
      <c r="B48" s="27">
        <f t="shared" si="14"/>
        <v>-0.72099999999983311</v>
      </c>
      <c r="C48" s="27">
        <f t="shared" si="16"/>
        <v>-1.9839999999998668</v>
      </c>
      <c r="D48" s="27">
        <f t="shared" si="14"/>
        <v>5.2860000000001435</v>
      </c>
      <c r="E48" s="27">
        <f t="shared" si="14"/>
        <v>5.9459999999994011</v>
      </c>
      <c r="F48" s="27">
        <f t="shared" si="15"/>
        <v>11.231999999999545</v>
      </c>
      <c r="G48" s="27"/>
      <c r="H48" s="27"/>
      <c r="I48" s="27"/>
      <c r="J48" s="27"/>
      <c r="K48" s="27"/>
    </row>
    <row r="49" spans="1:6" x14ac:dyDescent="0.25">
      <c r="A49" t="str">
        <f>$A$11</f>
        <v>Business and other services</v>
      </c>
      <c r="B49" s="27">
        <f t="shared" si="14"/>
        <v>-9.7190000000000367</v>
      </c>
      <c r="C49" s="27">
        <f t="shared" si="16"/>
        <v>-2.2100000000000648</v>
      </c>
      <c r="D49" s="27">
        <f t="shared" si="14"/>
        <v>1.8720000000000425</v>
      </c>
      <c r="E49" s="27">
        <f t="shared" si="14"/>
        <v>4.6219999999999288</v>
      </c>
      <c r="F49" s="27">
        <f t="shared" si="15"/>
        <v>6.4939999999999714</v>
      </c>
    </row>
    <row r="50" spans="1:6" x14ac:dyDescent="0.25">
      <c r="A50" t="str">
        <f>$A$12</f>
        <v>Non-marketed services</v>
      </c>
      <c r="B50" s="27">
        <f t="shared" si="14"/>
        <v>11.008999999999759</v>
      </c>
      <c r="C50" s="27">
        <f t="shared" si="16"/>
        <v>-0.57499999999993179</v>
      </c>
      <c r="D50" s="27">
        <f t="shared" si="14"/>
        <v>6.2329999999999757</v>
      </c>
      <c r="E50" s="27">
        <f t="shared" si="14"/>
        <v>8.2449999999999477</v>
      </c>
      <c r="F50" s="27">
        <f t="shared" si="15"/>
        <v>14.477999999999923</v>
      </c>
    </row>
    <row r="51" spans="1:6" x14ac:dyDescent="0.25">
      <c r="B51" s="27"/>
      <c r="C51" s="27"/>
      <c r="D51" s="27"/>
      <c r="E51" s="27"/>
      <c r="F51" s="27"/>
    </row>
    <row r="52" spans="1:6" x14ac:dyDescent="0.25">
      <c r="A52" s="24" t="str">
        <f>$A$14</f>
        <v>All industries</v>
      </c>
      <c r="B52" s="29">
        <f>C14-B14</f>
        <v>4.3689999999999714</v>
      </c>
      <c r="C52" s="29">
        <f>D14-C14</f>
        <v>-13.736999999999739</v>
      </c>
      <c r="D52" s="29">
        <f t="shared" si="14"/>
        <v>11.934000000000196</v>
      </c>
      <c r="E52" s="29">
        <f t="shared" si="14"/>
        <v>13.815999999999121</v>
      </c>
      <c r="F52" s="29">
        <f t="shared" si="15"/>
        <v>25.749999999999318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9" t="str">
        <f>CONCATENATE("Industry Table 2  Employment by Industry Group (SIC 2007), ",B$3,"-",F$3,", ",Info!B5)</f>
        <v>Industry Table 2  Employment by Industry Group (SIC 2007), 2015-2035, Black Country</v>
      </c>
    </row>
    <row r="2" spans="1:7" ht="13" x14ac:dyDescent="0.3">
      <c r="A2" s="1" t="s">
        <v>518</v>
      </c>
    </row>
    <row r="3" spans="1:7" ht="13" x14ac:dyDescent="0.3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ht="13" x14ac:dyDescent="0.3">
      <c r="A4" s="1" t="s">
        <v>13</v>
      </c>
    </row>
    <row r="5" spans="1:7" x14ac:dyDescent="0.25">
      <c r="A5" s="10" t="str">
        <f>name!B4</f>
        <v>Agriculture</v>
      </c>
      <c r="B5" s="11">
        <v>2.9649999999999994</v>
      </c>
      <c r="C5" s="11">
        <v>2.2860000000000018</v>
      </c>
      <c r="D5" s="11">
        <v>1.1150000000000004</v>
      </c>
      <c r="E5" s="11">
        <v>1.2120000000000004</v>
      </c>
      <c r="F5" s="11">
        <v>1.214999999999997</v>
      </c>
      <c r="G5" s="10"/>
    </row>
    <row r="6" spans="1:7" x14ac:dyDescent="0.25">
      <c r="A6" s="10" t="str">
        <f>name!B5</f>
        <v>Mining and quarrying</v>
      </c>
      <c r="B6" s="11">
        <v>0.16200000000000025</v>
      </c>
      <c r="C6" s="11">
        <v>0.14499999999999991</v>
      </c>
      <c r="D6" s="11">
        <v>0.15500000000000022</v>
      </c>
      <c r="E6" s="11">
        <v>0.10899999999999997</v>
      </c>
      <c r="F6" s="11">
        <v>6.2999999999999945E-2</v>
      </c>
    </row>
    <row r="7" spans="1:7" x14ac:dyDescent="0.25">
      <c r="A7" s="10" t="str">
        <f>name!B6</f>
        <v>Food drink and tobacco</v>
      </c>
      <c r="B7" s="11">
        <v>7.0119999999999845</v>
      </c>
      <c r="C7" s="11">
        <v>6.3419999999999961</v>
      </c>
      <c r="D7" s="11">
        <v>6.2970000000000033</v>
      </c>
      <c r="E7" s="11">
        <v>6.3359999999999985</v>
      </c>
      <c r="F7" s="11">
        <v>6.1889999999999805</v>
      </c>
      <c r="G7" s="11"/>
    </row>
    <row r="8" spans="1:7" x14ac:dyDescent="0.25">
      <c r="A8" s="10" t="str">
        <f>name!B7</f>
        <v>Engineering</v>
      </c>
      <c r="B8" s="11">
        <v>6.9600000000000088</v>
      </c>
      <c r="C8" s="11">
        <v>8.166999999999998</v>
      </c>
      <c r="D8" s="11">
        <v>7.4149999999999814</v>
      </c>
      <c r="E8" s="11">
        <v>7.8680000000000101</v>
      </c>
      <c r="F8" s="11">
        <v>7.0909999999999993</v>
      </c>
      <c r="G8" s="11"/>
    </row>
    <row r="9" spans="1:7" x14ac:dyDescent="0.25">
      <c r="A9" s="10" t="str">
        <f>name!B8</f>
        <v>Rest of manufacturing</v>
      </c>
      <c r="B9" s="11">
        <v>54.686999999999863</v>
      </c>
      <c r="C9" s="11">
        <v>54.775999999999925</v>
      </c>
      <c r="D9" s="11">
        <v>50.167000000000066</v>
      </c>
      <c r="E9" s="11">
        <v>48.283000000000023</v>
      </c>
      <c r="F9" s="11">
        <v>43.609999999999978</v>
      </c>
      <c r="G9" s="11"/>
    </row>
    <row r="10" spans="1:7" x14ac:dyDescent="0.25">
      <c r="A10" s="10" t="str">
        <f>name!B9</f>
        <v>Electricity and gas</v>
      </c>
      <c r="B10" s="11">
        <v>5.225000000000005</v>
      </c>
      <c r="C10" s="11">
        <v>1.7090000000000003</v>
      </c>
      <c r="D10" s="11">
        <v>1.9709999999999988</v>
      </c>
      <c r="E10" s="11">
        <v>1.8559999999999983</v>
      </c>
      <c r="F10" s="11">
        <v>1.8180000000000041</v>
      </c>
      <c r="G10" s="11"/>
    </row>
    <row r="11" spans="1:7" x14ac:dyDescent="0.25">
      <c r="A11" s="10" t="str">
        <f>name!B10</f>
        <v>Water and sewerage</v>
      </c>
      <c r="B11" s="11">
        <v>4.3319999999999785</v>
      </c>
      <c r="C11" s="11">
        <v>4.4060000000000006</v>
      </c>
      <c r="D11" s="11">
        <v>3.8029999999999959</v>
      </c>
      <c r="E11" s="11">
        <v>3.9129999999999989</v>
      </c>
      <c r="F11" s="11">
        <v>4.0479999999999894</v>
      </c>
      <c r="G11" s="11"/>
    </row>
    <row r="12" spans="1:7" x14ac:dyDescent="0.25">
      <c r="A12" s="10" t="str">
        <f>name!B11</f>
        <v>Construction</v>
      </c>
      <c r="B12" s="11">
        <v>31.762999999999966</v>
      </c>
      <c r="C12" s="11">
        <v>39.074999999999896</v>
      </c>
      <c r="D12" s="11">
        <v>37.014999999999908</v>
      </c>
      <c r="E12" s="11">
        <v>36.903999999999947</v>
      </c>
      <c r="F12" s="11">
        <v>37.449999999999925</v>
      </c>
      <c r="G12" s="11"/>
    </row>
    <row r="13" spans="1:7" x14ac:dyDescent="0.25">
      <c r="A13" s="10" t="str">
        <f>name!B12</f>
        <v>Wholesale and retail trade</v>
      </c>
      <c r="B13" s="11">
        <v>92.065999999999903</v>
      </c>
      <c r="C13" s="11">
        <v>88.56</v>
      </c>
      <c r="D13" s="11">
        <v>87.074000000000183</v>
      </c>
      <c r="E13" s="11">
        <v>87.879000000000161</v>
      </c>
      <c r="F13" s="11">
        <v>88.842999999999677</v>
      </c>
      <c r="G13" s="11"/>
    </row>
    <row r="14" spans="1:7" x14ac:dyDescent="0.25">
      <c r="A14" s="10" t="str">
        <f>name!B13</f>
        <v>Transport and storage</v>
      </c>
      <c r="B14" s="11">
        <v>33.456999999999994</v>
      </c>
      <c r="C14" s="11">
        <v>34.173000000000059</v>
      </c>
      <c r="D14" s="11">
        <v>32.947999999999944</v>
      </c>
      <c r="E14" s="11">
        <v>35.964000000000077</v>
      </c>
      <c r="F14" s="11">
        <v>37.761000000000067</v>
      </c>
      <c r="G14" s="11"/>
    </row>
    <row r="15" spans="1:7" x14ac:dyDescent="0.25">
      <c r="A15" s="10" t="str">
        <f>name!B14</f>
        <v>Accommodation and food</v>
      </c>
      <c r="B15" s="11">
        <v>21.905999999999963</v>
      </c>
      <c r="C15" s="11">
        <v>23.974999999999959</v>
      </c>
      <c r="D15" s="11">
        <v>24.702000000000027</v>
      </c>
      <c r="E15" s="11">
        <v>26.167000000000062</v>
      </c>
      <c r="F15" s="11">
        <v>29.351999999999972</v>
      </c>
      <c r="G15" s="11"/>
    </row>
    <row r="16" spans="1:7" x14ac:dyDescent="0.25">
      <c r="A16" s="10" t="str">
        <f>name!B15</f>
        <v>Media</v>
      </c>
      <c r="B16" s="11">
        <v>1.7079999999999989</v>
      </c>
      <c r="C16" s="11">
        <v>1.8249999999999982</v>
      </c>
      <c r="D16" s="11">
        <v>2.1099999999999994</v>
      </c>
      <c r="E16" s="11">
        <v>2.0780000000000038</v>
      </c>
      <c r="F16" s="11">
        <v>2.105999999999995</v>
      </c>
      <c r="G16" s="11"/>
    </row>
    <row r="17" spans="1:7" x14ac:dyDescent="0.25">
      <c r="A17" s="10" t="str">
        <f>name!B16</f>
        <v>Information technology</v>
      </c>
      <c r="B17" s="11">
        <v>6.5380000000000287</v>
      </c>
      <c r="C17" s="11">
        <v>6.394000000000017</v>
      </c>
      <c r="D17" s="11">
        <v>6.8729999999999887</v>
      </c>
      <c r="E17" s="11">
        <v>7.1499999999999702</v>
      </c>
      <c r="F17" s="11">
        <v>7.3899999999999935</v>
      </c>
      <c r="G17" s="11"/>
    </row>
    <row r="18" spans="1:7" x14ac:dyDescent="0.25">
      <c r="A18" s="10" t="str">
        <f>name!B17</f>
        <v>Finance and insurance</v>
      </c>
      <c r="B18" s="11">
        <v>10.219000000000021</v>
      </c>
      <c r="C18" s="11">
        <v>10.284000000000029</v>
      </c>
      <c r="D18" s="11">
        <v>10.441000000000011</v>
      </c>
      <c r="E18" s="11">
        <v>10.453999999999997</v>
      </c>
      <c r="F18" s="11">
        <v>10.054000000000002</v>
      </c>
      <c r="G18" s="11"/>
    </row>
    <row r="19" spans="1:7" x14ac:dyDescent="0.25">
      <c r="A19" s="10" t="str">
        <f>name!B18</f>
        <v>Real estate</v>
      </c>
      <c r="B19" s="11">
        <v>7.7230000000000008</v>
      </c>
      <c r="C19" s="11">
        <v>10.185000000000009</v>
      </c>
      <c r="D19" s="11">
        <v>10.240000000000016</v>
      </c>
      <c r="E19" s="11">
        <v>10.307999999999979</v>
      </c>
      <c r="F19" s="11">
        <v>11.238000000000005</v>
      </c>
      <c r="G19" s="11"/>
    </row>
    <row r="20" spans="1:7" x14ac:dyDescent="0.25">
      <c r="A20" s="10" t="str">
        <f>name!B19</f>
        <v>Professional services</v>
      </c>
      <c r="B20" s="11">
        <v>28.591999999999977</v>
      </c>
      <c r="C20" s="11">
        <v>24.793999999999993</v>
      </c>
      <c r="D20" s="11">
        <v>24.728999999999964</v>
      </c>
      <c r="E20" s="11">
        <v>25.556000000000012</v>
      </c>
      <c r="F20" s="11">
        <v>26.893000000000079</v>
      </c>
      <c r="G20" s="11"/>
    </row>
    <row r="21" spans="1:7" x14ac:dyDescent="0.25">
      <c r="A21" s="10" t="str">
        <f>name!B20</f>
        <v>Support services</v>
      </c>
      <c r="B21" s="11">
        <v>40.241000000000078</v>
      </c>
      <c r="C21" s="11">
        <v>34.294000000000032</v>
      </c>
      <c r="D21" s="11">
        <v>32.168000000000021</v>
      </c>
      <c r="E21" s="11">
        <v>33.855000000000089</v>
      </c>
      <c r="F21" s="11">
        <v>35.682999999999957</v>
      </c>
      <c r="G21" s="11"/>
    </row>
    <row r="22" spans="1:7" x14ac:dyDescent="0.25">
      <c r="A22" s="10" t="str">
        <f>name!B21</f>
        <v>Public admin. and defence</v>
      </c>
      <c r="B22" s="11">
        <v>16.002999999999975</v>
      </c>
      <c r="C22" s="11">
        <v>15.454000000000013</v>
      </c>
      <c r="D22" s="11">
        <v>15.280999999999985</v>
      </c>
      <c r="E22" s="11">
        <v>15.55399999999999</v>
      </c>
      <c r="F22" s="11">
        <v>16.224999999999966</v>
      </c>
      <c r="G22" s="11"/>
    </row>
    <row r="23" spans="1:7" x14ac:dyDescent="0.25">
      <c r="A23" s="10" t="str">
        <f>name!B22</f>
        <v>Education</v>
      </c>
      <c r="B23" s="11">
        <v>44.810000000000123</v>
      </c>
      <c r="C23" s="11">
        <v>44.405000000000058</v>
      </c>
      <c r="D23" s="11">
        <v>45.063000000000045</v>
      </c>
      <c r="E23" s="11">
        <v>46.277999999999977</v>
      </c>
      <c r="F23" s="11">
        <v>49.163999999999959</v>
      </c>
      <c r="G23" s="11"/>
    </row>
    <row r="24" spans="1:7" x14ac:dyDescent="0.25">
      <c r="A24" s="10" t="str">
        <f>name!B23</f>
        <v>Health and social work</v>
      </c>
      <c r="B24" s="11">
        <v>60.867000000000125</v>
      </c>
      <c r="C24" s="11">
        <v>72.829999999999927</v>
      </c>
      <c r="D24" s="11">
        <v>71.770000000000039</v>
      </c>
      <c r="E24" s="11">
        <v>76.515000000000086</v>
      </c>
      <c r="F24" s="11">
        <v>81.203000000000074</v>
      </c>
      <c r="G24" s="11"/>
    </row>
    <row r="25" spans="1:7" x14ac:dyDescent="0.25">
      <c r="A25" s="10" t="str">
        <f>name!B24</f>
        <v>Arts and entertainment</v>
      </c>
      <c r="B25" s="11">
        <v>11.902000000000012</v>
      </c>
      <c r="C25" s="11">
        <v>12.170000000000012</v>
      </c>
      <c r="D25" s="11">
        <v>11.910000000000011</v>
      </c>
      <c r="E25" s="11">
        <v>11.284999999999984</v>
      </c>
      <c r="F25" s="11">
        <v>11.952999999999991</v>
      </c>
      <c r="G25" s="11"/>
    </row>
    <row r="26" spans="1:7" x14ac:dyDescent="0.25">
      <c r="A26" s="10" t="str">
        <f>name!B25</f>
        <v>Other services</v>
      </c>
      <c r="B26" s="11">
        <v>16.423999999999999</v>
      </c>
      <c r="C26" s="11">
        <v>13.682000000000006</v>
      </c>
      <c r="D26" s="11">
        <v>12.947000000000006</v>
      </c>
      <c r="E26" s="11">
        <v>12.604000000000022</v>
      </c>
      <c r="F26" s="11">
        <v>12.594999999999967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505.56200000000001</v>
      </c>
      <c r="C28" s="11">
        <f t="shared" ref="C28:F28" si="0">SUM(C5:C26)</f>
        <v>509.93099999999998</v>
      </c>
      <c r="D28" s="11">
        <f t="shared" si="0"/>
        <v>496.19400000000024</v>
      </c>
      <c r="E28" s="11">
        <f t="shared" si="0"/>
        <v>508.12800000000038</v>
      </c>
      <c r="F28" s="11">
        <f t="shared" si="0"/>
        <v>521.94399999999951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18">
        <f>B5/B$28*100</f>
        <v>0.58647604052519753</v>
      </c>
      <c r="C32" s="18">
        <f t="shared" ref="C32:E32" si="1">C5/C$28*100</f>
        <v>0.44829594592209571</v>
      </c>
      <c r="D32" s="18">
        <f t="shared" si="1"/>
        <v>0.22471049629781895</v>
      </c>
      <c r="E32" s="18">
        <f t="shared" si="1"/>
        <v>0.23852257698847526</v>
      </c>
      <c r="F32" s="18">
        <f>F5/F$28*100</f>
        <v>0.23278359364222947</v>
      </c>
    </row>
    <row r="33" spans="1:6" x14ac:dyDescent="0.25">
      <c r="A33" t="str">
        <f>$A$6</f>
        <v>Mining and quarrying</v>
      </c>
      <c r="B33" s="18">
        <f t="shared" ref="B33:F53" si="2">B6/B$28*100</f>
        <v>3.2043547576756218E-2</v>
      </c>
      <c r="C33" s="18">
        <f t="shared" si="2"/>
        <v>2.8435219666974536E-2</v>
      </c>
      <c r="D33" s="18">
        <f t="shared" si="2"/>
        <v>3.1237781996557825E-2</v>
      </c>
      <c r="E33" s="18">
        <f t="shared" si="2"/>
        <v>2.1451287864475071E-2</v>
      </c>
      <c r="F33" s="18">
        <f t="shared" si="2"/>
        <v>1.2070260411078584E-2</v>
      </c>
    </row>
    <row r="34" spans="1:6" x14ac:dyDescent="0.25">
      <c r="A34" t="str">
        <f>$A$7</f>
        <v>Food drink and tobacco</v>
      </c>
      <c r="B34" s="18">
        <f t="shared" si="2"/>
        <v>1.3869713309148994</v>
      </c>
      <c r="C34" s="18">
        <f t="shared" si="2"/>
        <v>1.2436976767445</v>
      </c>
      <c r="D34" s="18">
        <f t="shared" si="2"/>
        <v>1.2690600853698351</v>
      </c>
      <c r="E34" s="18">
        <f t="shared" si="2"/>
        <v>1.2469299074248996</v>
      </c>
      <c r="F34" s="18">
        <f t="shared" si="2"/>
        <v>1.1857593918121458</v>
      </c>
    </row>
    <row r="35" spans="1:6" x14ac:dyDescent="0.25">
      <c r="A35" t="str">
        <f>$A$8</f>
        <v>Engineering</v>
      </c>
      <c r="B35" s="18">
        <f t="shared" si="2"/>
        <v>1.3766857477421184</v>
      </c>
      <c r="C35" s="18">
        <f t="shared" si="2"/>
        <v>1.6015892346219387</v>
      </c>
      <c r="D35" s="18">
        <f t="shared" si="2"/>
        <v>1.4943751838998411</v>
      </c>
      <c r="E35" s="18">
        <f t="shared" si="2"/>
        <v>1.5484287423641294</v>
      </c>
      <c r="F35" s="18">
        <f t="shared" si="2"/>
        <v>1.3585748662691794</v>
      </c>
    </row>
    <row r="36" spans="1:6" x14ac:dyDescent="0.25">
      <c r="A36" t="str">
        <f>$A$9</f>
        <v>Rest of manufacturing</v>
      </c>
      <c r="B36" s="18">
        <f t="shared" si="2"/>
        <v>10.817070903271976</v>
      </c>
      <c r="C36" s="18">
        <f t="shared" si="2"/>
        <v>10.741845465366868</v>
      </c>
      <c r="D36" s="18">
        <f t="shared" si="2"/>
        <v>10.110360060782686</v>
      </c>
      <c r="E36" s="18">
        <f t="shared" si="2"/>
        <v>9.5021333207380785</v>
      </c>
      <c r="F36" s="18">
        <f t="shared" si="2"/>
        <v>8.3553024845577326</v>
      </c>
    </row>
    <row r="37" spans="1:6" x14ac:dyDescent="0.25">
      <c r="A37" t="str">
        <f>$A$10</f>
        <v>Electricity and gas</v>
      </c>
      <c r="B37" s="18">
        <f t="shared" si="2"/>
        <v>1.033503309188587</v>
      </c>
      <c r="C37" s="18">
        <f t="shared" si="2"/>
        <v>0.33514338214385875</v>
      </c>
      <c r="D37" s="18">
        <f t="shared" si="2"/>
        <v>0.39722366654977642</v>
      </c>
      <c r="E37" s="18">
        <f t="shared" si="2"/>
        <v>0.36526229611436428</v>
      </c>
      <c r="F37" s="18">
        <f t="shared" si="2"/>
        <v>0.34831322900541167</v>
      </c>
    </row>
    <row r="38" spans="1:6" x14ac:dyDescent="0.25">
      <c r="A38" t="str">
        <f>$A$11</f>
        <v>Water and sewerage</v>
      </c>
      <c r="B38" s="18">
        <f t="shared" si="2"/>
        <v>0.85686819816362358</v>
      </c>
      <c r="C38" s="18">
        <f t="shared" si="2"/>
        <v>0.8640384679495855</v>
      </c>
      <c r="D38" s="18">
        <f t="shared" si="2"/>
        <v>0.76643409634134918</v>
      </c>
      <c r="E38" s="18">
        <f t="shared" si="2"/>
        <v>0.77008155425404545</v>
      </c>
      <c r="F38" s="18">
        <f t="shared" si="2"/>
        <v>0.77556212927057178</v>
      </c>
    </row>
    <row r="39" spans="1:6" x14ac:dyDescent="0.25">
      <c r="A39" t="str">
        <f>$A$12</f>
        <v>Construction</v>
      </c>
      <c r="B39" s="18">
        <f t="shared" si="2"/>
        <v>6.2827111214845983</v>
      </c>
      <c r="C39" s="18">
        <f t="shared" si="2"/>
        <v>7.6628014378415692</v>
      </c>
      <c r="D39" s="18">
        <f t="shared" si="2"/>
        <v>7.4597838748553773</v>
      </c>
      <c r="E39" s="18">
        <f t="shared" si="2"/>
        <v>7.2627369481705246</v>
      </c>
      <c r="F39" s="18">
        <f t="shared" si="2"/>
        <v>7.1750992443633725</v>
      </c>
    </row>
    <row r="40" spans="1:6" x14ac:dyDescent="0.25">
      <c r="A40" t="str">
        <f>$A$13</f>
        <v>Wholesale and retail trade</v>
      </c>
      <c r="B40" s="18">
        <f t="shared" si="2"/>
        <v>18.21062500741747</v>
      </c>
      <c r="C40" s="18">
        <f t="shared" si="2"/>
        <v>17.367055542808735</v>
      </c>
      <c r="D40" s="18">
        <f t="shared" si="2"/>
        <v>17.548378255279211</v>
      </c>
      <c r="E40" s="18">
        <f t="shared" si="2"/>
        <v>17.294658038919348</v>
      </c>
      <c r="F40" s="18">
        <f t="shared" si="2"/>
        <v>17.021557868277011</v>
      </c>
    </row>
    <row r="41" spans="1:6" x14ac:dyDescent="0.25">
      <c r="A41" t="str">
        <f>$A$14</f>
        <v>Transport and storage</v>
      </c>
      <c r="B41" s="18">
        <f t="shared" si="2"/>
        <v>6.617783773305745</v>
      </c>
      <c r="C41" s="18">
        <f t="shared" si="2"/>
        <v>6.7014949081346415</v>
      </c>
      <c r="D41" s="18">
        <f t="shared" si="2"/>
        <v>6.6401447820811876</v>
      </c>
      <c r="E41" s="18">
        <f t="shared" si="2"/>
        <v>7.077744190440213</v>
      </c>
      <c r="F41" s="18">
        <f t="shared" si="2"/>
        <v>7.2346841806784061</v>
      </c>
    </row>
    <row r="42" spans="1:6" x14ac:dyDescent="0.25">
      <c r="A42" t="str">
        <f>$A$15</f>
        <v>Accommodation and food</v>
      </c>
      <c r="B42" s="18">
        <f t="shared" si="2"/>
        <v>4.332999711212465</v>
      </c>
      <c r="C42" s="18">
        <f t="shared" si="2"/>
        <v>4.7016164932118185</v>
      </c>
      <c r="D42" s="18">
        <f t="shared" si="2"/>
        <v>4.9782947798643296</v>
      </c>
      <c r="E42" s="18">
        <f t="shared" si="2"/>
        <v>5.1496866931167036</v>
      </c>
      <c r="F42" s="18">
        <f t="shared" si="2"/>
        <v>5.6235918029520411</v>
      </c>
    </row>
    <row r="43" spans="1:6" x14ac:dyDescent="0.25">
      <c r="A43" t="str">
        <f>$A$16</f>
        <v>Media</v>
      </c>
      <c r="B43" s="18">
        <f t="shared" si="2"/>
        <v>0.33784184729073757</v>
      </c>
      <c r="C43" s="18">
        <f t="shared" si="2"/>
        <v>0.35789155787743798</v>
      </c>
      <c r="D43" s="18">
        <f t="shared" si="2"/>
        <v>0.42523690330797997</v>
      </c>
      <c r="E43" s="18">
        <f t="shared" si="2"/>
        <v>0.40895207506769993</v>
      </c>
      <c r="F43" s="18">
        <f t="shared" si="2"/>
        <v>0.40349156231319777</v>
      </c>
    </row>
    <row r="44" spans="1:6" x14ac:dyDescent="0.25">
      <c r="A44" t="str">
        <f>$A$17</f>
        <v>Information technology</v>
      </c>
      <c r="B44" s="18">
        <f t="shared" si="2"/>
        <v>1.2932142843014365</v>
      </c>
      <c r="C44" s="18">
        <f t="shared" si="2"/>
        <v>1.2538951348319707</v>
      </c>
      <c r="D44" s="18">
        <f t="shared" si="2"/>
        <v>1.3851437139505889</v>
      </c>
      <c r="E44" s="18">
        <f t="shared" si="2"/>
        <v>1.4071257635871206</v>
      </c>
      <c r="F44" s="18">
        <f t="shared" si="2"/>
        <v>1.4158607053630277</v>
      </c>
    </row>
    <row r="45" spans="1:6" x14ac:dyDescent="0.25">
      <c r="A45" t="str">
        <f>$A$18</f>
        <v>Finance and insurance</v>
      </c>
      <c r="B45" s="18">
        <f t="shared" si="2"/>
        <v>2.0213148931288392</v>
      </c>
      <c r="C45" s="18">
        <f t="shared" si="2"/>
        <v>2.0167434417597732</v>
      </c>
      <c r="D45" s="18">
        <f t="shared" si="2"/>
        <v>2.1042173021036139</v>
      </c>
      <c r="E45" s="18">
        <f t="shared" si="2"/>
        <v>2.0573556269286457</v>
      </c>
      <c r="F45" s="18">
        <f t="shared" si="2"/>
        <v>1.926260288460067</v>
      </c>
    </row>
    <row r="46" spans="1:6" x14ac:dyDescent="0.25">
      <c r="A46" t="str">
        <f>$A$19</f>
        <v>Real estate</v>
      </c>
      <c r="B46" s="18">
        <f t="shared" si="2"/>
        <v>1.5276069008351105</v>
      </c>
      <c r="C46" s="18">
        <f t="shared" si="2"/>
        <v>1.9973290504009384</v>
      </c>
      <c r="D46" s="18">
        <f t="shared" si="2"/>
        <v>2.0637089525467887</v>
      </c>
      <c r="E46" s="18">
        <f t="shared" si="2"/>
        <v>2.0286227092386113</v>
      </c>
      <c r="F46" s="18">
        <f t="shared" si="2"/>
        <v>2.1531045476143063</v>
      </c>
    </row>
    <row r="47" spans="1:6" x14ac:dyDescent="0.25">
      <c r="A47" s="10" t="str">
        <f>$A$20</f>
        <v>Professional services</v>
      </c>
      <c r="B47" s="18">
        <f t="shared" si="2"/>
        <v>5.6554883476210582</v>
      </c>
      <c r="C47" s="18">
        <f t="shared" si="2"/>
        <v>4.8622264580894266</v>
      </c>
      <c r="D47" s="18">
        <f t="shared" si="2"/>
        <v>4.9837361999540404</v>
      </c>
      <c r="E47" s="18">
        <f t="shared" si="2"/>
        <v>5.029441400591975</v>
      </c>
      <c r="F47" s="18">
        <f t="shared" si="2"/>
        <v>5.1524684640498029</v>
      </c>
    </row>
    <row r="48" spans="1:6" x14ac:dyDescent="0.25">
      <c r="A48" s="10" t="str">
        <f>$A$21</f>
        <v>Support services</v>
      </c>
      <c r="B48" s="18">
        <f t="shared" si="2"/>
        <v>7.959656778001527</v>
      </c>
      <c r="C48" s="18">
        <f t="shared" si="2"/>
        <v>6.7252236086843196</v>
      </c>
      <c r="D48" s="18">
        <f t="shared" si="2"/>
        <v>6.4829482017114293</v>
      </c>
      <c r="E48" s="18">
        <f t="shared" si="2"/>
        <v>6.6626912903835382</v>
      </c>
      <c r="F48" s="18">
        <f t="shared" si="2"/>
        <v>6.8365571785478894</v>
      </c>
    </row>
    <row r="49" spans="1:9" x14ac:dyDescent="0.25">
      <c r="A49" s="10" t="str">
        <f>$A$22</f>
        <v>Public admin. and defence</v>
      </c>
      <c r="B49" s="18">
        <f t="shared" si="2"/>
        <v>3.1653882214248648</v>
      </c>
      <c r="C49" s="18">
        <f t="shared" si="2"/>
        <v>3.0306061016098287</v>
      </c>
      <c r="D49" s="18">
        <f t="shared" si="2"/>
        <v>3.0796422367058001</v>
      </c>
      <c r="E49" s="18">
        <f t="shared" si="2"/>
        <v>3.0610397380187626</v>
      </c>
      <c r="F49" s="18">
        <f t="shared" si="2"/>
        <v>3.1085710344404731</v>
      </c>
    </row>
    <row r="50" spans="1:9" x14ac:dyDescent="0.25">
      <c r="A50" s="10" t="str">
        <f>$A$23</f>
        <v>Education</v>
      </c>
      <c r="B50" s="18">
        <f t="shared" si="2"/>
        <v>8.8634034994718984</v>
      </c>
      <c r="C50" s="18">
        <f t="shared" si="2"/>
        <v>8.7080408918069416</v>
      </c>
      <c r="D50" s="18">
        <f t="shared" si="2"/>
        <v>9.081730129747644</v>
      </c>
      <c r="E50" s="18">
        <f t="shared" si="2"/>
        <v>9.1075477045153868</v>
      </c>
      <c r="F50" s="18">
        <f t="shared" si="2"/>
        <v>9.4194013150836113</v>
      </c>
    </row>
    <row r="51" spans="1:9" x14ac:dyDescent="0.25">
      <c r="A51" s="10" t="str">
        <f>$A$24</f>
        <v>Health and social work</v>
      </c>
      <c r="B51" s="18">
        <f t="shared" si="2"/>
        <v>12.039472903422354</v>
      </c>
      <c r="C51" s="18">
        <f t="shared" si="2"/>
        <v>14.28232447135003</v>
      </c>
      <c r="D51" s="18">
        <f t="shared" si="2"/>
        <v>14.464100734793247</v>
      </c>
      <c r="E51" s="18">
        <f t="shared" si="2"/>
        <v>15.058213678443233</v>
      </c>
      <c r="F51" s="18">
        <f t="shared" si="2"/>
        <v>15.557799304139936</v>
      </c>
    </row>
    <row r="52" spans="1:9" x14ac:dyDescent="0.25">
      <c r="A52" s="10" t="str">
        <f>$A$25</f>
        <v>Arts and entertainment</v>
      </c>
      <c r="B52" s="18">
        <f t="shared" si="2"/>
        <v>2.3542117485095817</v>
      </c>
      <c r="C52" s="18">
        <f t="shared" si="2"/>
        <v>2.3865974023936598</v>
      </c>
      <c r="D52" s="18">
        <f t="shared" si="2"/>
        <v>2.4002708618000228</v>
      </c>
      <c r="E52" s="18">
        <f t="shared" si="2"/>
        <v>2.2208970967945039</v>
      </c>
      <c r="F52" s="18">
        <f t="shared" si="2"/>
        <v>2.2900924237082907</v>
      </c>
    </row>
    <row r="53" spans="1:9" x14ac:dyDescent="0.25">
      <c r="A53" s="10" t="str">
        <f>$A$26</f>
        <v>Other services</v>
      </c>
      <c r="B53" s="18">
        <f t="shared" si="2"/>
        <v>3.248661885189156</v>
      </c>
      <c r="C53" s="18">
        <f t="shared" si="2"/>
        <v>2.683108106783076</v>
      </c>
      <c r="D53" s="18">
        <f t="shared" si="2"/>
        <v>2.6092617000608631</v>
      </c>
      <c r="E53" s="18">
        <f t="shared" si="2"/>
        <v>2.4804773600352692</v>
      </c>
      <c r="F53" s="18">
        <f t="shared" si="2"/>
        <v>2.4130941250402302</v>
      </c>
    </row>
    <row r="54" spans="1:9" x14ac:dyDescent="0.25">
      <c r="B54" s="18"/>
      <c r="C54" s="18"/>
      <c r="D54" s="18"/>
      <c r="E54" s="18"/>
      <c r="F54" s="18"/>
    </row>
    <row r="55" spans="1:9" x14ac:dyDescent="0.25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5">
      <c r="B56" s="18"/>
      <c r="C56" s="18"/>
      <c r="D56" s="18"/>
      <c r="E56" s="18"/>
      <c r="F56" s="18"/>
    </row>
    <row r="57" spans="1:9" x14ac:dyDescent="0.25">
      <c r="B57" s="18"/>
      <c r="C57" s="18"/>
      <c r="D57" s="18"/>
      <c r="E57" s="18"/>
      <c r="F57" s="18"/>
    </row>
    <row r="58" spans="1:9" x14ac:dyDescent="0.25">
      <c r="B58" s="18"/>
      <c r="C58" s="18"/>
      <c r="D58" s="18"/>
      <c r="E58" s="18"/>
      <c r="F58" s="18"/>
    </row>
    <row r="59" spans="1:9" ht="15.5" x14ac:dyDescent="0.35">
      <c r="A59" s="19" t="str">
        <f>CONCATENATE(A1," (Continued)")</f>
        <v>Industry Table 2  Employment by Industry Group (SIC 2007), 2015-2035, Black Country (Continued)</v>
      </c>
      <c r="B59" s="18"/>
      <c r="C59" s="18"/>
      <c r="D59" s="18"/>
      <c r="E59" s="18"/>
      <c r="F59" s="18"/>
    </row>
    <row r="61" spans="1:9" ht="13" x14ac:dyDescent="0.3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ht="13" x14ac:dyDescent="0.3">
      <c r="A62" s="28" t="s">
        <v>15</v>
      </c>
    </row>
    <row r="63" spans="1:9" x14ac:dyDescent="0.25">
      <c r="A63" t="str">
        <f>$A$5</f>
        <v>Agriculture</v>
      </c>
      <c r="B63" s="18">
        <f>IF(AND(C$3-B$3 &lt;&gt; 0,B5&lt;&gt;0,C5&lt;&gt;0),(EXP(LN(C5/B5)/(C$3-B$3))-1)*100,0)</f>
        <v>-6.2949747366430886</v>
      </c>
      <c r="C63" s="18">
        <f>IF(AND(D$3-C$3 &lt;&gt; 0,C5&lt;&gt;0,D5&lt;&gt;0),(EXP(LN(D5/C5)/(D$3-C$3))-1)*100,0)</f>
        <v>-51.224846894138253</v>
      </c>
      <c r="D63" s="18">
        <f t="shared" ref="B63:E78" si="3">IF(AND(E$3-D$3 &lt;&gt; 0,D5&lt;&gt;0,E5&lt;&gt;0),(EXP(LN(E5/D5)/(E$3-D$3))-1)*100,0)</f>
        <v>1.6823443259135207</v>
      </c>
      <c r="E63" s="18">
        <f t="shared" si="3"/>
        <v>2.4724947565291089E-2</v>
      </c>
      <c r="F63" s="18">
        <f>IF(AND(F$3-D$3 &lt;&gt; 0,D5&lt;&gt;0,F5&lt;&gt;0),(EXP(LN(F5/D5)/(F$3-D$3))-1)*100,0)</f>
        <v>0.5742402872390695</v>
      </c>
      <c r="G63" s="18"/>
      <c r="H63" s="18"/>
      <c r="I63" s="18"/>
    </row>
    <row r="64" spans="1:9" x14ac:dyDescent="0.25">
      <c r="A64" t="str">
        <f>$A$6</f>
        <v>Mining and quarrying</v>
      </c>
      <c r="B64" s="18">
        <f t="shared" si="3"/>
        <v>-2.7335093503809249</v>
      </c>
      <c r="C64" s="18">
        <f t="shared" ref="C64:C78" si="4">IF(AND(D$3-C$3 &lt;&gt; 0,C6&lt;&gt;0,D6&lt;&gt;0),(EXP(LN(D6/C6)/(D$3-C$3))-1)*100,0)</f>
        <v>6.8965517241381447</v>
      </c>
      <c r="D64" s="18">
        <f t="shared" si="3"/>
        <v>-6.7993459798907363</v>
      </c>
      <c r="E64" s="18">
        <f t="shared" si="3"/>
        <v>-5.3345714789729382</v>
      </c>
      <c r="F64" s="18">
        <f t="shared" ref="F64:F84" si="5">IF(AND(F$3-D$3 &lt;&gt; 0,D6&lt;&gt;0,F6&lt;&gt;0),(EXP(LN(F6/D6)/(F$3-D$3))-1)*100,0)</f>
        <v>-5.8253698205932185</v>
      </c>
    </row>
    <row r="65" spans="1:6" x14ac:dyDescent="0.25">
      <c r="A65" t="str">
        <f>$A$7</f>
        <v>Food drink and tobacco</v>
      </c>
      <c r="B65" s="18">
        <f t="shared" si="3"/>
        <v>-2.479463338223431</v>
      </c>
      <c r="C65" s="18">
        <f t="shared" si="4"/>
        <v>-0.70955534531682574</v>
      </c>
      <c r="D65" s="18">
        <f t="shared" si="3"/>
        <v>0.12356277608251975</v>
      </c>
      <c r="E65" s="18">
        <f t="shared" si="3"/>
        <v>-0.23446601557616242</v>
      </c>
      <c r="F65" s="18">
        <f t="shared" si="5"/>
        <v>-0.11526556315363257</v>
      </c>
    </row>
    <row r="66" spans="1:6" x14ac:dyDescent="0.25">
      <c r="A66" t="str">
        <f>$A$8</f>
        <v>Engineering</v>
      </c>
      <c r="B66" s="18">
        <f t="shared" si="3"/>
        <v>4.0790522821526842</v>
      </c>
      <c r="C66" s="18">
        <f t="shared" si="4"/>
        <v>-9.20778743724766</v>
      </c>
      <c r="D66" s="18">
        <f t="shared" si="3"/>
        <v>1.1930391085658298</v>
      </c>
      <c r="E66" s="18">
        <f t="shared" si="3"/>
        <v>-1.0343882860529341</v>
      </c>
      <c r="F66" s="18">
        <f t="shared" si="5"/>
        <v>-0.29741418690557575</v>
      </c>
    </row>
    <row r="67" spans="1:6" x14ac:dyDescent="0.25">
      <c r="A67" t="str">
        <f>$A$9</f>
        <v>Rest of manufacturing</v>
      </c>
      <c r="B67" s="18">
        <f t="shared" si="3"/>
        <v>4.0661279454745625E-2</v>
      </c>
      <c r="C67" s="18">
        <f t="shared" si="4"/>
        <v>-8.4142690229295098</v>
      </c>
      <c r="D67" s="18">
        <f t="shared" si="3"/>
        <v>-0.76263523090425167</v>
      </c>
      <c r="E67" s="18">
        <f t="shared" si="3"/>
        <v>-1.0127671219584244</v>
      </c>
      <c r="F67" s="18">
        <f t="shared" si="5"/>
        <v>-0.92945995550866023</v>
      </c>
    </row>
    <row r="68" spans="1:6" x14ac:dyDescent="0.25">
      <c r="A68" t="str">
        <f>$A$10</f>
        <v>Electricity and gas</v>
      </c>
      <c r="B68" s="18">
        <f t="shared" si="3"/>
        <v>-24.375251739496395</v>
      </c>
      <c r="C68" s="18">
        <f t="shared" si="4"/>
        <v>15.330602691632444</v>
      </c>
      <c r="D68" s="18">
        <f t="shared" si="3"/>
        <v>-1.1951485565641518</v>
      </c>
      <c r="E68" s="18">
        <f t="shared" si="3"/>
        <v>-0.20665256504541762</v>
      </c>
      <c r="F68" s="18">
        <f t="shared" si="5"/>
        <v>-0.53724519762726741</v>
      </c>
    </row>
    <row r="69" spans="1:6" x14ac:dyDescent="0.25">
      <c r="A69" t="str">
        <f>$A$11</f>
        <v>Water and sewerage</v>
      </c>
      <c r="B69" s="18">
        <f t="shared" si="3"/>
        <v>0.42434578880083951</v>
      </c>
      <c r="C69" s="18">
        <f t="shared" si="4"/>
        <v>-13.685882886972411</v>
      </c>
      <c r="D69" s="18">
        <f t="shared" si="3"/>
        <v>0.57191149061974755</v>
      </c>
      <c r="E69" s="18">
        <f t="shared" si="3"/>
        <v>0.3397617738247094</v>
      </c>
      <c r="F69" s="18">
        <f t="shared" si="5"/>
        <v>0.41708541045613057</v>
      </c>
    </row>
    <row r="70" spans="1:6" x14ac:dyDescent="0.25">
      <c r="A70" t="str">
        <f>$A$12</f>
        <v>Construction</v>
      </c>
      <c r="B70" s="18">
        <f t="shared" si="3"/>
        <v>5.3160029551780674</v>
      </c>
      <c r="C70" s="18">
        <f t="shared" si="4"/>
        <v>-5.2719129878438746</v>
      </c>
      <c r="D70" s="18">
        <f t="shared" si="3"/>
        <v>-6.0047756904824112E-2</v>
      </c>
      <c r="E70" s="18">
        <f t="shared" si="3"/>
        <v>0.14697554040974392</v>
      </c>
      <c r="F70" s="18">
        <f t="shared" si="5"/>
        <v>7.7920169124223726E-2</v>
      </c>
    </row>
    <row r="71" spans="1:6" x14ac:dyDescent="0.25">
      <c r="A71" t="str">
        <f>$A$13</f>
        <v>Wholesale and retail trade</v>
      </c>
      <c r="B71" s="18">
        <f t="shared" si="3"/>
        <v>-0.96594010595912883</v>
      </c>
      <c r="C71" s="18">
        <f t="shared" si="4"/>
        <v>-1.6779584462509267</v>
      </c>
      <c r="D71" s="18">
        <f t="shared" si="3"/>
        <v>0.1842202066080656</v>
      </c>
      <c r="E71" s="18">
        <f t="shared" si="3"/>
        <v>0.10915852189887776</v>
      </c>
      <c r="F71" s="18">
        <f t="shared" si="5"/>
        <v>0.13417283261338842</v>
      </c>
    </row>
    <row r="72" spans="1:6" x14ac:dyDescent="0.25">
      <c r="A72" t="str">
        <f>$A$14</f>
        <v>Transport and storage</v>
      </c>
      <c r="B72" s="18">
        <f t="shared" ref="B72:B78" si="6">IF(AND(C$3-B$3 &lt;&gt; 0,B14&lt;&gt;0,C14&lt;&gt;0),(EXP(LN(C14/B14)/(C$3-B$3))-1)*100,0)</f>
        <v>0.53077430073900089</v>
      </c>
      <c r="C72" s="18">
        <f t="shared" si="4"/>
        <v>-3.5847013724288557</v>
      </c>
      <c r="D72" s="18">
        <f t="shared" si="3"/>
        <v>1.7671907993296987</v>
      </c>
      <c r="E72" s="18">
        <f t="shared" si="3"/>
        <v>0.48877448295605586</v>
      </c>
      <c r="F72" s="18">
        <f t="shared" si="5"/>
        <v>0.91311881014868312</v>
      </c>
    </row>
    <row r="73" spans="1:6" x14ac:dyDescent="0.25">
      <c r="A73" t="str">
        <f>$A$15</f>
        <v>Accommodation and food</v>
      </c>
      <c r="B73" s="18">
        <f t="shared" si="6"/>
        <v>2.2819226552231564</v>
      </c>
      <c r="C73" s="18">
        <f>IF(AND(D$3-C$3 &lt;&gt; 0,C15&lt;&gt;0,D15&lt;&gt;0),(EXP(LN(D15/C15)/(D$3-C$3))-1)*100,0)</f>
        <v>3.03232533889497</v>
      </c>
      <c r="D73" s="18">
        <f t="shared" si="3"/>
        <v>1.1589617761399662</v>
      </c>
      <c r="E73" s="18">
        <f t="shared" si="3"/>
        <v>1.1552380457874545</v>
      </c>
      <c r="F73" s="18">
        <f t="shared" si="5"/>
        <v>1.1564792740077046</v>
      </c>
    </row>
    <row r="74" spans="1:6" x14ac:dyDescent="0.25">
      <c r="A74" t="str">
        <f>$A$16</f>
        <v>Media</v>
      </c>
      <c r="B74" s="18">
        <f t="shared" si="6"/>
        <v>1.6702170268478422</v>
      </c>
      <c r="C74" s="18">
        <f>IF(AND(D$3-C$3 &lt;&gt; 0,C16&lt;&gt;0,D16&lt;&gt;0),(EXP(LN(D16/C16)/(D$3-C$3))-1)*100,0)</f>
        <v>15.616438356164464</v>
      </c>
      <c r="D74" s="18">
        <f t="shared" si="3"/>
        <v>-0.30517448932212421</v>
      </c>
      <c r="E74" s="18">
        <f t="shared" si="3"/>
        <v>0.1339348230253945</v>
      </c>
      <c r="F74" s="18">
        <f t="shared" si="5"/>
        <v>-1.2649425067379205E-2</v>
      </c>
    </row>
    <row r="75" spans="1:6" x14ac:dyDescent="0.25">
      <c r="A75" t="str">
        <f>$A$17</f>
        <v>Information technology</v>
      </c>
      <c r="B75" s="18">
        <f t="shared" si="6"/>
        <v>-0.55523428649665307</v>
      </c>
      <c r="C75" s="18">
        <f t="shared" si="4"/>
        <v>7.4913981857987144</v>
      </c>
      <c r="D75" s="18">
        <f t="shared" si="3"/>
        <v>0.79336387547530585</v>
      </c>
      <c r="E75" s="18">
        <f t="shared" si="3"/>
        <v>0.33069939042573715</v>
      </c>
      <c r="F75" s="18">
        <f t="shared" si="5"/>
        <v>0.48468443215556878</v>
      </c>
    </row>
    <row r="76" spans="1:6" x14ac:dyDescent="0.25">
      <c r="A76" t="str">
        <f>$A$18</f>
        <v>Finance and insurance</v>
      </c>
      <c r="B76" s="18">
        <f t="shared" si="6"/>
        <v>0.15863961906084079</v>
      </c>
      <c r="C76" s="18">
        <f t="shared" si="4"/>
        <v>1.526643329443611</v>
      </c>
      <c r="D76" s="18">
        <f t="shared" si="3"/>
        <v>2.4889436561514877E-2</v>
      </c>
      <c r="E76" s="18">
        <f t="shared" si="3"/>
        <v>-0.38938108837730523</v>
      </c>
      <c r="F76" s="18">
        <f t="shared" si="5"/>
        <v>-0.25148190668479176</v>
      </c>
    </row>
    <row r="77" spans="1:6" x14ac:dyDescent="0.25">
      <c r="A77" t="str">
        <f>$A$19</f>
        <v>Real estate</v>
      </c>
      <c r="B77" s="18">
        <f t="shared" si="6"/>
        <v>7.1627252564684163</v>
      </c>
      <c r="C77" s="18">
        <f t="shared" si="4"/>
        <v>0.54000981836039852</v>
      </c>
      <c r="D77" s="18">
        <f t="shared" si="3"/>
        <v>0.13246111591624921</v>
      </c>
      <c r="E77" s="18">
        <f t="shared" si="3"/>
        <v>0.86754756855971227</v>
      </c>
      <c r="F77" s="18">
        <f t="shared" si="5"/>
        <v>0.62192110201610973</v>
      </c>
    </row>
    <row r="78" spans="1:6" x14ac:dyDescent="0.25">
      <c r="A78" t="str">
        <f>$A$20</f>
        <v>Professional services</v>
      </c>
      <c r="B78" s="18">
        <f t="shared" si="6"/>
        <v>-3.5003994953859308</v>
      </c>
      <c r="C78" s="18">
        <f t="shared" si="4"/>
        <v>-0.26216020004852236</v>
      </c>
      <c r="D78" s="18">
        <f t="shared" si="3"/>
        <v>0.66007855389249581</v>
      </c>
      <c r="E78" s="18">
        <f t="shared" si="3"/>
        <v>0.51124147170613643</v>
      </c>
      <c r="F78" s="18">
        <f t="shared" si="5"/>
        <v>0.56082936389392213</v>
      </c>
    </row>
    <row r="79" spans="1:6" x14ac:dyDescent="0.25">
      <c r="A79" s="10" t="str">
        <f>$A$21</f>
        <v>Support services</v>
      </c>
      <c r="B79" s="18">
        <f t="shared" ref="B79:B84" si="7">IF(AND(C$3-B$3 &lt;&gt; 0,B21&lt;&gt;0,C21&lt;&gt;0),(EXP(LN(C21/B21)/(C$3-B$3))-1)*100,0)</f>
        <v>-3.9190375559401081</v>
      </c>
      <c r="C79" s="18">
        <f t="shared" ref="C79:C84" si="8">IF(AND(D$3-C$3 &lt;&gt; 0,C21&lt;&gt;0,D21&lt;&gt;0),(EXP(LN(D21/C21)/(D$3-C$3))-1)*100,0)</f>
        <v>-6.1993351606695395</v>
      </c>
      <c r="D79" s="18">
        <f t="shared" ref="D79:D84" si="9">IF(AND(E$3-D$3 &lt;&gt; 0,D21&lt;&gt;0,E21&lt;&gt;0),(EXP(LN(E21/D21)/(E$3-D$3))-1)*100,0)</f>
        <v>1.0275338288977531</v>
      </c>
      <c r="E79" s="18">
        <f t="shared" ref="E79:E84" si="10">IF(AND(F$3-E$3 &lt;&gt; 0,E21&lt;&gt;0,F21&lt;&gt;0),(EXP(LN(F21/E21)/(F$3-E$3))-1)*100,0)</f>
        <v>0.52726201894126579</v>
      </c>
      <c r="F79" s="18">
        <f t="shared" si="5"/>
        <v>0.69374342982506665</v>
      </c>
    </row>
    <row r="80" spans="1:6" x14ac:dyDescent="0.25">
      <c r="A80" s="10" t="str">
        <f>$A$22</f>
        <v>Public admin. and defence</v>
      </c>
      <c r="B80" s="18">
        <f t="shared" si="7"/>
        <v>-0.86891133297999357</v>
      </c>
      <c r="C80" s="18">
        <f t="shared" si="8"/>
        <v>-1.1194512747510599</v>
      </c>
      <c r="D80" s="18">
        <f t="shared" si="9"/>
        <v>0.35478013312981727</v>
      </c>
      <c r="E80" s="18">
        <f t="shared" si="10"/>
        <v>0.423247395630999</v>
      </c>
      <c r="F80" s="18">
        <f t="shared" si="5"/>
        <v>0.40041978615537044</v>
      </c>
    </row>
    <row r="81" spans="1:6" x14ac:dyDescent="0.25">
      <c r="A81" s="10" t="str">
        <f>$A$23</f>
        <v>Education</v>
      </c>
      <c r="B81" s="18">
        <f t="shared" si="7"/>
        <v>-0.22672391936791048</v>
      </c>
      <c r="C81" s="18">
        <f t="shared" si="8"/>
        <v>1.4818151109109001</v>
      </c>
      <c r="D81" s="18">
        <f t="shared" si="9"/>
        <v>0.53352169493241508</v>
      </c>
      <c r="E81" s="18">
        <f t="shared" si="10"/>
        <v>0.60678313736965972</v>
      </c>
      <c r="F81" s="18">
        <f t="shared" si="5"/>
        <v>0.58235672652706683</v>
      </c>
    </row>
    <row r="82" spans="1:6" x14ac:dyDescent="0.25">
      <c r="A82" s="10" t="str">
        <f>$A$24</f>
        <v>Health and social work</v>
      </c>
      <c r="B82" s="18">
        <f t="shared" si="7"/>
        <v>4.5880590155708223</v>
      </c>
      <c r="C82" s="18">
        <f t="shared" si="8"/>
        <v>-1.4554441850884059</v>
      </c>
      <c r="D82" s="18">
        <f t="shared" si="9"/>
        <v>1.2886370519012535</v>
      </c>
      <c r="E82" s="18">
        <f t="shared" si="10"/>
        <v>0.59642549882938933</v>
      </c>
      <c r="F82" s="18">
        <f t="shared" si="5"/>
        <v>0.82663545718058007</v>
      </c>
    </row>
    <row r="83" spans="1:6" x14ac:dyDescent="0.25">
      <c r="A83" s="10" t="str">
        <f>$A$25</f>
        <v>Arts and entertainment</v>
      </c>
      <c r="B83" s="18">
        <f>IF(AND(C$3-B$3 &lt;&gt; 0,B25&lt;&gt;0,C25&lt;&gt;0),(EXP(LN(C25/B25)/(C$3-B$3))-1)*100,0)</f>
        <v>0.55823872213778269</v>
      </c>
      <c r="C83" s="18">
        <f t="shared" si="8"/>
        <v>-2.1364009860312394</v>
      </c>
      <c r="D83" s="18">
        <f t="shared" si="9"/>
        <v>-1.0722890125523299</v>
      </c>
      <c r="E83" s="18">
        <f t="shared" si="10"/>
        <v>0.57673557890083327</v>
      </c>
      <c r="F83" s="18">
        <f t="shared" si="5"/>
        <v>2.4028950014032269E-2</v>
      </c>
    </row>
    <row r="84" spans="1:6" x14ac:dyDescent="0.25">
      <c r="A84" s="10" t="str">
        <f>$A$26</f>
        <v>Other services</v>
      </c>
      <c r="B84" s="18">
        <f t="shared" si="7"/>
        <v>-4.4638661215836484</v>
      </c>
      <c r="C84" s="18">
        <f t="shared" si="8"/>
        <v>-5.3720216342639908</v>
      </c>
      <c r="D84" s="18">
        <f t="shared" si="9"/>
        <v>-0.53555828922634552</v>
      </c>
      <c r="E84" s="18">
        <f t="shared" si="10"/>
        <v>-7.1428857883581998E-3</v>
      </c>
      <c r="F84" s="18">
        <f t="shared" si="5"/>
        <v>-0.18359253748903015</v>
      </c>
    </row>
    <row r="85" spans="1:6" x14ac:dyDescent="0.25">
      <c r="B85" s="18"/>
      <c r="C85" s="18"/>
      <c r="D85" s="18"/>
      <c r="E85" s="18"/>
      <c r="F85" s="18"/>
    </row>
    <row r="86" spans="1:6" x14ac:dyDescent="0.25">
      <c r="A86" t="str">
        <f>$A$28</f>
        <v>All industries</v>
      </c>
      <c r="B86" s="18">
        <f>IF(AND(C$3-B$3 &lt;&gt; 0,B28&lt;&gt;0,C28&lt;&gt;0),(EXP(LN(C28/B28)/(C$3-B$3))-1)*100,0)</f>
        <v>0.21535006256829803</v>
      </c>
      <c r="C86" s="18">
        <f>IF(AND(D$3-C$3 &lt;&gt; 0,C28&lt;&gt;0,D28&lt;&gt;0),(EXP(LN(D28/C28)/(D$3-C$3))-1)*100,0)</f>
        <v>-2.6938938797601564</v>
      </c>
      <c r="D86" s="18">
        <f>IF(AND(E$3-D$3 &lt;&gt; 0,D28&lt;&gt;0,E28&lt;&gt;0),(EXP(LN(E28/D28)/(E$3-D$3))-1)*100,0)</f>
        <v>0.47645957720001686</v>
      </c>
      <c r="E86" s="18">
        <f>IF(AND(F$3-E$3 &lt;&gt; 0,E28&lt;&gt;0,F28&lt;&gt;0),(EXP(LN(F28/E28)/(F$3-E$3))-1)*100,0)</f>
        <v>0.26862934467042354</v>
      </c>
      <c r="F86" s="18">
        <f>IF(AND(F$3-D$3 &lt;&gt; 0,D28&lt;&gt;0,F28&lt;&gt;0),(EXP(LN(F28/D28)/(F$3-D$3))-1)*100,0)</f>
        <v>0.33785827979149197</v>
      </c>
    </row>
    <row r="89" spans="1:6" ht="13" x14ac:dyDescent="0.3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5">
      <c r="A90" t="str">
        <f>$A$5</f>
        <v>Agriculture</v>
      </c>
      <c r="B90" s="27">
        <f t="shared" ref="B90:E105" si="11">C5-B5</f>
        <v>-0.67899999999999761</v>
      </c>
      <c r="C90" s="27">
        <f>D5-C5</f>
        <v>-1.1710000000000014</v>
      </c>
      <c r="D90" s="27">
        <f t="shared" si="11"/>
        <v>9.6999999999999975E-2</v>
      </c>
      <c r="E90" s="27">
        <f t="shared" si="11"/>
        <v>2.999999999996561E-3</v>
      </c>
      <c r="F90" s="27">
        <f>F5-D5</f>
        <v>9.9999999999996536E-2</v>
      </c>
    </row>
    <row r="91" spans="1:6" x14ac:dyDescent="0.25">
      <c r="A91" t="str">
        <f>$A$6</f>
        <v>Mining and quarrying</v>
      </c>
      <c r="B91" s="27">
        <f t="shared" si="11"/>
        <v>-1.7000000000000348E-2</v>
      </c>
      <c r="C91" s="27">
        <f t="shared" ref="C91:C105" si="12">D6-C6</f>
        <v>1.0000000000000314E-2</v>
      </c>
      <c r="D91" s="27">
        <f t="shared" si="11"/>
        <v>-4.6000000000000249E-2</v>
      </c>
      <c r="E91" s="27">
        <f t="shared" si="11"/>
        <v>-4.6000000000000027E-2</v>
      </c>
      <c r="F91" s="27">
        <f t="shared" ref="F91:F111" si="13">F6-D6</f>
        <v>-9.2000000000000276E-2</v>
      </c>
    </row>
    <row r="92" spans="1:6" x14ac:dyDescent="0.25">
      <c r="A92" t="str">
        <f>$A$7</f>
        <v>Food drink and tobacco</v>
      </c>
      <c r="B92" s="27">
        <f t="shared" si="11"/>
        <v>-0.66999999999998838</v>
      </c>
      <c r="C92" s="27">
        <f t="shared" si="12"/>
        <v>-4.4999999999992824E-2</v>
      </c>
      <c r="D92" s="27">
        <f t="shared" si="11"/>
        <v>3.8999999999995261E-2</v>
      </c>
      <c r="E92" s="27">
        <f t="shared" si="11"/>
        <v>-0.14700000000001801</v>
      </c>
      <c r="F92" s="27">
        <f t="shared" si="13"/>
        <v>-0.10800000000002274</v>
      </c>
    </row>
    <row r="93" spans="1:6" x14ac:dyDescent="0.25">
      <c r="A93" t="str">
        <f>$A$8</f>
        <v>Engineering</v>
      </c>
      <c r="B93" s="27">
        <f t="shared" si="11"/>
        <v>1.2069999999999892</v>
      </c>
      <c r="C93" s="27">
        <f t="shared" si="12"/>
        <v>-0.75200000000001666</v>
      </c>
      <c r="D93" s="27">
        <f t="shared" si="11"/>
        <v>0.45300000000002871</v>
      </c>
      <c r="E93" s="27">
        <f t="shared" si="11"/>
        <v>-0.77700000000001079</v>
      </c>
      <c r="F93" s="27">
        <f t="shared" si="13"/>
        <v>-0.32399999999998208</v>
      </c>
    </row>
    <row r="94" spans="1:6" x14ac:dyDescent="0.25">
      <c r="A94" t="str">
        <f>$A$9</f>
        <v>Rest of manufacturing</v>
      </c>
      <c r="B94" s="27">
        <f t="shared" si="11"/>
        <v>8.9000000000062585E-2</v>
      </c>
      <c r="C94" s="27">
        <f t="shared" si="12"/>
        <v>-4.6089999999998597</v>
      </c>
      <c r="D94" s="27">
        <f t="shared" si="11"/>
        <v>-1.884000000000043</v>
      </c>
      <c r="E94" s="27">
        <f t="shared" si="11"/>
        <v>-4.6730000000000445</v>
      </c>
      <c r="F94" s="27">
        <f t="shared" si="13"/>
        <v>-6.5570000000000874</v>
      </c>
    </row>
    <row r="95" spans="1:6" x14ac:dyDescent="0.25">
      <c r="A95" t="str">
        <f>$A$10</f>
        <v>Electricity and gas</v>
      </c>
      <c r="B95" s="27">
        <f t="shared" si="11"/>
        <v>-3.5160000000000045</v>
      </c>
      <c r="C95" s="27">
        <f t="shared" si="12"/>
        <v>0.26199999999999846</v>
      </c>
      <c r="D95" s="27">
        <f t="shared" si="11"/>
        <v>-0.11500000000000044</v>
      </c>
      <c r="E95" s="27">
        <f t="shared" si="11"/>
        <v>-3.7999999999994261E-2</v>
      </c>
      <c r="F95" s="27">
        <f t="shared" si="13"/>
        <v>-0.1529999999999947</v>
      </c>
    </row>
    <row r="96" spans="1:6" x14ac:dyDescent="0.25">
      <c r="A96" t="str">
        <f>$A$11</f>
        <v>Water and sewerage</v>
      </c>
      <c r="B96" s="27">
        <f t="shared" si="11"/>
        <v>7.4000000000022048E-2</v>
      </c>
      <c r="C96" s="27">
        <f t="shared" si="12"/>
        <v>-0.60300000000000464</v>
      </c>
      <c r="D96" s="27">
        <f t="shared" si="11"/>
        <v>0.11000000000000298</v>
      </c>
      <c r="E96" s="27">
        <f t="shared" si="11"/>
        <v>0.13499999999999046</v>
      </c>
      <c r="F96" s="27">
        <f t="shared" si="13"/>
        <v>0.24499999999999345</v>
      </c>
    </row>
    <row r="97" spans="1:6" x14ac:dyDescent="0.25">
      <c r="A97" t="str">
        <f>$A$12</f>
        <v>Construction</v>
      </c>
      <c r="B97" s="27">
        <f t="shared" si="11"/>
        <v>7.3119999999999301</v>
      </c>
      <c r="C97" s="27">
        <f t="shared" si="12"/>
        <v>-2.0599999999999881</v>
      </c>
      <c r="D97" s="27">
        <f t="shared" si="11"/>
        <v>-0.11099999999996157</v>
      </c>
      <c r="E97" s="27">
        <f t="shared" si="11"/>
        <v>0.54599999999997806</v>
      </c>
      <c r="F97" s="27">
        <f t="shared" si="13"/>
        <v>0.43500000000001648</v>
      </c>
    </row>
    <row r="98" spans="1:6" x14ac:dyDescent="0.25">
      <c r="A98" t="str">
        <f>$A$13</f>
        <v>Wholesale and retail trade</v>
      </c>
      <c r="B98" s="27">
        <f t="shared" si="11"/>
        <v>-3.5059999999999008</v>
      </c>
      <c r="C98" s="27">
        <f t="shared" si="12"/>
        <v>-1.4859999999998195</v>
      </c>
      <c r="D98" s="27">
        <f t="shared" si="11"/>
        <v>0.8049999999999784</v>
      </c>
      <c r="E98" s="27">
        <f t="shared" si="11"/>
        <v>0.96399999999951547</v>
      </c>
      <c r="F98" s="27">
        <f t="shared" si="13"/>
        <v>1.7689999999994939</v>
      </c>
    </row>
    <row r="99" spans="1:6" x14ac:dyDescent="0.25">
      <c r="A99" t="str">
        <f>$A$14</f>
        <v>Transport and storage</v>
      </c>
      <c r="B99" s="27">
        <f t="shared" si="11"/>
        <v>0.71600000000006503</v>
      </c>
      <c r="C99" s="27">
        <f t="shared" si="12"/>
        <v>-1.2250000000001151</v>
      </c>
      <c r="D99" s="27">
        <f t="shared" si="11"/>
        <v>3.0160000000001332</v>
      </c>
      <c r="E99" s="27">
        <f t="shared" si="11"/>
        <v>1.7969999999999899</v>
      </c>
      <c r="F99" s="27">
        <f t="shared" si="13"/>
        <v>4.8130000000001232</v>
      </c>
    </row>
    <row r="100" spans="1:6" x14ac:dyDescent="0.25">
      <c r="A100" t="str">
        <f>$A$15</f>
        <v>Accommodation and food</v>
      </c>
      <c r="B100" s="27">
        <f t="shared" si="11"/>
        <v>2.0689999999999955</v>
      </c>
      <c r="C100" s="27">
        <f t="shared" si="12"/>
        <v>0.72700000000006781</v>
      </c>
      <c r="D100" s="27">
        <f t="shared" si="11"/>
        <v>1.4650000000000354</v>
      </c>
      <c r="E100" s="27">
        <f t="shared" si="11"/>
        <v>3.1849999999999099</v>
      </c>
      <c r="F100" s="27">
        <f t="shared" si="13"/>
        <v>4.6499999999999453</v>
      </c>
    </row>
    <row r="101" spans="1:6" x14ac:dyDescent="0.25">
      <c r="A101" t="str">
        <f>$A$16</f>
        <v>Media</v>
      </c>
      <c r="B101" s="27">
        <f t="shared" si="11"/>
        <v>0.11699999999999933</v>
      </c>
      <c r="C101" s="27">
        <f t="shared" si="12"/>
        <v>0.28500000000000125</v>
      </c>
      <c r="D101" s="27">
        <f t="shared" si="11"/>
        <v>-3.1999999999995588E-2</v>
      </c>
      <c r="E101" s="27">
        <f t="shared" si="11"/>
        <v>2.7999999999991143E-2</v>
      </c>
      <c r="F101" s="27">
        <f t="shared" si="13"/>
        <v>-4.0000000000044444E-3</v>
      </c>
    </row>
    <row r="102" spans="1:6" x14ac:dyDescent="0.25">
      <c r="A102" t="str">
        <f>$A$17</f>
        <v>Information technology</v>
      </c>
      <c r="B102" s="27">
        <f t="shared" si="11"/>
        <v>-0.14400000000001167</v>
      </c>
      <c r="C102" s="27">
        <f t="shared" si="12"/>
        <v>0.47899999999997167</v>
      </c>
      <c r="D102" s="27">
        <f t="shared" si="11"/>
        <v>0.27699999999998148</v>
      </c>
      <c r="E102" s="27">
        <f t="shared" si="11"/>
        <v>0.24000000000002331</v>
      </c>
      <c r="F102" s="27">
        <f t="shared" si="13"/>
        <v>0.51700000000000479</v>
      </c>
    </row>
    <row r="103" spans="1:6" x14ac:dyDescent="0.25">
      <c r="A103" t="str">
        <f>$A$18</f>
        <v>Finance and insurance</v>
      </c>
      <c r="B103" s="27">
        <f t="shared" si="11"/>
        <v>6.5000000000008384E-2</v>
      </c>
      <c r="C103" s="27">
        <f t="shared" si="12"/>
        <v>0.15699999999998226</v>
      </c>
      <c r="D103" s="27">
        <f t="shared" si="11"/>
        <v>1.299999999998569E-2</v>
      </c>
      <c r="E103" s="27">
        <f t="shared" si="11"/>
        <v>-0.39999999999999503</v>
      </c>
      <c r="F103" s="27">
        <f t="shared" si="13"/>
        <v>-0.38700000000000934</v>
      </c>
    </row>
    <row r="104" spans="1:6" x14ac:dyDescent="0.25">
      <c r="A104" t="str">
        <f>$A$19</f>
        <v>Real estate</v>
      </c>
      <c r="B104" s="27">
        <f t="shared" si="11"/>
        <v>2.4620000000000086</v>
      </c>
      <c r="C104" s="27">
        <f t="shared" si="12"/>
        <v>5.5000000000006821E-2</v>
      </c>
      <c r="D104" s="27">
        <f t="shared" si="11"/>
        <v>6.7999999999962313E-2</v>
      </c>
      <c r="E104" s="27">
        <f t="shared" si="11"/>
        <v>0.93000000000002636</v>
      </c>
      <c r="F104" s="27">
        <f t="shared" si="13"/>
        <v>0.99799999999998867</v>
      </c>
    </row>
    <row r="105" spans="1:6" x14ac:dyDescent="0.25">
      <c r="A105" t="str">
        <f>$A$20</f>
        <v>Professional services</v>
      </c>
      <c r="B105" s="27">
        <f t="shared" si="11"/>
        <v>-3.7979999999999841</v>
      </c>
      <c r="C105" s="27">
        <f t="shared" si="12"/>
        <v>-6.5000000000029701E-2</v>
      </c>
      <c r="D105" s="27">
        <f t="shared" si="11"/>
        <v>0.82700000000004792</v>
      </c>
      <c r="E105" s="27">
        <f t="shared" si="11"/>
        <v>1.3370000000000672</v>
      </c>
      <c r="F105" s="27">
        <f t="shared" si="13"/>
        <v>2.1640000000001152</v>
      </c>
    </row>
    <row r="106" spans="1:6" x14ac:dyDescent="0.25">
      <c r="A106" s="10" t="str">
        <f>$A$21</f>
        <v>Support services</v>
      </c>
      <c r="B106" s="27">
        <f t="shared" ref="B106:B111" si="14">C21-B21</f>
        <v>-5.9470000000000454</v>
      </c>
      <c r="C106" s="27">
        <f t="shared" ref="C106:C111" si="15">D21-C21</f>
        <v>-2.1260000000000119</v>
      </c>
      <c r="D106" s="27">
        <f t="shared" ref="D106:D111" si="16">E21-D21</f>
        <v>1.6870000000000687</v>
      </c>
      <c r="E106" s="27">
        <f t="shared" ref="E106:E111" si="17">F21-E21</f>
        <v>1.827999999999868</v>
      </c>
      <c r="F106" s="27">
        <f t="shared" si="13"/>
        <v>3.5149999999999366</v>
      </c>
    </row>
    <row r="107" spans="1:6" x14ac:dyDescent="0.25">
      <c r="A107" s="10" t="str">
        <f>$A$22</f>
        <v>Public admin. and defence</v>
      </c>
      <c r="B107" s="27">
        <f t="shared" si="14"/>
        <v>-0.54899999999996218</v>
      </c>
      <c r="C107" s="27">
        <f t="shared" si="15"/>
        <v>-0.17300000000002846</v>
      </c>
      <c r="D107" s="27">
        <f t="shared" si="16"/>
        <v>0.27300000000000502</v>
      </c>
      <c r="E107" s="27">
        <f t="shared" si="17"/>
        <v>0.67099999999997628</v>
      </c>
      <c r="F107" s="27">
        <f t="shared" si="13"/>
        <v>0.9439999999999813</v>
      </c>
    </row>
    <row r="108" spans="1:6" x14ac:dyDescent="0.25">
      <c r="A108" s="10" t="str">
        <f>$A$23</f>
        <v>Education</v>
      </c>
      <c r="B108" s="27">
        <f t="shared" si="14"/>
        <v>-0.40500000000006509</v>
      </c>
      <c r="C108" s="27">
        <f t="shared" si="15"/>
        <v>0.65799999999998704</v>
      </c>
      <c r="D108" s="27">
        <f t="shared" si="16"/>
        <v>1.2149999999999324</v>
      </c>
      <c r="E108" s="27">
        <f t="shared" si="17"/>
        <v>2.8859999999999815</v>
      </c>
      <c r="F108" s="27">
        <f t="shared" si="13"/>
        <v>4.1009999999999138</v>
      </c>
    </row>
    <row r="109" spans="1:6" x14ac:dyDescent="0.25">
      <c r="A109" s="10" t="str">
        <f>$A$24</f>
        <v>Health and social work</v>
      </c>
      <c r="B109" s="27">
        <f t="shared" si="14"/>
        <v>11.962999999999802</v>
      </c>
      <c r="C109" s="27">
        <f t="shared" si="15"/>
        <v>-1.0599999999998886</v>
      </c>
      <c r="D109" s="27">
        <f t="shared" si="16"/>
        <v>4.7450000000000472</v>
      </c>
      <c r="E109" s="27">
        <f t="shared" si="17"/>
        <v>4.6879999999999882</v>
      </c>
      <c r="F109" s="27">
        <f t="shared" si="13"/>
        <v>9.4330000000000354</v>
      </c>
    </row>
    <row r="110" spans="1:6" x14ac:dyDescent="0.25">
      <c r="A110" s="10" t="str">
        <f>$A$25</f>
        <v>Arts and entertainment</v>
      </c>
      <c r="B110" s="27">
        <f t="shared" si="14"/>
        <v>0.26800000000000068</v>
      </c>
      <c r="C110" s="27">
        <f t="shared" si="15"/>
        <v>-0.26000000000000156</v>
      </c>
      <c r="D110" s="27">
        <f t="shared" si="16"/>
        <v>-0.62500000000002665</v>
      </c>
      <c r="E110" s="27">
        <f t="shared" si="17"/>
        <v>0.66800000000000637</v>
      </c>
      <c r="F110" s="27">
        <f t="shared" si="13"/>
        <v>4.2999999999979721E-2</v>
      </c>
    </row>
    <row r="111" spans="1:6" x14ac:dyDescent="0.25">
      <c r="A111" s="10" t="str">
        <f>$A$26</f>
        <v>Other services</v>
      </c>
      <c r="B111" s="27">
        <f t="shared" si="14"/>
        <v>-2.7419999999999938</v>
      </c>
      <c r="C111" s="27">
        <f t="shared" si="15"/>
        <v>-0.73499999999999943</v>
      </c>
      <c r="D111" s="27">
        <f t="shared" si="16"/>
        <v>-0.34299999999998398</v>
      </c>
      <c r="E111" s="27">
        <f t="shared" si="17"/>
        <v>-9.0000000000554081E-3</v>
      </c>
      <c r="F111" s="27">
        <f t="shared" si="13"/>
        <v>-0.35200000000003939</v>
      </c>
    </row>
    <row r="112" spans="1:6" x14ac:dyDescent="0.25">
      <c r="B112" s="27"/>
      <c r="C112" s="27"/>
      <c r="D112" s="27"/>
      <c r="E112" s="27"/>
      <c r="F112" s="27"/>
    </row>
    <row r="113" spans="1:6" x14ac:dyDescent="0.25">
      <c r="A113" s="24" t="str">
        <f>$A$28</f>
        <v>All industries</v>
      </c>
      <c r="B113" s="29">
        <f>C28-B28</f>
        <v>4.3689999999999714</v>
      </c>
      <c r="C113" s="29">
        <f>D28-C28</f>
        <v>-13.736999999999739</v>
      </c>
      <c r="D113" s="29">
        <f>E28-D28</f>
        <v>11.93400000000014</v>
      </c>
      <c r="E113" s="29">
        <f>F28-E28</f>
        <v>13.815999999999121</v>
      </c>
      <c r="F113" s="29">
        <f>F28-D28</f>
        <v>25.749999999999261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CONCATENATE("Industry Table 4  Employment by Industry Group in Sector (SIC 2007), ",B$5,"-",F$5,", ",Info!B5)</f>
        <v>Industry Table 4  Employment by Industry Group in Sector (SIC 2007), 2015-2035, Black Country</v>
      </c>
    </row>
    <row r="2" spans="1:12" ht="12.75" customHeight="1" x14ac:dyDescent="0.3">
      <c r="A2" s="182" t="s">
        <v>519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'Ind T1'!A7</f>
        <v>Primary sector and utilities</v>
      </c>
      <c r="B7" s="31">
        <f>'Ind T1'!B7</f>
        <v>12.683999999999983</v>
      </c>
      <c r="C7" s="31">
        <f>'Ind T1'!C7</f>
        <v>8.5460000000000029</v>
      </c>
      <c r="D7" s="31">
        <f>'Ind T1'!D7</f>
        <v>7.0439999999999952</v>
      </c>
      <c r="E7" s="31">
        <f>'Ind T1'!E7</f>
        <v>7.0899999999999981</v>
      </c>
      <c r="F7" s="31">
        <f>'Ind T1'!F7</f>
        <v>7.1439999999999904</v>
      </c>
      <c r="H7" s="31">
        <f>C7-B7</f>
        <v>-4.1379999999999804</v>
      </c>
      <c r="I7" s="31">
        <f>D7-C7</f>
        <v>-1.5020000000000078</v>
      </c>
      <c r="J7" s="31">
        <f>E7-D7</f>
        <v>4.6000000000002927E-2</v>
      </c>
      <c r="K7" s="31">
        <f>F7-E7</f>
        <v>5.3999999999992276E-2</v>
      </c>
      <c r="L7" s="31">
        <f>F7-D7</f>
        <v>9.9999999999995204E-2</v>
      </c>
    </row>
    <row r="8" spans="1:12" ht="13" x14ac:dyDescent="0.3">
      <c r="A8" t="str">
        <f>'Ind T2'!A5</f>
        <v>Agriculture</v>
      </c>
      <c r="B8" s="32">
        <f>'Ind T2'!B5</f>
        <v>2.9649999999999994</v>
      </c>
      <c r="C8" s="32">
        <f>'Ind T2'!C5</f>
        <v>2.2860000000000018</v>
      </c>
      <c r="D8" s="32">
        <f>'Ind T2'!D5</f>
        <v>1.1150000000000004</v>
      </c>
      <c r="E8" s="32">
        <f>'Ind T2'!E5</f>
        <v>1.2120000000000004</v>
      </c>
      <c r="F8" s="32">
        <f>'Ind T2'!F5</f>
        <v>1.214999999999997</v>
      </c>
      <c r="H8" s="11">
        <f t="shared" ref="H8:H40" si="0">C8-B8</f>
        <v>-0.67899999999999761</v>
      </c>
      <c r="I8" s="31">
        <f t="shared" ref="I8:I38" si="1">D8-C8</f>
        <v>-1.1710000000000014</v>
      </c>
      <c r="J8" s="11">
        <f t="shared" ref="J8:J38" si="2">E8-D8</f>
        <v>9.6999999999999975E-2</v>
      </c>
      <c r="K8" s="11">
        <f t="shared" ref="K8:K38" si="3">F8-E8</f>
        <v>2.999999999996561E-3</v>
      </c>
      <c r="L8" s="31">
        <f t="shared" ref="L8:L40" si="4">F8-D8</f>
        <v>9.9999999999996536E-2</v>
      </c>
    </row>
    <row r="9" spans="1:12" ht="13" x14ac:dyDescent="0.3">
      <c r="A9" t="str">
        <f>'Ind T2'!A6</f>
        <v>Mining and quarrying</v>
      </c>
      <c r="B9" s="32">
        <f>'Ind T2'!B6</f>
        <v>0.16200000000000025</v>
      </c>
      <c r="C9" s="32">
        <f>'Ind T2'!C6</f>
        <v>0.14499999999999991</v>
      </c>
      <c r="D9" s="32">
        <f>'Ind T2'!D6</f>
        <v>0.15500000000000022</v>
      </c>
      <c r="E9" s="32">
        <f>'Ind T2'!E6</f>
        <v>0.10899999999999997</v>
      </c>
      <c r="F9" s="32">
        <f>'Ind T2'!F6</f>
        <v>6.2999999999999945E-2</v>
      </c>
      <c r="H9" s="11">
        <f t="shared" si="0"/>
        <v>-1.7000000000000348E-2</v>
      </c>
      <c r="I9" s="31">
        <f t="shared" si="1"/>
        <v>1.0000000000000314E-2</v>
      </c>
      <c r="J9" s="11">
        <f t="shared" si="2"/>
        <v>-4.6000000000000249E-2</v>
      </c>
      <c r="K9" s="11">
        <f t="shared" si="3"/>
        <v>-4.6000000000000027E-2</v>
      </c>
      <c r="L9" s="31">
        <f t="shared" si="4"/>
        <v>-9.2000000000000276E-2</v>
      </c>
    </row>
    <row r="10" spans="1:12" ht="13" x14ac:dyDescent="0.3">
      <c r="A10" t="str">
        <f>'Ind T2'!A10</f>
        <v>Electricity and gas</v>
      </c>
      <c r="B10" s="32">
        <f>'Ind T2'!B10</f>
        <v>5.225000000000005</v>
      </c>
      <c r="C10" s="32">
        <f>'Ind T2'!C10</f>
        <v>1.7090000000000003</v>
      </c>
      <c r="D10" s="32">
        <f>'Ind T2'!D10</f>
        <v>1.9709999999999988</v>
      </c>
      <c r="E10" s="32">
        <f>'Ind T2'!E10</f>
        <v>1.8559999999999983</v>
      </c>
      <c r="F10" s="32">
        <f>'Ind T2'!F10</f>
        <v>1.8180000000000041</v>
      </c>
      <c r="H10" s="11">
        <f t="shared" si="0"/>
        <v>-3.5160000000000045</v>
      </c>
      <c r="I10" s="31">
        <f t="shared" si="1"/>
        <v>0.26199999999999846</v>
      </c>
      <c r="J10" s="11">
        <f t="shared" si="2"/>
        <v>-0.11500000000000044</v>
      </c>
      <c r="K10" s="11">
        <f t="shared" si="3"/>
        <v>-3.7999999999994261E-2</v>
      </c>
      <c r="L10" s="31">
        <f t="shared" si="4"/>
        <v>-0.1529999999999947</v>
      </c>
    </row>
    <row r="11" spans="1:12" ht="13" x14ac:dyDescent="0.3">
      <c r="A11" t="str">
        <f>'Ind T2'!A11</f>
        <v>Water and sewerage</v>
      </c>
      <c r="B11" s="32">
        <f>'Ind T2'!B11</f>
        <v>4.3319999999999785</v>
      </c>
      <c r="C11" s="32">
        <f>'Ind T2'!C11</f>
        <v>4.4060000000000006</v>
      </c>
      <c r="D11" s="32">
        <f>'Ind T2'!D11</f>
        <v>3.8029999999999959</v>
      </c>
      <c r="E11" s="32">
        <f>'Ind T2'!E11</f>
        <v>3.9129999999999989</v>
      </c>
      <c r="F11" s="32">
        <f>'Ind T2'!F11</f>
        <v>4.0479999999999894</v>
      </c>
      <c r="H11" s="11">
        <f t="shared" ref="H11" si="5">C11-B11</f>
        <v>7.4000000000022048E-2</v>
      </c>
      <c r="I11" s="31">
        <f t="shared" ref="I11" si="6">D11-C11</f>
        <v>-0.60300000000000464</v>
      </c>
      <c r="J11" s="11">
        <f t="shared" ref="J11" si="7">E11-D11</f>
        <v>0.11000000000000298</v>
      </c>
      <c r="K11" s="11">
        <f t="shared" ref="K11" si="8">F11-E11</f>
        <v>0.13499999999999046</v>
      </c>
      <c r="L11" s="31">
        <f t="shared" si="4"/>
        <v>0.24499999999999345</v>
      </c>
    </row>
    <row r="12" spans="1:12" ht="13" x14ac:dyDescent="0.3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ht="13" x14ac:dyDescent="0.3">
      <c r="A13" s="30" t="str">
        <f>'Ind T1'!A8</f>
        <v>Manufacturing</v>
      </c>
      <c r="B13" s="31">
        <f>'Ind T1'!B8</f>
        <v>68.65899999999985</v>
      </c>
      <c r="C13" s="31">
        <f>'Ind T1'!C8</f>
        <v>69.284999999999911</v>
      </c>
      <c r="D13" s="31">
        <f>'Ind T1'!D8</f>
        <v>63.879000000000048</v>
      </c>
      <c r="E13" s="31">
        <f>'Ind T1'!E8</f>
        <v>62.48700000000003</v>
      </c>
      <c r="F13" s="31">
        <f>'Ind T1'!F8</f>
        <v>56.889999999999958</v>
      </c>
      <c r="H13" s="31">
        <f t="shared" si="0"/>
        <v>0.62600000000006162</v>
      </c>
      <c r="I13" s="31">
        <f t="shared" si="1"/>
        <v>-5.4059999999998638</v>
      </c>
      <c r="J13" s="31">
        <f t="shared" si="2"/>
        <v>-1.3920000000000172</v>
      </c>
      <c r="K13" s="31">
        <f t="shared" si="3"/>
        <v>-5.5970000000000724</v>
      </c>
      <c r="L13" s="31">
        <f t="shared" si="4"/>
        <v>-6.9890000000000896</v>
      </c>
    </row>
    <row r="14" spans="1:12" ht="13" x14ac:dyDescent="0.3">
      <c r="A14" t="str">
        <f>'Ind T2'!A7</f>
        <v>Food drink and tobacco</v>
      </c>
      <c r="B14" s="32">
        <f>'Ind T2'!B7</f>
        <v>7.0119999999999845</v>
      </c>
      <c r="C14" s="32">
        <f>'Ind T2'!C7</f>
        <v>6.3419999999999961</v>
      </c>
      <c r="D14" s="32">
        <f>'Ind T2'!D7</f>
        <v>6.2970000000000033</v>
      </c>
      <c r="E14" s="32">
        <f>'Ind T2'!E7</f>
        <v>6.3359999999999985</v>
      </c>
      <c r="F14" s="32">
        <f>'Ind T2'!F7</f>
        <v>6.1889999999999805</v>
      </c>
      <c r="H14" s="11">
        <f t="shared" si="0"/>
        <v>-0.66999999999998838</v>
      </c>
      <c r="I14" s="31">
        <f t="shared" si="1"/>
        <v>-4.4999999999992824E-2</v>
      </c>
      <c r="J14" s="11">
        <f t="shared" si="2"/>
        <v>3.8999999999995261E-2</v>
      </c>
      <c r="K14" s="11">
        <f t="shared" si="3"/>
        <v>-0.14700000000001801</v>
      </c>
      <c r="L14" s="31">
        <f t="shared" si="4"/>
        <v>-0.10800000000002274</v>
      </c>
    </row>
    <row r="15" spans="1:12" ht="13" x14ac:dyDescent="0.3">
      <c r="A15" t="str">
        <f>'Ind T2'!A8</f>
        <v>Engineering</v>
      </c>
      <c r="B15" s="32">
        <f>'Ind T2'!B8</f>
        <v>6.9600000000000088</v>
      </c>
      <c r="C15" s="32">
        <f>'Ind T2'!C8</f>
        <v>8.166999999999998</v>
      </c>
      <c r="D15" s="32">
        <f>'Ind T2'!D8</f>
        <v>7.4149999999999814</v>
      </c>
      <c r="E15" s="32">
        <f>'Ind T2'!E8</f>
        <v>7.8680000000000101</v>
      </c>
      <c r="F15" s="32">
        <f>'Ind T2'!F8</f>
        <v>7.0909999999999993</v>
      </c>
      <c r="H15" s="11">
        <f t="shared" si="0"/>
        <v>1.2069999999999892</v>
      </c>
      <c r="I15" s="31">
        <f t="shared" si="1"/>
        <v>-0.75200000000001666</v>
      </c>
      <c r="J15" s="11">
        <f t="shared" si="2"/>
        <v>0.45300000000002871</v>
      </c>
      <c r="K15" s="11">
        <f t="shared" si="3"/>
        <v>-0.77700000000001079</v>
      </c>
      <c r="L15" s="31">
        <f t="shared" si="4"/>
        <v>-0.32399999999998208</v>
      </c>
    </row>
    <row r="16" spans="1:12" ht="13" x14ac:dyDescent="0.3">
      <c r="A16" t="str">
        <f>'Ind T2'!A9</f>
        <v>Rest of manufacturing</v>
      </c>
      <c r="B16" s="32">
        <f>'Ind T2'!B9</f>
        <v>54.686999999999863</v>
      </c>
      <c r="C16" s="32">
        <f>'Ind T2'!C9</f>
        <v>54.775999999999925</v>
      </c>
      <c r="D16" s="32">
        <f>'Ind T2'!D9</f>
        <v>50.167000000000066</v>
      </c>
      <c r="E16" s="32">
        <f>'Ind T2'!E9</f>
        <v>48.283000000000023</v>
      </c>
      <c r="F16" s="32">
        <f>'Ind T2'!F9</f>
        <v>43.609999999999978</v>
      </c>
      <c r="H16" s="11">
        <f t="shared" si="0"/>
        <v>8.9000000000062585E-2</v>
      </c>
      <c r="I16" s="31">
        <f t="shared" si="1"/>
        <v>-4.6089999999998597</v>
      </c>
      <c r="J16" s="11">
        <f t="shared" si="2"/>
        <v>-1.884000000000043</v>
      </c>
      <c r="K16" s="11">
        <f t="shared" si="3"/>
        <v>-4.6730000000000445</v>
      </c>
      <c r="L16" s="31">
        <f t="shared" si="4"/>
        <v>-6.5570000000000874</v>
      </c>
    </row>
    <row r="17" spans="1:12" ht="13" x14ac:dyDescent="0.3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ht="13" x14ac:dyDescent="0.3">
      <c r="A18" s="30" t="str">
        <f>'Ind T1'!A9</f>
        <v>Construction</v>
      </c>
      <c r="B18" s="31">
        <f>'Ind T1'!B9</f>
        <v>31.762999999999966</v>
      </c>
      <c r="C18" s="31">
        <f>'Ind T1'!C9</f>
        <v>39.074999999999896</v>
      </c>
      <c r="D18" s="31">
        <f>'Ind T1'!D9</f>
        <v>37.014999999999908</v>
      </c>
      <c r="E18" s="31">
        <f>'Ind T1'!E9</f>
        <v>36.903999999999947</v>
      </c>
      <c r="F18" s="31">
        <f>'Ind T1'!F9</f>
        <v>37.449999999999925</v>
      </c>
      <c r="H18" s="31">
        <f t="shared" si="0"/>
        <v>7.3119999999999301</v>
      </c>
      <c r="I18" s="31">
        <f t="shared" si="1"/>
        <v>-2.0599999999999881</v>
      </c>
      <c r="J18" s="31">
        <f t="shared" si="2"/>
        <v>-0.11099999999996157</v>
      </c>
      <c r="K18" s="31">
        <f t="shared" si="3"/>
        <v>0.54599999999997806</v>
      </c>
      <c r="L18" s="31">
        <f t="shared" si="4"/>
        <v>0.43500000000001648</v>
      </c>
    </row>
    <row r="19" spans="1:12" ht="13" x14ac:dyDescent="0.3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ht="13" x14ac:dyDescent="0.3">
      <c r="A20" s="30" t="str">
        <f>'Ind T1'!A10</f>
        <v>Trade, accomod. and transport</v>
      </c>
      <c r="B20" s="31">
        <f>'Ind T1'!B10</f>
        <v>147.42899999999986</v>
      </c>
      <c r="C20" s="31">
        <f>'Ind T1'!C10</f>
        <v>146.70800000000003</v>
      </c>
      <c r="D20" s="31">
        <f>'Ind T1'!D10</f>
        <v>144.72400000000016</v>
      </c>
      <c r="E20" s="31">
        <f>'Ind T1'!E10</f>
        <v>150.0100000000003</v>
      </c>
      <c r="F20" s="31">
        <f>'Ind T1'!F10</f>
        <v>155.9559999999997</v>
      </c>
      <c r="H20" s="31">
        <f t="shared" si="0"/>
        <v>-0.72099999999983311</v>
      </c>
      <c r="I20" s="31">
        <f t="shared" si="1"/>
        <v>-1.9839999999998668</v>
      </c>
      <c r="J20" s="31">
        <f t="shared" si="2"/>
        <v>5.2860000000001435</v>
      </c>
      <c r="K20" s="31">
        <f t="shared" si="3"/>
        <v>5.9459999999994011</v>
      </c>
      <c r="L20" s="31">
        <f t="shared" si="4"/>
        <v>11.231999999999545</v>
      </c>
    </row>
    <row r="21" spans="1:12" ht="13" x14ac:dyDescent="0.3">
      <c r="A21" s="10" t="str">
        <f>'Ind T2'!A13</f>
        <v>Wholesale and retail trade</v>
      </c>
      <c r="B21" s="32">
        <f>'Ind T2'!B13</f>
        <v>92.065999999999903</v>
      </c>
      <c r="C21" s="32">
        <f>'Ind T2'!C13</f>
        <v>88.56</v>
      </c>
      <c r="D21" s="32">
        <f>'Ind T2'!D13</f>
        <v>87.074000000000183</v>
      </c>
      <c r="E21" s="32">
        <f>'Ind T2'!E13</f>
        <v>87.879000000000161</v>
      </c>
      <c r="F21" s="32">
        <f>'Ind T2'!F13</f>
        <v>88.842999999999677</v>
      </c>
      <c r="H21" s="11">
        <f t="shared" si="0"/>
        <v>-3.5059999999999008</v>
      </c>
      <c r="I21" s="31">
        <f t="shared" si="1"/>
        <v>-1.4859999999998195</v>
      </c>
      <c r="J21" s="11">
        <f t="shared" si="2"/>
        <v>0.8049999999999784</v>
      </c>
      <c r="K21" s="11">
        <f t="shared" si="3"/>
        <v>0.96399999999951547</v>
      </c>
      <c r="L21" s="31">
        <f t="shared" si="4"/>
        <v>1.7689999999994939</v>
      </c>
    </row>
    <row r="22" spans="1:12" ht="13" x14ac:dyDescent="0.3">
      <c r="A22" s="10" t="str">
        <f>'Ind T2'!A14</f>
        <v>Transport and storage</v>
      </c>
      <c r="B22" s="32">
        <f>'Ind T2'!B14</f>
        <v>33.456999999999994</v>
      </c>
      <c r="C22" s="32">
        <f>'Ind T2'!C14</f>
        <v>34.173000000000059</v>
      </c>
      <c r="D22" s="32">
        <f>'Ind T2'!D14</f>
        <v>32.947999999999944</v>
      </c>
      <c r="E22" s="32">
        <f>'Ind T2'!E14</f>
        <v>35.964000000000077</v>
      </c>
      <c r="F22" s="32">
        <f>'Ind T2'!F14</f>
        <v>37.761000000000067</v>
      </c>
      <c r="H22" s="11">
        <f t="shared" si="0"/>
        <v>0.71600000000006503</v>
      </c>
      <c r="I22" s="31">
        <f t="shared" si="1"/>
        <v>-1.2250000000001151</v>
      </c>
      <c r="J22" s="11">
        <f t="shared" si="2"/>
        <v>3.0160000000001332</v>
      </c>
      <c r="K22" s="11">
        <f t="shared" si="3"/>
        <v>1.7969999999999899</v>
      </c>
      <c r="L22" s="31">
        <f t="shared" si="4"/>
        <v>4.8130000000001232</v>
      </c>
    </row>
    <row r="23" spans="1:12" ht="13" x14ac:dyDescent="0.3">
      <c r="A23" s="10" t="str">
        <f>'Ind T2'!A15</f>
        <v>Accommodation and food</v>
      </c>
      <c r="B23" s="32">
        <f>'Ind T2'!B15</f>
        <v>21.905999999999963</v>
      </c>
      <c r="C23" s="32">
        <f>'Ind T2'!C15</f>
        <v>23.974999999999959</v>
      </c>
      <c r="D23" s="32">
        <f>'Ind T2'!D15</f>
        <v>24.702000000000027</v>
      </c>
      <c r="E23" s="32">
        <f>'Ind T2'!E15</f>
        <v>26.167000000000062</v>
      </c>
      <c r="F23" s="32">
        <f>'Ind T2'!F15</f>
        <v>29.351999999999972</v>
      </c>
      <c r="H23" s="11">
        <f t="shared" si="0"/>
        <v>2.0689999999999955</v>
      </c>
      <c r="I23" s="31">
        <f t="shared" si="1"/>
        <v>0.72700000000006781</v>
      </c>
      <c r="J23" s="11">
        <f t="shared" si="2"/>
        <v>1.4650000000000354</v>
      </c>
      <c r="K23" s="11">
        <f t="shared" si="3"/>
        <v>3.1849999999999099</v>
      </c>
      <c r="L23" s="31">
        <f t="shared" si="4"/>
        <v>4.6499999999999453</v>
      </c>
    </row>
    <row r="24" spans="1:12" ht="13" x14ac:dyDescent="0.3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ht="13" x14ac:dyDescent="0.3">
      <c r="A25" s="30" t="str">
        <f>'Ind T1'!A11</f>
        <v>Business and other services</v>
      </c>
      <c r="B25" s="31">
        <f>'Ind T1'!B11</f>
        <v>123.34700000000012</v>
      </c>
      <c r="C25" s="31">
        <f>'Ind T1'!C11</f>
        <v>113.62800000000009</v>
      </c>
      <c r="D25" s="31">
        <f>'Ind T1'!D11</f>
        <v>111.41800000000002</v>
      </c>
      <c r="E25" s="31">
        <f>'Ind T1'!E11</f>
        <v>113.29000000000006</v>
      </c>
      <c r="F25" s="31">
        <f>'Ind T1'!F11</f>
        <v>117.91199999999999</v>
      </c>
      <c r="H25" s="31">
        <f t="shared" si="0"/>
        <v>-9.7190000000000367</v>
      </c>
      <c r="I25" s="31">
        <f t="shared" si="1"/>
        <v>-2.2100000000000648</v>
      </c>
      <c r="J25" s="31">
        <f t="shared" si="2"/>
        <v>1.8720000000000425</v>
      </c>
      <c r="K25" s="31">
        <f t="shared" si="3"/>
        <v>4.6219999999999288</v>
      </c>
      <c r="L25" s="31">
        <f t="shared" si="4"/>
        <v>6.4939999999999714</v>
      </c>
    </row>
    <row r="26" spans="1:12" ht="13" x14ac:dyDescent="0.3">
      <c r="A26" s="10" t="str">
        <f>'Ind T2'!A16</f>
        <v>Media</v>
      </c>
      <c r="B26" s="11">
        <f>'Ind T2'!B16</f>
        <v>1.7079999999999989</v>
      </c>
      <c r="C26" s="11">
        <f>'Ind T2'!C16</f>
        <v>1.8249999999999982</v>
      </c>
      <c r="D26" s="11">
        <f>'Ind T2'!D16</f>
        <v>2.1099999999999994</v>
      </c>
      <c r="E26" s="11">
        <f>'Ind T2'!E16</f>
        <v>2.0780000000000038</v>
      </c>
      <c r="F26" s="11">
        <f>'Ind T2'!F16</f>
        <v>2.105999999999995</v>
      </c>
      <c r="H26" s="11">
        <f t="shared" si="0"/>
        <v>0.11699999999999933</v>
      </c>
      <c r="I26" s="31">
        <f t="shared" si="1"/>
        <v>0.28500000000000125</v>
      </c>
      <c r="J26" s="11">
        <f t="shared" si="2"/>
        <v>-3.1999999999995588E-2</v>
      </c>
      <c r="K26" s="11">
        <f t="shared" si="3"/>
        <v>2.7999999999991143E-2</v>
      </c>
      <c r="L26" s="31">
        <f t="shared" si="4"/>
        <v>-4.0000000000044444E-3</v>
      </c>
    </row>
    <row r="27" spans="1:12" ht="13" x14ac:dyDescent="0.3">
      <c r="A27" s="10" t="str">
        <f>'Ind T2'!A17</f>
        <v>Information technology</v>
      </c>
      <c r="B27" s="11">
        <f>'Ind T2'!B17</f>
        <v>6.5380000000000287</v>
      </c>
      <c r="C27" s="11">
        <f>'Ind T2'!C17</f>
        <v>6.394000000000017</v>
      </c>
      <c r="D27" s="11">
        <f>'Ind T2'!D17</f>
        <v>6.8729999999999887</v>
      </c>
      <c r="E27" s="11">
        <f>'Ind T2'!E17</f>
        <v>7.1499999999999702</v>
      </c>
      <c r="F27" s="11">
        <f>'Ind T2'!F17</f>
        <v>7.3899999999999935</v>
      </c>
      <c r="H27" s="11">
        <f t="shared" si="0"/>
        <v>-0.14400000000001167</v>
      </c>
      <c r="I27" s="31">
        <f t="shared" si="1"/>
        <v>0.47899999999997167</v>
      </c>
      <c r="J27" s="11">
        <f t="shared" si="2"/>
        <v>0.27699999999998148</v>
      </c>
      <c r="K27" s="11">
        <f t="shared" si="3"/>
        <v>0.24000000000002331</v>
      </c>
      <c r="L27" s="31">
        <f t="shared" si="4"/>
        <v>0.51700000000000479</v>
      </c>
    </row>
    <row r="28" spans="1:12" ht="13" x14ac:dyDescent="0.3">
      <c r="A28" s="10" t="str">
        <f>'Ind T2'!A18</f>
        <v>Finance and insurance</v>
      </c>
      <c r="B28" s="11">
        <f>'Ind T2'!B18</f>
        <v>10.219000000000021</v>
      </c>
      <c r="C28" s="11">
        <f>'Ind T2'!C18</f>
        <v>10.284000000000029</v>
      </c>
      <c r="D28" s="11">
        <f>'Ind T2'!D18</f>
        <v>10.441000000000011</v>
      </c>
      <c r="E28" s="11">
        <f>'Ind T2'!E18</f>
        <v>10.453999999999997</v>
      </c>
      <c r="F28" s="11">
        <f>'Ind T2'!F18</f>
        <v>10.054000000000002</v>
      </c>
      <c r="H28" s="11">
        <f t="shared" si="0"/>
        <v>6.5000000000008384E-2</v>
      </c>
      <c r="I28" s="31">
        <f t="shared" si="1"/>
        <v>0.15699999999998226</v>
      </c>
      <c r="J28" s="11">
        <f t="shared" si="2"/>
        <v>1.299999999998569E-2</v>
      </c>
      <c r="K28" s="11">
        <f t="shared" si="3"/>
        <v>-0.39999999999999503</v>
      </c>
      <c r="L28" s="31">
        <f t="shared" si="4"/>
        <v>-0.38700000000000934</v>
      </c>
    </row>
    <row r="29" spans="1:12" ht="13" x14ac:dyDescent="0.3">
      <c r="A29" s="10" t="str">
        <f>'Ind T2'!A19</f>
        <v>Real estate</v>
      </c>
      <c r="B29" s="11">
        <f>'Ind T2'!B19</f>
        <v>7.7230000000000008</v>
      </c>
      <c r="C29" s="11">
        <f>'Ind T2'!C19</f>
        <v>10.185000000000009</v>
      </c>
      <c r="D29" s="11">
        <f>'Ind T2'!D19</f>
        <v>10.240000000000016</v>
      </c>
      <c r="E29" s="11">
        <f>'Ind T2'!E19</f>
        <v>10.307999999999979</v>
      </c>
      <c r="F29" s="11">
        <f>'Ind T2'!F19</f>
        <v>11.238000000000005</v>
      </c>
      <c r="H29" s="11">
        <f t="shared" ref="H29:H31" si="9">C29-B29</f>
        <v>2.4620000000000086</v>
      </c>
      <c r="I29" s="31">
        <f t="shared" ref="I29:I31" si="10">D29-C29</f>
        <v>5.5000000000006821E-2</v>
      </c>
      <c r="J29" s="11">
        <f t="shared" ref="J29:J31" si="11">E29-D29</f>
        <v>6.7999999999962313E-2</v>
      </c>
      <c r="K29" s="11">
        <f t="shared" ref="K29:K31" si="12">F29-E29</f>
        <v>0.93000000000002636</v>
      </c>
      <c r="L29" s="31">
        <f t="shared" si="4"/>
        <v>0.99799999999998867</v>
      </c>
    </row>
    <row r="30" spans="1:12" ht="13" x14ac:dyDescent="0.3">
      <c r="A30" s="10" t="str">
        <f>'Ind T2'!A20</f>
        <v>Professional services</v>
      </c>
      <c r="B30" s="11">
        <f>'Ind T2'!B20</f>
        <v>28.591999999999977</v>
      </c>
      <c r="C30" s="11">
        <f>'Ind T2'!C20</f>
        <v>24.793999999999993</v>
      </c>
      <c r="D30" s="11">
        <f>'Ind T2'!D20</f>
        <v>24.728999999999964</v>
      </c>
      <c r="E30" s="11">
        <f>'Ind T2'!E20</f>
        <v>25.556000000000012</v>
      </c>
      <c r="F30" s="11">
        <f>'Ind T2'!F20</f>
        <v>26.893000000000079</v>
      </c>
      <c r="H30" s="11">
        <f t="shared" si="9"/>
        <v>-3.7979999999999841</v>
      </c>
      <c r="I30" s="31">
        <f t="shared" si="10"/>
        <v>-6.5000000000029701E-2</v>
      </c>
      <c r="J30" s="11">
        <f t="shared" si="11"/>
        <v>0.82700000000004792</v>
      </c>
      <c r="K30" s="11">
        <f t="shared" si="12"/>
        <v>1.3370000000000672</v>
      </c>
      <c r="L30" s="31">
        <f t="shared" si="4"/>
        <v>2.1640000000001152</v>
      </c>
    </row>
    <row r="31" spans="1:12" ht="13" x14ac:dyDescent="0.3">
      <c r="A31" s="10" t="str">
        <f>'Ind T2'!A21</f>
        <v>Support services</v>
      </c>
      <c r="B31" s="11">
        <f>'Ind T2'!B21</f>
        <v>40.241000000000078</v>
      </c>
      <c r="C31" s="11">
        <f>'Ind T2'!C21</f>
        <v>34.294000000000032</v>
      </c>
      <c r="D31" s="11">
        <f>'Ind T2'!D21</f>
        <v>32.168000000000021</v>
      </c>
      <c r="E31" s="11">
        <f>'Ind T2'!E21</f>
        <v>33.855000000000089</v>
      </c>
      <c r="F31" s="11">
        <f>'Ind T2'!F21</f>
        <v>35.682999999999957</v>
      </c>
      <c r="H31" s="11">
        <f t="shared" si="9"/>
        <v>-5.9470000000000454</v>
      </c>
      <c r="I31" s="31">
        <f t="shared" si="10"/>
        <v>-2.1260000000000119</v>
      </c>
      <c r="J31" s="11">
        <f t="shared" si="11"/>
        <v>1.6870000000000687</v>
      </c>
      <c r="K31" s="11">
        <f t="shared" si="12"/>
        <v>1.827999999999868</v>
      </c>
      <c r="L31" s="31">
        <f t="shared" si="4"/>
        <v>3.5149999999999366</v>
      </c>
    </row>
    <row r="32" spans="1:12" ht="13" x14ac:dyDescent="0.3">
      <c r="A32" s="10" t="str">
        <f>'Ind T2'!A25</f>
        <v>Arts and entertainment</v>
      </c>
      <c r="B32" s="11">
        <f>'Ind T2'!B25</f>
        <v>11.902000000000012</v>
      </c>
      <c r="C32" s="11">
        <f>'Ind T2'!C25</f>
        <v>12.170000000000012</v>
      </c>
      <c r="D32" s="11">
        <f>'Ind T2'!D25</f>
        <v>11.910000000000011</v>
      </c>
      <c r="E32" s="11">
        <f>'Ind T2'!E25</f>
        <v>11.284999999999984</v>
      </c>
      <c r="F32" s="11">
        <f>'Ind T2'!F25</f>
        <v>11.952999999999991</v>
      </c>
      <c r="H32" s="11">
        <f t="shared" ref="H32" si="13">C32-B32</f>
        <v>0.26800000000000068</v>
      </c>
      <c r="I32" s="31">
        <f t="shared" ref="I32:I33" si="14">D32-C32</f>
        <v>-0.26000000000000156</v>
      </c>
      <c r="J32" s="11">
        <f t="shared" ref="J32:J33" si="15">E32-D32</f>
        <v>-0.62500000000002665</v>
      </c>
      <c r="K32" s="11">
        <f t="shared" ref="K32:K33" si="16">F32-E32</f>
        <v>0.66800000000000637</v>
      </c>
      <c r="L32" s="31">
        <f t="shared" si="4"/>
        <v>4.2999999999979721E-2</v>
      </c>
    </row>
    <row r="33" spans="1:12" ht="13" x14ac:dyDescent="0.3">
      <c r="A33" s="10" t="str">
        <f>'Ind T2'!A26</f>
        <v>Other services</v>
      </c>
      <c r="B33" s="11">
        <f>'Ind T2'!B26</f>
        <v>16.423999999999999</v>
      </c>
      <c r="C33" s="11">
        <f>'Ind T2'!C26</f>
        <v>13.682000000000006</v>
      </c>
      <c r="D33" s="11">
        <f>'Ind T2'!D26</f>
        <v>12.947000000000006</v>
      </c>
      <c r="E33" s="11">
        <f>'Ind T2'!E26</f>
        <v>12.604000000000022</v>
      </c>
      <c r="F33" s="11">
        <f>'Ind T2'!F26</f>
        <v>12.594999999999967</v>
      </c>
      <c r="H33" s="11">
        <f>C33-B33</f>
        <v>-2.7419999999999938</v>
      </c>
      <c r="I33" s="31">
        <f t="shared" si="14"/>
        <v>-0.73499999999999943</v>
      </c>
      <c r="J33" s="11">
        <f t="shared" si="15"/>
        <v>-0.34299999999998398</v>
      </c>
      <c r="K33" s="11">
        <f t="shared" si="16"/>
        <v>-9.0000000000554081E-3</v>
      </c>
      <c r="L33" s="31">
        <f t="shared" si="4"/>
        <v>-0.35200000000003939</v>
      </c>
    </row>
    <row r="34" spans="1:12" ht="13" x14ac:dyDescent="0.3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ht="13" x14ac:dyDescent="0.3">
      <c r="A35" s="30" t="str">
        <f>'Ind T1'!A12</f>
        <v>Non-marketed services</v>
      </c>
      <c r="B35" s="31">
        <f>'Ind T1'!B12</f>
        <v>121.68000000000023</v>
      </c>
      <c r="C35" s="31">
        <f>'Ind T1'!C12</f>
        <v>132.68899999999999</v>
      </c>
      <c r="D35" s="31">
        <f>'Ind T1'!D12</f>
        <v>132.11400000000006</v>
      </c>
      <c r="E35" s="31">
        <f>'Ind T1'!E12</f>
        <v>138.34700000000004</v>
      </c>
      <c r="F35" s="31">
        <f>'Ind T1'!F12</f>
        <v>146.59199999999998</v>
      </c>
      <c r="H35" s="31">
        <f t="shared" si="0"/>
        <v>11.008999999999759</v>
      </c>
      <c r="I35" s="31">
        <f t="shared" si="1"/>
        <v>-0.57499999999993179</v>
      </c>
      <c r="J35" s="31">
        <f t="shared" si="2"/>
        <v>6.2329999999999757</v>
      </c>
      <c r="K35" s="31">
        <f t="shared" si="3"/>
        <v>8.2449999999999477</v>
      </c>
      <c r="L35" s="31">
        <f t="shared" si="4"/>
        <v>14.477999999999923</v>
      </c>
    </row>
    <row r="36" spans="1:12" ht="13" x14ac:dyDescent="0.3">
      <c r="A36" s="10" t="str">
        <f>'Ind T2'!A22</f>
        <v>Public admin. and defence</v>
      </c>
      <c r="B36" s="32">
        <f>'Ind T2'!B22</f>
        <v>16.002999999999975</v>
      </c>
      <c r="C36" s="32">
        <f>'Ind T2'!C22</f>
        <v>15.454000000000013</v>
      </c>
      <c r="D36" s="32">
        <f>'Ind T2'!D22</f>
        <v>15.280999999999985</v>
      </c>
      <c r="E36" s="32">
        <f>'Ind T2'!E22</f>
        <v>15.55399999999999</v>
      </c>
      <c r="F36" s="32">
        <f>'Ind T2'!F22</f>
        <v>16.224999999999966</v>
      </c>
      <c r="H36" s="11">
        <f t="shared" si="0"/>
        <v>-0.54899999999996218</v>
      </c>
      <c r="I36" s="31">
        <f t="shared" si="1"/>
        <v>-0.17300000000002846</v>
      </c>
      <c r="J36" s="11">
        <f t="shared" si="2"/>
        <v>0.27300000000000502</v>
      </c>
      <c r="K36" s="11">
        <f t="shared" si="3"/>
        <v>0.67099999999997628</v>
      </c>
      <c r="L36" s="31">
        <f t="shared" si="4"/>
        <v>0.9439999999999813</v>
      </c>
    </row>
    <row r="37" spans="1:12" ht="13" x14ac:dyDescent="0.3">
      <c r="A37" s="10" t="str">
        <f>'Ind T2'!A23</f>
        <v>Education</v>
      </c>
      <c r="B37" s="32">
        <f>'Ind T2'!B23</f>
        <v>44.810000000000123</v>
      </c>
      <c r="C37" s="32">
        <f>'Ind T2'!C23</f>
        <v>44.405000000000058</v>
      </c>
      <c r="D37" s="32">
        <f>'Ind T2'!D23</f>
        <v>45.063000000000045</v>
      </c>
      <c r="E37" s="32">
        <f>'Ind T2'!E23</f>
        <v>46.277999999999977</v>
      </c>
      <c r="F37" s="32">
        <f>'Ind T2'!F23</f>
        <v>49.163999999999959</v>
      </c>
      <c r="H37" s="11">
        <f t="shared" si="0"/>
        <v>-0.40500000000006509</v>
      </c>
      <c r="I37" s="31">
        <f t="shared" si="1"/>
        <v>0.65799999999998704</v>
      </c>
      <c r="J37" s="11">
        <f t="shared" si="2"/>
        <v>1.2149999999999324</v>
      </c>
      <c r="K37" s="11">
        <f t="shared" si="3"/>
        <v>2.8859999999999815</v>
      </c>
      <c r="L37" s="31">
        <f t="shared" si="4"/>
        <v>4.1009999999999138</v>
      </c>
    </row>
    <row r="38" spans="1:12" ht="13" x14ac:dyDescent="0.3">
      <c r="A38" s="10" t="str">
        <f>'Ind T2'!A24</f>
        <v>Health and social work</v>
      </c>
      <c r="B38" s="32">
        <f>'Ind T2'!B24</f>
        <v>60.867000000000125</v>
      </c>
      <c r="C38" s="32">
        <f>'Ind T2'!C24</f>
        <v>72.829999999999927</v>
      </c>
      <c r="D38" s="32">
        <f>'Ind T2'!D24</f>
        <v>71.770000000000039</v>
      </c>
      <c r="E38" s="32">
        <f>'Ind T2'!E24</f>
        <v>76.515000000000086</v>
      </c>
      <c r="F38" s="32">
        <f>'Ind T2'!F24</f>
        <v>81.203000000000074</v>
      </c>
      <c r="H38" s="11">
        <f t="shared" si="0"/>
        <v>11.962999999999802</v>
      </c>
      <c r="I38" s="31">
        <f t="shared" si="1"/>
        <v>-1.0599999999998886</v>
      </c>
      <c r="J38" s="11">
        <f t="shared" si="2"/>
        <v>4.7450000000000472</v>
      </c>
      <c r="K38" s="11">
        <f t="shared" si="3"/>
        <v>4.6879999999999882</v>
      </c>
      <c r="L38" s="31">
        <f t="shared" si="4"/>
        <v>9.4330000000000354</v>
      </c>
    </row>
    <row r="39" spans="1:12" ht="13" x14ac:dyDescent="0.3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ht="13" x14ac:dyDescent="0.3">
      <c r="A40" s="39" t="str">
        <f>'Ind T1'!A14</f>
        <v>All industries</v>
      </c>
      <c r="B40" s="33">
        <f>'Ind T1'!B14</f>
        <v>505.56199999999995</v>
      </c>
      <c r="C40" s="33">
        <f>'Ind T1'!C14</f>
        <v>509.93099999999993</v>
      </c>
      <c r="D40" s="33">
        <f>'Ind T1'!D14</f>
        <v>496.19400000000019</v>
      </c>
      <c r="E40" s="33">
        <f>'Ind T1'!E14</f>
        <v>508.12800000000038</v>
      </c>
      <c r="F40" s="33">
        <f>'Ind T1'!F14</f>
        <v>521.94399999999951</v>
      </c>
      <c r="G40" s="24"/>
      <c r="H40" s="34">
        <f t="shared" si="0"/>
        <v>4.3689999999999714</v>
      </c>
      <c r="I40" s="34">
        <f>D40-C40</f>
        <v>-13.736999999999739</v>
      </c>
      <c r="J40" s="34">
        <f>E40-D40</f>
        <v>11.934000000000196</v>
      </c>
      <c r="K40" s="34">
        <f>F40-E40</f>
        <v>13.815999999999121</v>
      </c>
      <c r="L40" s="205">
        <f t="shared" si="4"/>
        <v>25.749999999999318</v>
      </c>
    </row>
    <row r="44" spans="1:12" ht="15.5" x14ac:dyDescent="0.35">
      <c r="A44" s="19" t="str">
        <f>CONCATENATE(A1," (Continued)")</f>
        <v>Industry Table 4  Employment by Industry Group in Sector (SIC 2007), 2015-2035, Black Country (Continued)</v>
      </c>
    </row>
    <row r="46" spans="1:12" x14ac:dyDescent="0.25">
      <c r="L46" s="16" t="s">
        <v>21</v>
      </c>
    </row>
    <row r="47" spans="1:12" ht="13" x14ac:dyDescent="0.3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ht="13" x14ac:dyDescent="0.3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ht="13" x14ac:dyDescent="0.3">
      <c r="A50" s="30" t="str">
        <f>A7</f>
        <v>Primary sector and utilities</v>
      </c>
      <c r="B50" s="44">
        <f>IF(AND(C$5-B$5 &lt;&gt; 0,B7&lt;&gt;0,C7&lt;&gt;0),(EXP(LN(C7/B7)/(C$5-B$5))-1)*100,0)</f>
        <v>-9.4003199917863434</v>
      </c>
      <c r="C50" s="44">
        <f t="shared" ref="B50:E54" si="17">IF(AND(D$5-C$5 &lt;&gt; 0,C7&lt;&gt;0,D7&lt;&gt;0),(EXP(LN(D7/C7)/(D$5-C$5))-1)*100,0)</f>
        <v>-17.57547390592098</v>
      </c>
      <c r="D50" s="44">
        <f t="shared" si="17"/>
        <v>0.13026777305011894</v>
      </c>
      <c r="E50" s="44">
        <f t="shared" si="17"/>
        <v>7.5903822684342259E-2</v>
      </c>
      <c r="F50" s="44">
        <f>IF(AND(F$5-D$5 &lt;&gt; 0,D7&lt;&gt;0,F7&lt;&gt;0),(EXP(LN(F7/D7)/(F$5-D$5))-1)*100,0)</f>
        <v>9.4021859132298324E-2</v>
      </c>
      <c r="H50" s="44">
        <f>(B7/B$40)*100</f>
        <v>2.5088910954541648</v>
      </c>
      <c r="I50" s="44">
        <f>(C7/C$40)*100</f>
        <v>1.6759130156825148</v>
      </c>
      <c r="J50" s="44">
        <f>(D7/D$40)*100</f>
        <v>1.4196060411855025</v>
      </c>
      <c r="K50" s="44">
        <f>(E7/E$40)*100</f>
        <v>1.3953177152213603</v>
      </c>
      <c r="L50" s="44">
        <f>(F7/F$40)*100</f>
        <v>1.3687292123292913</v>
      </c>
    </row>
    <row r="51" spans="1:12" ht="13" x14ac:dyDescent="0.3">
      <c r="A51" t="str">
        <f>A8</f>
        <v>Agriculture</v>
      </c>
      <c r="B51" s="40">
        <f t="shared" si="17"/>
        <v>-6.2949747366430886</v>
      </c>
      <c r="C51" s="44">
        <f t="shared" si="17"/>
        <v>-51.224846894138253</v>
      </c>
      <c r="D51" s="40">
        <f t="shared" si="17"/>
        <v>1.6823443259135207</v>
      </c>
      <c r="E51" s="40">
        <f t="shared" si="17"/>
        <v>2.4724947565291089E-2</v>
      </c>
      <c r="F51" s="44">
        <f t="shared" ref="F51:F83" si="18">IF(AND(F$5-D$5 &lt;&gt; 0,D8&lt;&gt;0,F8&lt;&gt;0),(EXP(LN(F8/D8)/(F$5-D$5))-1)*100,0)</f>
        <v>0.5742402872390695</v>
      </c>
      <c r="H51" s="40">
        <f t="shared" ref="H51:L54" si="19">(B8/B$7)*100</f>
        <v>23.375906654052375</v>
      </c>
      <c r="I51" s="40">
        <f t="shared" si="19"/>
        <v>26.749356424058053</v>
      </c>
      <c r="J51" s="40">
        <f t="shared" si="19"/>
        <v>15.829074389551408</v>
      </c>
      <c r="K51" s="40">
        <f t="shared" si="19"/>
        <v>17.094499294781393</v>
      </c>
      <c r="L51" s="40">
        <f t="shared" si="19"/>
        <v>17.00727883538632</v>
      </c>
    </row>
    <row r="52" spans="1:12" ht="13" x14ac:dyDescent="0.3">
      <c r="A52" t="str">
        <f>A9</f>
        <v>Mining and quarrying</v>
      </c>
      <c r="B52" s="40">
        <f>IF(AND(C$5-B$5 &lt;&gt; 0,B9&lt;&gt;0,C9&lt;&gt;0),(EXP(LN(C9/B9)/(C$5-B$5))-1)*100,0)</f>
        <v>-2.7335093503809249</v>
      </c>
      <c r="C52" s="44">
        <f t="shared" si="17"/>
        <v>6.8965517241381447</v>
      </c>
      <c r="D52" s="40">
        <f t="shared" si="17"/>
        <v>-6.7993459798907363</v>
      </c>
      <c r="E52" s="40">
        <f t="shared" si="17"/>
        <v>-5.3345714789729382</v>
      </c>
      <c r="F52" s="44">
        <f t="shared" si="18"/>
        <v>-5.8253698205932185</v>
      </c>
      <c r="H52" s="40">
        <f t="shared" si="19"/>
        <v>1.2771996215704862</v>
      </c>
      <c r="I52" s="40">
        <f t="shared" si="19"/>
        <v>1.6967002106248523</v>
      </c>
      <c r="J52" s="40">
        <f t="shared" si="19"/>
        <v>2.2004542873367452</v>
      </c>
      <c r="K52" s="40">
        <f t="shared" si="19"/>
        <v>1.53737658674189</v>
      </c>
      <c r="L52" s="40">
        <f t="shared" si="19"/>
        <v>0.8818589025755883</v>
      </c>
    </row>
    <row r="53" spans="1:12" ht="13" x14ac:dyDescent="0.3">
      <c r="A53" t="str">
        <f>A10</f>
        <v>Electricity and gas</v>
      </c>
      <c r="B53" s="40">
        <f t="shared" si="17"/>
        <v>-24.375251739496395</v>
      </c>
      <c r="C53" s="44">
        <f t="shared" si="17"/>
        <v>15.330602691632444</v>
      </c>
      <c r="D53" s="40">
        <f t="shared" si="17"/>
        <v>-1.1951485565641518</v>
      </c>
      <c r="E53" s="40">
        <f t="shared" si="17"/>
        <v>-0.20665256504541762</v>
      </c>
      <c r="F53" s="44">
        <f t="shared" si="18"/>
        <v>-0.53724519762726741</v>
      </c>
      <c r="H53" s="40">
        <f t="shared" si="19"/>
        <v>41.193629769788807</v>
      </c>
      <c r="I53" s="40">
        <f t="shared" si="19"/>
        <v>19.997659723847409</v>
      </c>
      <c r="J53" s="40">
        <f t="shared" si="19"/>
        <v>27.981260647359456</v>
      </c>
      <c r="K53" s="40">
        <f t="shared" si="19"/>
        <v>26.177715091678404</v>
      </c>
      <c r="L53" s="40">
        <f t="shared" si="19"/>
        <v>25.447928331467057</v>
      </c>
    </row>
    <row r="54" spans="1:12" ht="13" x14ac:dyDescent="0.3">
      <c r="A54" t="str">
        <f>A11</f>
        <v>Water and sewerage</v>
      </c>
      <c r="B54" s="40">
        <f t="shared" si="17"/>
        <v>0.42434578880083951</v>
      </c>
      <c r="C54" s="44">
        <f t="shared" si="17"/>
        <v>-13.685882886972411</v>
      </c>
      <c r="D54" s="40">
        <f t="shared" si="17"/>
        <v>0.57191149061974755</v>
      </c>
      <c r="E54" s="40">
        <f t="shared" si="17"/>
        <v>0.3397617738247094</v>
      </c>
      <c r="F54" s="44">
        <f t="shared" si="18"/>
        <v>0.41708541045613057</v>
      </c>
      <c r="H54" s="40">
        <f t="shared" si="19"/>
        <v>34.153263954588333</v>
      </c>
      <c r="I54" s="40">
        <f t="shared" si="19"/>
        <v>51.556283641469683</v>
      </c>
      <c r="J54" s="40">
        <f t="shared" si="19"/>
        <v>53.989210675752396</v>
      </c>
      <c r="K54" s="40">
        <f t="shared" si="19"/>
        <v>55.190409026798307</v>
      </c>
      <c r="L54" s="40">
        <f t="shared" si="19"/>
        <v>56.662933930571036</v>
      </c>
    </row>
    <row r="55" spans="1:12" ht="13" x14ac:dyDescent="0.3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ht="13" x14ac:dyDescent="0.3">
      <c r="A56" s="30" t="str">
        <f>A13</f>
        <v>Manufacturing</v>
      </c>
      <c r="B56" s="44">
        <f t="shared" ref="B56:E59" si="20">IF(AND(C$5-B$5 &lt;&gt; 0,B13&lt;&gt;0,C13&lt;&gt;0),(EXP(LN(C13/B13)/(C$5-B$5))-1)*100,0)</f>
        <v>0.22716285343247211</v>
      </c>
      <c r="C56" s="44">
        <f t="shared" si="20"/>
        <v>-7.8025546655118294</v>
      </c>
      <c r="D56" s="44">
        <f t="shared" si="20"/>
        <v>-0.43967326985788757</v>
      </c>
      <c r="E56" s="44">
        <f t="shared" si="20"/>
        <v>-0.93400042837517017</v>
      </c>
      <c r="F56" s="44">
        <f t="shared" si="18"/>
        <v>-0.76949802181702776</v>
      </c>
      <c r="H56" s="44">
        <f>(B13/B$40)*100</f>
        <v>13.580727981928991</v>
      </c>
      <c r="I56" s="44">
        <f>(C13/C$40)*100</f>
        <v>13.587132376733308</v>
      </c>
      <c r="J56" s="44">
        <f>(D13/D$40)*100</f>
        <v>12.873795330052362</v>
      </c>
      <c r="K56" s="44">
        <f>(E13/E$40)*100</f>
        <v>12.297491970527108</v>
      </c>
      <c r="L56" s="44">
        <f>(F13/F$40)*100</f>
        <v>10.899636742639061</v>
      </c>
    </row>
    <row r="57" spans="1:12" ht="13" x14ac:dyDescent="0.3">
      <c r="A57" t="str">
        <f>A14</f>
        <v>Food drink and tobacco</v>
      </c>
      <c r="B57" s="40">
        <f t="shared" si="20"/>
        <v>-2.479463338223431</v>
      </c>
      <c r="C57" s="44">
        <f t="shared" si="20"/>
        <v>-0.70955534531682574</v>
      </c>
      <c r="D57" s="40">
        <f t="shared" si="20"/>
        <v>0.12356277608251975</v>
      </c>
      <c r="E57" s="40">
        <f t="shared" si="20"/>
        <v>-0.23446601557616242</v>
      </c>
      <c r="F57" s="44">
        <f t="shared" si="18"/>
        <v>-0.11526556315363257</v>
      </c>
      <c r="H57" s="40">
        <f t="shared" ref="H57:L59" si="21">(B14/B$13)*100</f>
        <v>10.212790748481627</v>
      </c>
      <c r="I57" s="40">
        <f t="shared" si="21"/>
        <v>9.1534964277982311</v>
      </c>
      <c r="J57" s="40">
        <f t="shared" si="21"/>
        <v>9.8576997135208728</v>
      </c>
      <c r="K57" s="40">
        <f t="shared" si="21"/>
        <v>10.139709059484366</v>
      </c>
      <c r="L57" s="40">
        <f t="shared" si="21"/>
        <v>10.878889084197548</v>
      </c>
    </row>
    <row r="58" spans="1:12" ht="13" x14ac:dyDescent="0.3">
      <c r="A58" t="str">
        <f>A15</f>
        <v>Engineering</v>
      </c>
      <c r="B58" s="40">
        <f t="shared" si="20"/>
        <v>4.0790522821526842</v>
      </c>
      <c r="C58" s="44">
        <f t="shared" si="20"/>
        <v>-9.20778743724766</v>
      </c>
      <c r="D58" s="40">
        <f t="shared" si="20"/>
        <v>1.1930391085658298</v>
      </c>
      <c r="E58" s="40">
        <f t="shared" si="20"/>
        <v>-1.0343882860529341</v>
      </c>
      <c r="F58" s="44">
        <f t="shared" si="18"/>
        <v>-0.29741418690557575</v>
      </c>
      <c r="H58" s="40">
        <f t="shared" si="21"/>
        <v>10.137054137112431</v>
      </c>
      <c r="I58" s="40">
        <f t="shared" si="21"/>
        <v>11.787544201486625</v>
      </c>
      <c r="J58" s="40">
        <f t="shared" si="21"/>
        <v>11.607883655035263</v>
      </c>
      <c r="K58" s="40">
        <f t="shared" si="21"/>
        <v>12.591419015155161</v>
      </c>
      <c r="L58" s="40">
        <f t="shared" si="21"/>
        <v>12.464404992090007</v>
      </c>
    </row>
    <row r="59" spans="1:12" ht="13" x14ac:dyDescent="0.3">
      <c r="A59" t="str">
        <f>A16</f>
        <v>Rest of manufacturing</v>
      </c>
      <c r="B59" s="40">
        <f t="shared" si="20"/>
        <v>4.0661279454745625E-2</v>
      </c>
      <c r="C59" s="44">
        <f t="shared" si="20"/>
        <v>-8.4142690229295098</v>
      </c>
      <c r="D59" s="40">
        <f t="shared" si="20"/>
        <v>-0.76263523090425167</v>
      </c>
      <c r="E59" s="40">
        <f t="shared" si="20"/>
        <v>-1.0127671219584244</v>
      </c>
      <c r="F59" s="44">
        <f t="shared" si="18"/>
        <v>-0.92945995550866023</v>
      </c>
      <c r="H59" s="40">
        <f t="shared" si="21"/>
        <v>79.650155114405948</v>
      </c>
      <c r="I59" s="40">
        <f t="shared" si="21"/>
        <v>79.058959370715158</v>
      </c>
      <c r="J59" s="40">
        <f t="shared" si="21"/>
        <v>78.534416631443875</v>
      </c>
      <c r="K59" s="40">
        <f t="shared" si="21"/>
        <v>77.268871925360472</v>
      </c>
      <c r="L59" s="40">
        <f t="shared" si="21"/>
        <v>76.656705923712437</v>
      </c>
    </row>
    <row r="60" spans="1:12" ht="13" x14ac:dyDescent="0.3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ht="13" x14ac:dyDescent="0.3">
      <c r="A61" s="30" t="str">
        <f>A18</f>
        <v>Construction</v>
      </c>
      <c r="B61" s="44">
        <f>IF(AND(C$5-B$5 &lt;&gt; 0,B18&lt;&gt;0,C18&lt;&gt;0),(EXP(LN(C18/B18)/(C$5-B$5))-1)*100,0)</f>
        <v>5.3160029551780674</v>
      </c>
      <c r="C61" s="44">
        <f>IF(AND(D$5-C$5 &lt;&gt; 0,C18&lt;&gt;0,D18&lt;&gt;0),(EXP(LN(D18/C18)/(D$5-C$5))-1)*100,0)</f>
        <v>-5.2719129878438746</v>
      </c>
      <c r="D61" s="44">
        <f>IF(AND(E$5-D$5 &lt;&gt; 0,D18&lt;&gt;0,E18&lt;&gt;0),(EXP(LN(E18/D18)/(E$5-D$5))-1)*100,0)</f>
        <v>-6.0047756904824112E-2</v>
      </c>
      <c r="E61" s="44">
        <f>IF(AND(F$5-E$5 &lt;&gt; 0,E18&lt;&gt;0,F18&lt;&gt;0),(EXP(LN(F18/E18)/(F$5-E$5))-1)*100,0)</f>
        <v>0.14697554040974392</v>
      </c>
      <c r="F61" s="44">
        <f t="shared" si="18"/>
        <v>7.7920169124223726E-2</v>
      </c>
      <c r="H61" s="44">
        <f>(B18/B$40)*100</f>
        <v>6.2827111214845992</v>
      </c>
      <c r="I61" s="44">
        <f>(C18/C$40)*100</f>
        <v>7.662801437841571</v>
      </c>
      <c r="J61" s="44">
        <f>(D18/D$40)*100</f>
        <v>7.4597838748553773</v>
      </c>
      <c r="K61" s="44">
        <f>(E18/E$40)*100</f>
        <v>7.2627369481705246</v>
      </c>
      <c r="L61" s="44">
        <f>(F18/F$40)*100</f>
        <v>7.1750992443633725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-0.1224871041336506</v>
      </c>
      <c r="C63" s="44">
        <f t="shared" si="22"/>
        <v>-1.3523461569920348</v>
      </c>
      <c r="D63" s="44">
        <f t="shared" si="22"/>
        <v>0.7200495444993793</v>
      </c>
      <c r="E63" s="44">
        <f t="shared" si="22"/>
        <v>0.38947607086927682</v>
      </c>
      <c r="F63" s="44">
        <f t="shared" si="18"/>
        <v>0.49954649968431131</v>
      </c>
      <c r="H63" s="44">
        <f>(B20/B$40)*100</f>
        <v>29.161408491935681</v>
      </c>
      <c r="I63" s="44">
        <f>(C20/C$40)*100</f>
        <v>28.7701669441552</v>
      </c>
      <c r="J63" s="44">
        <f>(D20/D$40)*100</f>
        <v>29.166817817224739</v>
      </c>
      <c r="K63" s="44">
        <f>(E20/E$40)*100</f>
        <v>29.522088922476264</v>
      </c>
      <c r="L63" s="44">
        <f>(F20/F$40)*100</f>
        <v>29.879833851907456</v>
      </c>
    </row>
    <row r="64" spans="1:12" ht="13" x14ac:dyDescent="0.3">
      <c r="A64" t="str">
        <f>A21</f>
        <v>Wholesale and retail trade</v>
      </c>
      <c r="B64" s="40">
        <f t="shared" si="22"/>
        <v>-0.96594010595912883</v>
      </c>
      <c r="C64" s="44">
        <f t="shared" si="22"/>
        <v>-1.6779584462509267</v>
      </c>
      <c r="D64" s="40">
        <f t="shared" si="22"/>
        <v>0.1842202066080656</v>
      </c>
      <c r="E64" s="40">
        <f t="shared" si="22"/>
        <v>0.10915852189887776</v>
      </c>
      <c r="F64" s="44">
        <f t="shared" si="18"/>
        <v>0.13417283261338842</v>
      </c>
      <c r="H64" s="40">
        <f t="shared" ref="H64:L66" si="23">(B21/B$20)*100</f>
        <v>62.447686683081336</v>
      </c>
      <c r="I64" s="40">
        <f t="shared" si="23"/>
        <v>60.364806281866009</v>
      </c>
      <c r="J64" s="40">
        <f t="shared" si="23"/>
        <v>60.16555650755928</v>
      </c>
      <c r="K64" s="40">
        <f t="shared" si="23"/>
        <v>58.582094527031522</v>
      </c>
      <c r="L64" s="40">
        <f t="shared" si="23"/>
        <v>56.966708558824187</v>
      </c>
    </row>
    <row r="65" spans="1:12" ht="13" x14ac:dyDescent="0.3">
      <c r="A65" t="str">
        <f>A22</f>
        <v>Transport and storage</v>
      </c>
      <c r="B65" s="40">
        <f>IF(AND(C$5-B$5 &lt;&gt; 0,B22&lt;&gt;0,C22&lt;&gt;0),(EXP(LN(C22/B22)/(C$5-B$5))-1)*100,0)</f>
        <v>0.53077430073900089</v>
      </c>
      <c r="C65" s="44">
        <f t="shared" si="22"/>
        <v>-3.5847013724288557</v>
      </c>
      <c r="D65" s="40">
        <f t="shared" si="22"/>
        <v>1.7671907993296987</v>
      </c>
      <c r="E65" s="40">
        <f t="shared" si="22"/>
        <v>0.48877448295605586</v>
      </c>
      <c r="F65" s="44">
        <f t="shared" si="18"/>
        <v>0.91311881014868312</v>
      </c>
      <c r="H65" s="40">
        <f t="shared" si="23"/>
        <v>22.693635580516741</v>
      </c>
      <c r="I65" s="40">
        <f t="shared" si="23"/>
        <v>23.293208277667237</v>
      </c>
      <c r="J65" s="40">
        <f t="shared" si="23"/>
        <v>22.76609270058864</v>
      </c>
      <c r="K65" s="40">
        <f t="shared" si="23"/>
        <v>23.9744017065529</v>
      </c>
      <c r="L65" s="40">
        <f t="shared" si="23"/>
        <v>24.212598425196937</v>
      </c>
    </row>
    <row r="66" spans="1:12" ht="13" x14ac:dyDescent="0.3">
      <c r="A66" t="str">
        <f>A23</f>
        <v>Accommodation and food</v>
      </c>
      <c r="B66" s="40">
        <f t="shared" si="22"/>
        <v>2.2819226552231564</v>
      </c>
      <c r="C66" s="44">
        <f t="shared" si="22"/>
        <v>3.03232533889497</v>
      </c>
      <c r="D66" s="40">
        <f t="shared" si="22"/>
        <v>1.1589617761399662</v>
      </c>
      <c r="E66" s="40">
        <f t="shared" si="22"/>
        <v>1.1552380457874545</v>
      </c>
      <c r="F66" s="44">
        <f t="shared" si="18"/>
        <v>1.1564792740077046</v>
      </c>
      <c r="H66" s="40">
        <f t="shared" si="23"/>
        <v>14.858677736401917</v>
      </c>
      <c r="I66" s="40">
        <f t="shared" si="23"/>
        <v>16.341985440466747</v>
      </c>
      <c r="J66" s="40">
        <f t="shared" si="23"/>
        <v>17.068350791852076</v>
      </c>
      <c r="K66" s="40">
        <f t="shared" si="23"/>
        <v>17.443503766415578</v>
      </c>
      <c r="L66" s="40">
        <f t="shared" si="23"/>
        <v>18.820693015978883</v>
      </c>
    </row>
    <row r="67" spans="1:12" ht="13" x14ac:dyDescent="0.3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ht="13" x14ac:dyDescent="0.3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-2.0308832035628277</v>
      </c>
      <c r="C68" s="44">
        <f t="shared" si="24"/>
        <v>-1.9449431478157364</v>
      </c>
      <c r="D68" s="44">
        <f t="shared" si="24"/>
        <v>0.33379603338987707</v>
      </c>
      <c r="E68" s="44">
        <f t="shared" si="24"/>
        <v>0.40067738054005986</v>
      </c>
      <c r="F68" s="44">
        <f t="shared" si="18"/>
        <v>0.37837864603122995</v>
      </c>
      <c r="H68" s="44">
        <f>(B25/B$40)*100</f>
        <v>24.397996684877448</v>
      </c>
      <c r="I68" s="44">
        <f>(C25/C$40)*100</f>
        <v>22.283014760820603</v>
      </c>
      <c r="J68" s="44">
        <f>(D25/D$40)*100</f>
        <v>22.454523835435332</v>
      </c>
      <c r="K68" s="44">
        <f>(E25/E$40)*100</f>
        <v>22.295563322627366</v>
      </c>
      <c r="L68" s="44">
        <f>(F25/F$40)*100</f>
        <v>22.590929295096814</v>
      </c>
    </row>
    <row r="69" spans="1:12" ht="13" x14ac:dyDescent="0.3">
      <c r="A69" t="str">
        <f>A26</f>
        <v>Media</v>
      </c>
      <c r="B69" s="40">
        <f t="shared" si="24"/>
        <v>1.6702170268478422</v>
      </c>
      <c r="C69" s="44">
        <f t="shared" si="24"/>
        <v>15.616438356164464</v>
      </c>
      <c r="D69" s="40">
        <f t="shared" si="24"/>
        <v>-0.30517448932212421</v>
      </c>
      <c r="E69" s="40">
        <f t="shared" si="24"/>
        <v>0.1339348230253945</v>
      </c>
      <c r="F69" s="44">
        <f t="shared" si="18"/>
        <v>-1.2649425067379205E-2</v>
      </c>
      <c r="H69" s="40">
        <f t="shared" ref="H69:L71" si="25">(B26/B$25)*100</f>
        <v>1.3847114238692446</v>
      </c>
      <c r="I69" s="40">
        <f t="shared" si="25"/>
        <v>1.6061182103002754</v>
      </c>
      <c r="J69" s="40">
        <f t="shared" si="25"/>
        <v>1.8937694088926378</v>
      </c>
      <c r="K69" s="40">
        <f t="shared" si="25"/>
        <v>1.8342307352811393</v>
      </c>
      <c r="L69" s="40">
        <f t="shared" si="25"/>
        <v>1.7860777529004639</v>
      </c>
    </row>
    <row r="70" spans="1:12" ht="13" x14ac:dyDescent="0.3">
      <c r="A70" t="str">
        <f>A27</f>
        <v>Information technology</v>
      </c>
      <c r="B70" s="40">
        <f t="shared" si="24"/>
        <v>-0.55523428649665307</v>
      </c>
      <c r="C70" s="44">
        <f t="shared" si="24"/>
        <v>7.4913981857987144</v>
      </c>
      <c r="D70" s="40">
        <f t="shared" si="24"/>
        <v>0.79336387547530585</v>
      </c>
      <c r="E70" s="40">
        <f t="shared" si="24"/>
        <v>0.33069939042573715</v>
      </c>
      <c r="F70" s="44">
        <f t="shared" si="18"/>
        <v>0.48468443215556878</v>
      </c>
      <c r="H70" s="40">
        <f t="shared" si="25"/>
        <v>5.300493729073283</v>
      </c>
      <c r="I70" s="40">
        <f t="shared" si="25"/>
        <v>5.6271341570739715</v>
      </c>
      <c r="J70" s="40">
        <f t="shared" si="25"/>
        <v>6.1686621551275262</v>
      </c>
      <c r="K70" s="40">
        <f t="shared" si="25"/>
        <v>6.3112366493070589</v>
      </c>
      <c r="L70" s="40">
        <f t="shared" si="25"/>
        <v>6.2673858470723873</v>
      </c>
    </row>
    <row r="71" spans="1:12" ht="13" x14ac:dyDescent="0.3">
      <c r="A71" t="str">
        <f>A28</f>
        <v>Finance and insurance</v>
      </c>
      <c r="B71" s="40">
        <f t="shared" si="24"/>
        <v>0.15863961906084079</v>
      </c>
      <c r="C71" s="44">
        <f t="shared" si="24"/>
        <v>1.526643329443611</v>
      </c>
      <c r="D71" s="40">
        <f t="shared" si="24"/>
        <v>2.4889436561514877E-2</v>
      </c>
      <c r="E71" s="40">
        <f t="shared" si="24"/>
        <v>-0.38938108837730523</v>
      </c>
      <c r="F71" s="44">
        <f t="shared" si="18"/>
        <v>-0.25148190668479176</v>
      </c>
      <c r="H71" s="40">
        <f t="shared" si="25"/>
        <v>8.2847576349647838</v>
      </c>
      <c r="I71" s="40">
        <f t="shared" si="25"/>
        <v>9.0505861231386824</v>
      </c>
      <c r="J71" s="40">
        <f t="shared" si="25"/>
        <v>9.3710172503545301</v>
      </c>
      <c r="K71" s="40">
        <f t="shared" si="25"/>
        <v>9.2276458645952779</v>
      </c>
      <c r="L71" s="40">
        <f t="shared" si="25"/>
        <v>8.5266978763823893</v>
      </c>
    </row>
    <row r="72" spans="1:12" ht="13" x14ac:dyDescent="0.3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7.1627252564684163</v>
      </c>
      <c r="C72" s="44">
        <f t="shared" si="27"/>
        <v>0.54000981836039852</v>
      </c>
      <c r="D72" s="40">
        <f t="shared" si="27"/>
        <v>0.13246111591624921</v>
      </c>
      <c r="E72" s="40">
        <f t="shared" si="27"/>
        <v>0.86754756855971227</v>
      </c>
      <c r="F72" s="44">
        <f t="shared" si="18"/>
        <v>0.62192110201610973</v>
      </c>
      <c r="H72" s="40">
        <f t="shared" ref="H72:L72" si="28">(B29/B$25)*100</f>
        <v>6.2611980834556116</v>
      </c>
      <c r="I72" s="40">
        <f t="shared" si="28"/>
        <v>8.9634597106347034</v>
      </c>
      <c r="J72" s="40">
        <f t="shared" si="28"/>
        <v>9.1906155199339548</v>
      </c>
      <c r="K72" s="40">
        <f t="shared" si="28"/>
        <v>9.0987730602877335</v>
      </c>
      <c r="L72" s="40">
        <f t="shared" si="28"/>
        <v>9.5308365560757231</v>
      </c>
    </row>
    <row r="73" spans="1:12" ht="13" x14ac:dyDescent="0.3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-3.5003994953859308</v>
      </c>
      <c r="C73" s="44">
        <f t="shared" si="29"/>
        <v>-0.26216020004852236</v>
      </c>
      <c r="D73" s="40">
        <f t="shared" si="29"/>
        <v>0.66007855389249581</v>
      </c>
      <c r="E73" s="40">
        <f t="shared" si="29"/>
        <v>0.51124147170613643</v>
      </c>
      <c r="F73" s="44">
        <f t="shared" si="18"/>
        <v>0.56082936389392213</v>
      </c>
      <c r="H73" s="40">
        <f t="shared" ref="H73:L73" si="30">(B30/B$25)*100</f>
        <v>23.180134093249087</v>
      </c>
      <c r="I73" s="40">
        <f t="shared" si="30"/>
        <v>21.82032597599181</v>
      </c>
      <c r="J73" s="40">
        <f t="shared" si="30"/>
        <v>22.194797968012313</v>
      </c>
      <c r="K73" s="40">
        <f t="shared" si="30"/>
        <v>22.558036896460408</v>
      </c>
      <c r="L73" s="40">
        <f t="shared" si="30"/>
        <v>22.807687088676371</v>
      </c>
    </row>
    <row r="74" spans="1:12" ht="13" x14ac:dyDescent="0.3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-3.9190375559401081</v>
      </c>
      <c r="C74" s="44">
        <f t="shared" si="31"/>
        <v>-6.1993351606695395</v>
      </c>
      <c r="D74" s="40">
        <f t="shared" si="31"/>
        <v>1.0275338288977531</v>
      </c>
      <c r="E74" s="40">
        <f t="shared" si="31"/>
        <v>0.52726201894126579</v>
      </c>
      <c r="F74" s="44">
        <f t="shared" si="18"/>
        <v>0.69374342982506665</v>
      </c>
      <c r="H74" s="40">
        <f>(B31/B$25)*100</f>
        <v>32.624222721266058</v>
      </c>
      <c r="I74" s="40">
        <f t="shared" ref="I74:L74" si="32">(C31/C$25)*100</f>
        <v>30.180941317280958</v>
      </c>
      <c r="J74" s="40">
        <f t="shared" si="32"/>
        <v>28.871457035667497</v>
      </c>
      <c r="K74" s="40">
        <f t="shared" si="32"/>
        <v>29.883484861859007</v>
      </c>
      <c r="L74" s="40">
        <f t="shared" si="32"/>
        <v>30.262399077277934</v>
      </c>
    </row>
    <row r="75" spans="1:12" ht="13" x14ac:dyDescent="0.3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0.55823872213778269</v>
      </c>
      <c r="C75" s="44">
        <f t="shared" si="33"/>
        <v>-2.1364009860312394</v>
      </c>
      <c r="D75" s="40">
        <f t="shared" si="33"/>
        <v>-1.0722890125523299</v>
      </c>
      <c r="E75" s="40">
        <f t="shared" si="33"/>
        <v>0.57673557890083327</v>
      </c>
      <c r="F75" s="44">
        <f t="shared" si="18"/>
        <v>2.4028950014032269E-2</v>
      </c>
      <c r="H75" s="40">
        <f t="shared" ref="H75:L75" si="34">(B32/B$25)*100</f>
        <v>9.6492010344799635</v>
      </c>
      <c r="I75" s="40">
        <f t="shared" si="34"/>
        <v>10.710388284577748</v>
      </c>
      <c r="J75" s="40">
        <f t="shared" si="34"/>
        <v>10.689475668204427</v>
      </c>
      <c r="K75" s="40">
        <f t="shared" si="34"/>
        <v>9.9611616206196292</v>
      </c>
      <c r="L75" s="40">
        <f t="shared" si="34"/>
        <v>10.137220978356734</v>
      </c>
    </row>
    <row r="76" spans="1:12" ht="13" x14ac:dyDescent="0.3">
      <c r="A76" t="str">
        <f t="shared" si="26"/>
        <v>Other services</v>
      </c>
      <c r="B76" s="40">
        <f t="shared" ref="B76:E76" si="35">IF(AND(C$5-B$5 &lt;&gt; 0,B33&lt;&gt;0,C33&lt;&gt;0),(EXP(LN(C33/B33)/(C$5-B$5))-1)*100,0)</f>
        <v>-4.4638661215836484</v>
      </c>
      <c r="C76" s="44">
        <f t="shared" si="35"/>
        <v>-5.3720216342639908</v>
      </c>
      <c r="D76" s="40">
        <f t="shared" si="35"/>
        <v>-0.53555828922634552</v>
      </c>
      <c r="E76" s="40">
        <f t="shared" si="35"/>
        <v>-7.1428857883581998E-3</v>
      </c>
      <c r="F76" s="44">
        <f t="shared" si="18"/>
        <v>-0.18359253748903015</v>
      </c>
      <c r="H76" s="40">
        <f t="shared" ref="H76:L76" si="36">(B33/B$25)*100</f>
        <v>13.315281279641972</v>
      </c>
      <c r="I76" s="40">
        <f t="shared" si="36"/>
        <v>12.041046221001862</v>
      </c>
      <c r="J76" s="40">
        <f t="shared" si="36"/>
        <v>11.620204993807109</v>
      </c>
      <c r="K76" s="40">
        <f t="shared" si="36"/>
        <v>11.125430311589739</v>
      </c>
      <c r="L76" s="40">
        <f t="shared" si="36"/>
        <v>10.681694823257995</v>
      </c>
    </row>
    <row r="77" spans="1:12" ht="13" x14ac:dyDescent="0.3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ht="13" x14ac:dyDescent="0.3">
      <c r="A78" s="30" t="str">
        <f>A35</f>
        <v>Non-marketed services</v>
      </c>
      <c r="B78" s="44">
        <f t="shared" ref="B78:E79" si="37">IF(AND(C$5-B$5 &lt;&gt; 0,B35&lt;&gt;0,C35&lt;&gt;0),(EXP(LN(C35/B35)/(C$5-B$5))-1)*100,0)</f>
        <v>2.1889484105768631</v>
      </c>
      <c r="C78" s="44">
        <f t="shared" ref="C78:C83" si="38">IF(AND(D$5-C$5 &lt;&gt; 0,C35&lt;&gt;0,D35&lt;&gt;0),(EXP(LN(D35/C35)/(D$5-C$5))-1)*100,0)</f>
        <v>-0.4333441355349188</v>
      </c>
      <c r="D78" s="44">
        <f t="shared" si="37"/>
        <v>0.92626019532746628</v>
      </c>
      <c r="E78" s="44">
        <f t="shared" si="37"/>
        <v>0.58056071780008267</v>
      </c>
      <c r="F78" s="44">
        <f t="shared" si="18"/>
        <v>0.69566210813678531</v>
      </c>
      <c r="H78" s="44">
        <f>(B35/B$40)*100</f>
        <v>24.06826462431912</v>
      </c>
      <c r="I78" s="44">
        <f>(C35/C$40)*100</f>
        <v>26.020971464766806</v>
      </c>
      <c r="J78" s="44">
        <f>(D35/D$40)*100</f>
        <v>26.625473101246694</v>
      </c>
      <c r="K78" s="44">
        <f>(E35/E$40)*100</f>
        <v>27.226801120977377</v>
      </c>
      <c r="L78" s="44">
        <f>(F35/F$40)*100</f>
        <v>28.085771653664015</v>
      </c>
    </row>
    <row r="79" spans="1:12" ht="13" x14ac:dyDescent="0.3">
      <c r="A79" t="str">
        <f>A36</f>
        <v>Public admin. and defence</v>
      </c>
      <c r="B79" s="40">
        <f t="shared" si="37"/>
        <v>-0.86891133297999357</v>
      </c>
      <c r="C79" s="44">
        <f t="shared" si="38"/>
        <v>-1.1194512747510599</v>
      </c>
      <c r="D79" s="40">
        <f t="shared" si="37"/>
        <v>0.35478013312981727</v>
      </c>
      <c r="E79" s="40">
        <f t="shared" si="37"/>
        <v>0.423247395630999</v>
      </c>
      <c r="F79" s="44">
        <f t="shared" si="18"/>
        <v>0.40041978615537044</v>
      </c>
      <c r="H79" s="40">
        <f>(B36/B$35)*100</f>
        <v>13.151709401709354</v>
      </c>
      <c r="I79" s="40">
        <f t="shared" ref="I79:L81" si="39">(C36/C$35)*100</f>
        <v>11.64678307923039</v>
      </c>
      <c r="J79" s="40">
        <f t="shared" si="39"/>
        <v>11.566525879164946</v>
      </c>
      <c r="K79" s="40">
        <f t="shared" si="39"/>
        <v>11.242744692693</v>
      </c>
      <c r="L79" s="40">
        <f t="shared" si="39"/>
        <v>11.068134686749596</v>
      </c>
    </row>
    <row r="80" spans="1:12" ht="13" x14ac:dyDescent="0.3">
      <c r="A80" t="str">
        <f>A37</f>
        <v>Education</v>
      </c>
      <c r="B80" s="40">
        <f t="shared" ref="B80:E81" si="40">IF(AND(C$5-B$5 &lt;&gt; 0,B37&lt;&gt;0,C37&lt;&gt;0),(EXP(LN(C37/B37)/(C$5-B$5))-1)*100,0)</f>
        <v>-0.22672391936791048</v>
      </c>
      <c r="C80" s="44">
        <f t="shared" si="38"/>
        <v>1.4818151109109001</v>
      </c>
      <c r="D80" s="40">
        <f t="shared" si="40"/>
        <v>0.53352169493241508</v>
      </c>
      <c r="E80" s="40">
        <f t="shared" si="40"/>
        <v>0.60678313736965972</v>
      </c>
      <c r="F80" s="44">
        <f t="shared" si="18"/>
        <v>0.58235672652706683</v>
      </c>
      <c r="H80" s="40">
        <f>(B37/B$35)*100</f>
        <v>36.826101249178201</v>
      </c>
      <c r="I80" s="40">
        <f t="shared" si="39"/>
        <v>33.465471892922594</v>
      </c>
      <c r="J80" s="40">
        <f t="shared" si="39"/>
        <v>34.109178436804591</v>
      </c>
      <c r="K80" s="40">
        <f t="shared" si="39"/>
        <v>33.450671138513997</v>
      </c>
      <c r="L80" s="40">
        <f t="shared" si="39"/>
        <v>33.537982973149944</v>
      </c>
    </row>
    <row r="81" spans="1:12" ht="13" x14ac:dyDescent="0.3">
      <c r="A81" t="str">
        <f>A38</f>
        <v>Health and social work</v>
      </c>
      <c r="B81" s="40">
        <f>IF(AND(C$5-B$5 &lt;&gt; 0,B38&lt;&gt;0,C38&lt;&gt;0),(EXP(LN(C38/B38)/(C$5-B$5))-1)*100,0)</f>
        <v>4.5880590155708223</v>
      </c>
      <c r="C81" s="44">
        <f t="shared" si="38"/>
        <v>-1.4554441850884059</v>
      </c>
      <c r="D81" s="40">
        <f t="shared" si="40"/>
        <v>1.2886370519012535</v>
      </c>
      <c r="E81" s="40">
        <f t="shared" si="40"/>
        <v>0.59642549882938933</v>
      </c>
      <c r="F81" s="44">
        <f t="shared" si="18"/>
        <v>0.82663545718058007</v>
      </c>
      <c r="H81" s="40">
        <f>(B38/B$35)*100</f>
        <v>50.022189349112431</v>
      </c>
      <c r="I81" s="40">
        <f t="shared" si="39"/>
        <v>54.887745027847025</v>
      </c>
      <c r="J81" s="40">
        <f t="shared" si="39"/>
        <v>54.324295684030467</v>
      </c>
      <c r="K81" s="40">
        <f t="shared" si="39"/>
        <v>55.306584168793002</v>
      </c>
      <c r="L81" s="40">
        <f t="shared" si="39"/>
        <v>55.393882340100475</v>
      </c>
    </row>
    <row r="82" spans="1:12" ht="13" x14ac:dyDescent="0.3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ht="13" x14ac:dyDescent="0.3">
      <c r="A83" s="24" t="str">
        <f>A40</f>
        <v>All industries</v>
      </c>
      <c r="B83" s="43">
        <f>IF(AND(C$5-B$5 &lt;&gt; 0,B40&lt;&gt;0,C40&lt;&gt;0),(EXP(LN(C40/B40)/(C$5-B$5))-1)*100,0)</f>
        <v>0.21535006256829803</v>
      </c>
      <c r="C83" s="206">
        <f t="shared" si="38"/>
        <v>-2.6938938797601564</v>
      </c>
      <c r="D83" s="43">
        <f>IF(AND(E$5-D$5 &lt;&gt; 0,D40&lt;&gt;0,E40&lt;&gt;0),(EXP(LN(E40/D40)/(E$5-D$5))-1)*100,0)</f>
        <v>0.47645957720001686</v>
      </c>
      <c r="E83" s="43">
        <f>IF(AND(F$5-E$5 &lt;&gt; 0,E40&lt;&gt;0,F40&lt;&gt;0),(EXP(LN(F40/E40)/(F$5-E$5))-1)*100,0)</f>
        <v>0.26862934467042354</v>
      </c>
      <c r="F83" s="206">
        <f t="shared" si="18"/>
        <v>0.33785827979149197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ht="13" x14ac:dyDescent="0.3">
      <c r="A86" s="36"/>
      <c r="B86" s="28" t="s">
        <v>15</v>
      </c>
      <c r="C86" s="28"/>
    </row>
    <row r="87" spans="1:12" ht="13" x14ac:dyDescent="0.3">
      <c r="A87" s="24"/>
      <c r="B87" s="37" t="str">
        <f>B5&amp;"-"&amp;D5</f>
        <v>2015-2020</v>
      </c>
      <c r="C87" s="37" t="str">
        <f>F48</f>
        <v>2020-2035</v>
      </c>
    </row>
    <row r="89" spans="1:12" ht="13" x14ac:dyDescent="0.3">
      <c r="A89" s="30" t="str">
        <f>A7</f>
        <v>Primary sector and utilities</v>
      </c>
      <c r="B89" s="44">
        <f>IF(AND(D$5-B$5 &lt;&gt; 0,B7&lt;&gt;0,D7&lt;&gt;0),(EXP(LN(D7/B7)/(D$5-B$5))-1)*100,0)</f>
        <v>-11.097776560099105</v>
      </c>
      <c r="C89" s="44">
        <f>IF(AND(F$5-D$5 &lt;&gt; 0,D7&lt;&gt;0,F7&lt;&gt;0),(EXP(LN(F7/D7)/(F$5-D$5))-1)*100,0)</f>
        <v>9.4021859132298324E-2</v>
      </c>
    </row>
    <row r="90" spans="1:12" ht="13" x14ac:dyDescent="0.3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-17.766261616063073</v>
      </c>
      <c r="C90" s="44">
        <f t="shared" ref="C90:C122" si="43">IF(AND(F$5-D$5 &lt;&gt; 0,D8&lt;&gt;0,F8&lt;&gt;0),(EXP(LN(F8/D8)/(F$5-D$5))-1)*100,0)</f>
        <v>0.5742402872390695</v>
      </c>
    </row>
    <row r="91" spans="1:12" ht="13" x14ac:dyDescent="0.3">
      <c r="A91" s="30" t="str">
        <f t="shared" si="41"/>
        <v>Mining and quarrying</v>
      </c>
      <c r="B91" s="44">
        <f t="shared" si="42"/>
        <v>-0.87953363884922808</v>
      </c>
      <c r="C91" s="44">
        <f t="shared" si="43"/>
        <v>-5.8253698205932185</v>
      </c>
    </row>
    <row r="92" spans="1:12" ht="13" x14ac:dyDescent="0.3">
      <c r="A92" s="30" t="str">
        <f t="shared" si="41"/>
        <v>Electricity and gas</v>
      </c>
      <c r="B92" s="44">
        <f t="shared" si="42"/>
        <v>-17.715115116248835</v>
      </c>
      <c r="C92" s="44">
        <f t="shared" si="43"/>
        <v>-0.53724519762726741</v>
      </c>
    </row>
    <row r="93" spans="1:12" ht="13" x14ac:dyDescent="0.3">
      <c r="A93" s="30" t="str">
        <f t="shared" si="41"/>
        <v>Water and sewerage</v>
      </c>
      <c r="B93" s="44">
        <f t="shared" si="42"/>
        <v>-2.571150201875505</v>
      </c>
      <c r="C93" s="44">
        <f t="shared" si="43"/>
        <v>0.41708541045613057</v>
      </c>
    </row>
    <row r="94" spans="1:12" ht="13" x14ac:dyDescent="0.3">
      <c r="A94" s="30"/>
      <c r="B94" s="44"/>
      <c r="C94" s="44"/>
    </row>
    <row r="95" spans="1:12" ht="13" x14ac:dyDescent="0.3">
      <c r="A95" s="30" t="str">
        <f t="shared" si="41"/>
        <v>Manufacturing</v>
      </c>
      <c r="B95" s="44">
        <f t="shared" si="42"/>
        <v>-1.4328664326009655</v>
      </c>
      <c r="C95" s="44">
        <f t="shared" si="43"/>
        <v>-0.76949802181702776</v>
      </c>
    </row>
    <row r="96" spans="1:12" ht="13" x14ac:dyDescent="0.3">
      <c r="A96" s="30" t="str">
        <f t="shared" si="41"/>
        <v>Food drink and tobacco</v>
      </c>
      <c r="B96" s="44">
        <f t="shared" si="42"/>
        <v>-2.1280238829763709</v>
      </c>
      <c r="C96" s="44">
        <f t="shared" si="43"/>
        <v>-0.11526556315363257</v>
      </c>
    </row>
    <row r="97" spans="1:3" ht="13" x14ac:dyDescent="0.3">
      <c r="A97" s="30" t="str">
        <f t="shared" si="41"/>
        <v>Engineering</v>
      </c>
      <c r="B97" s="44">
        <f t="shared" si="42"/>
        <v>1.2745642296062787</v>
      </c>
      <c r="C97" s="44">
        <f t="shared" si="43"/>
        <v>-0.29741418690557575</v>
      </c>
    </row>
    <row r="98" spans="1:3" ht="13" x14ac:dyDescent="0.3">
      <c r="A98" s="30" t="str">
        <f t="shared" si="41"/>
        <v>Rest of manufacturing</v>
      </c>
      <c r="B98" s="44">
        <f t="shared" si="42"/>
        <v>-1.7105723243751147</v>
      </c>
      <c r="C98" s="44">
        <f t="shared" si="43"/>
        <v>-0.92945995550866023</v>
      </c>
    </row>
    <row r="99" spans="1:3" ht="13" x14ac:dyDescent="0.3">
      <c r="A99" s="30"/>
      <c r="B99" s="44"/>
      <c r="C99" s="44"/>
    </row>
    <row r="100" spans="1:3" ht="13" x14ac:dyDescent="0.3">
      <c r="A100" s="30" t="str">
        <f t="shared" si="41"/>
        <v>Construction</v>
      </c>
      <c r="B100" s="44">
        <f t="shared" si="42"/>
        <v>3.1077352720810802</v>
      </c>
      <c r="C100" s="44">
        <f t="shared" si="43"/>
        <v>7.7920169124223726E-2</v>
      </c>
    </row>
    <row r="101" spans="1:3" ht="13" x14ac:dyDescent="0.3">
      <c r="A101" s="30"/>
      <c r="B101" s="44"/>
      <c r="C101" s="44"/>
    </row>
    <row r="102" spans="1:3" ht="13" x14ac:dyDescent="0.3">
      <c r="A102" s="30" t="str">
        <f t="shared" si="41"/>
        <v>Trade, accomod. and transport</v>
      </c>
      <c r="B102" s="44">
        <f t="shared" si="42"/>
        <v>-0.36967947018967662</v>
      </c>
      <c r="C102" s="44">
        <f t="shared" si="43"/>
        <v>0.49954649968431131</v>
      </c>
    </row>
    <row r="103" spans="1:3" ht="13" x14ac:dyDescent="0.3">
      <c r="A103" s="30" t="str">
        <f t="shared" si="41"/>
        <v>Wholesale and retail trade</v>
      </c>
      <c r="B103" s="44">
        <f t="shared" si="42"/>
        <v>-1.1087550815140457</v>
      </c>
      <c r="C103" s="44">
        <f t="shared" si="43"/>
        <v>0.13417283261338842</v>
      </c>
    </row>
    <row r="104" spans="1:3" ht="13" x14ac:dyDescent="0.3">
      <c r="A104" s="30" t="str">
        <f t="shared" si="41"/>
        <v>Transport and storage</v>
      </c>
      <c r="B104" s="44">
        <f t="shared" si="42"/>
        <v>-0.30613985664941223</v>
      </c>
      <c r="C104" s="44">
        <f t="shared" si="43"/>
        <v>0.91311881014868312</v>
      </c>
    </row>
    <row r="105" spans="1:3" ht="13" x14ac:dyDescent="0.3">
      <c r="A105" s="30" t="str">
        <f t="shared" si="41"/>
        <v>Accommodation and food</v>
      </c>
      <c r="B105" s="44">
        <f t="shared" si="42"/>
        <v>2.4315646878178221</v>
      </c>
      <c r="C105" s="44">
        <f t="shared" si="43"/>
        <v>1.1564792740077046</v>
      </c>
    </row>
    <row r="106" spans="1:3" ht="13" x14ac:dyDescent="0.3">
      <c r="A106" s="30"/>
      <c r="B106" s="44"/>
      <c r="C106" s="44"/>
    </row>
    <row r="107" spans="1:3" ht="13" x14ac:dyDescent="0.3">
      <c r="A107" s="30" t="str">
        <f t="shared" si="41"/>
        <v>Business and other services</v>
      </c>
      <c r="B107" s="44">
        <f t="shared" si="42"/>
        <v>-2.0137012202789295</v>
      </c>
      <c r="C107" s="44">
        <f t="shared" si="43"/>
        <v>0.37837864603122995</v>
      </c>
    </row>
    <row r="108" spans="1:3" ht="13" x14ac:dyDescent="0.3">
      <c r="A108" s="30" t="str">
        <f t="shared" si="41"/>
        <v>Media</v>
      </c>
      <c r="B108" s="44">
        <f t="shared" si="42"/>
        <v>4.317919695720529</v>
      </c>
      <c r="C108" s="44">
        <f t="shared" si="43"/>
        <v>-1.2649425067379205E-2</v>
      </c>
    </row>
    <row r="109" spans="1:3" ht="13" x14ac:dyDescent="0.3">
      <c r="A109" s="30" t="str">
        <f t="shared" si="41"/>
        <v>Information technology</v>
      </c>
      <c r="B109" s="44">
        <f t="shared" si="42"/>
        <v>1.004398233108228</v>
      </c>
      <c r="C109" s="44">
        <f t="shared" si="43"/>
        <v>0.48468443215556878</v>
      </c>
    </row>
    <row r="110" spans="1:3" ht="13" x14ac:dyDescent="0.3">
      <c r="A110" s="30" t="str">
        <f t="shared" si="41"/>
        <v>Finance and insurance</v>
      </c>
      <c r="B110" s="44">
        <f t="shared" si="42"/>
        <v>0.43075771892968628</v>
      </c>
      <c r="C110" s="44">
        <f t="shared" si="43"/>
        <v>-0.25148190668479176</v>
      </c>
    </row>
    <row r="111" spans="1:3" ht="13" x14ac:dyDescent="0.3">
      <c r="A111" s="30" t="str">
        <f t="shared" si="41"/>
        <v>Real estate</v>
      </c>
      <c r="B111" s="44">
        <f t="shared" si="42"/>
        <v>5.8041699319459683</v>
      </c>
      <c r="C111" s="44">
        <f t="shared" si="43"/>
        <v>0.62192110201610973</v>
      </c>
    </row>
    <row r="112" spans="1:3" ht="13" x14ac:dyDescent="0.3">
      <c r="A112" s="30" t="str">
        <f t="shared" si="41"/>
        <v>Professional services</v>
      </c>
      <c r="B112" s="44">
        <f t="shared" si="42"/>
        <v>-2.8612738674501315</v>
      </c>
      <c r="C112" s="44">
        <f t="shared" si="43"/>
        <v>0.56082936389392213</v>
      </c>
    </row>
    <row r="113" spans="1:3" ht="13" x14ac:dyDescent="0.3">
      <c r="A113" s="30" t="str">
        <f t="shared" si="41"/>
        <v>Support services</v>
      </c>
      <c r="B113" s="44">
        <f t="shared" si="42"/>
        <v>-4.3794892507492804</v>
      </c>
      <c r="C113" s="44">
        <f t="shared" si="43"/>
        <v>0.69374342982506665</v>
      </c>
    </row>
    <row r="114" spans="1:3" ht="13" x14ac:dyDescent="0.3">
      <c r="A114" s="30" t="str">
        <f t="shared" si="41"/>
        <v>Arts and entertainment</v>
      </c>
      <c r="B114" s="44">
        <f t="shared" si="42"/>
        <v>1.3439505911660987E-2</v>
      </c>
      <c r="C114" s="44">
        <f t="shared" si="43"/>
        <v>2.4028950014032269E-2</v>
      </c>
    </row>
    <row r="115" spans="1:3" ht="13" x14ac:dyDescent="0.3">
      <c r="A115" s="30" t="str">
        <f t="shared" si="41"/>
        <v>Other services</v>
      </c>
      <c r="B115" s="44">
        <f t="shared" si="42"/>
        <v>-4.6461918152839843</v>
      </c>
      <c r="C115" s="44">
        <f t="shared" si="43"/>
        <v>-0.18359253748903015</v>
      </c>
    </row>
    <row r="116" spans="1:3" ht="13" x14ac:dyDescent="0.3">
      <c r="A116" s="30"/>
      <c r="B116" s="44"/>
      <c r="C116" s="44"/>
    </row>
    <row r="117" spans="1:3" ht="13" x14ac:dyDescent="0.3">
      <c r="A117" s="30" t="str">
        <f t="shared" si="41"/>
        <v>Non-marketed services</v>
      </c>
      <c r="B117" s="44">
        <f t="shared" si="42"/>
        <v>1.659022200727156</v>
      </c>
      <c r="C117" s="44">
        <f t="shared" si="43"/>
        <v>0.69566210813678531</v>
      </c>
    </row>
    <row r="118" spans="1:3" ht="13" x14ac:dyDescent="0.3">
      <c r="A118" s="30" t="str">
        <f t="shared" si="41"/>
        <v>Public admin. and defence</v>
      </c>
      <c r="B118" s="44">
        <f t="shared" si="42"/>
        <v>-0.91907005465536873</v>
      </c>
      <c r="C118" s="44">
        <f t="shared" si="43"/>
        <v>0.40041978615537044</v>
      </c>
    </row>
    <row r="119" spans="1:3" ht="13" x14ac:dyDescent="0.3">
      <c r="A119" s="30" t="str">
        <f t="shared" si="41"/>
        <v>Education</v>
      </c>
      <c r="B119" s="44">
        <f t="shared" si="42"/>
        <v>0.11266705941843647</v>
      </c>
      <c r="C119" s="44">
        <f t="shared" si="43"/>
        <v>0.58235672652706683</v>
      </c>
    </row>
    <row r="120" spans="1:3" ht="13" x14ac:dyDescent="0.3">
      <c r="A120" s="30" t="str">
        <f t="shared" si="41"/>
        <v>Health and social work</v>
      </c>
      <c r="B120" s="44">
        <f t="shared" si="42"/>
        <v>3.3504114333352319</v>
      </c>
      <c r="C120" s="44">
        <f t="shared" si="43"/>
        <v>0.82663545718058007</v>
      </c>
    </row>
    <row r="121" spans="1:3" ht="13" x14ac:dyDescent="0.3">
      <c r="A121" s="30"/>
      <c r="B121" s="44"/>
      <c r="C121" s="44"/>
    </row>
    <row r="122" spans="1:3" ht="13" x14ac:dyDescent="0.3">
      <c r="A122" s="347" t="str">
        <f t="shared" si="41"/>
        <v>All industries</v>
      </c>
      <c r="B122" s="206">
        <f t="shared" si="42"/>
        <v>-0.37337526450474945</v>
      </c>
      <c r="C122" s="206">
        <f t="shared" si="43"/>
        <v>0.33785827979149197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796875" defaultRowHeight="12.5" x14ac:dyDescent="0.25"/>
  <cols>
    <col min="1" max="1" width="22.1796875" style="282" customWidth="1"/>
    <col min="2" max="2" width="9.1796875" style="283"/>
    <col min="3" max="3" width="9.26953125" style="282" customWidth="1"/>
    <col min="4" max="4" width="9.1796875" style="283"/>
    <col min="5" max="5" width="9.26953125" style="282" customWidth="1"/>
    <col min="6" max="6" width="9.1796875" style="283"/>
    <col min="7" max="7" width="9.26953125" style="282" customWidth="1"/>
    <col min="8" max="8" width="9.1796875" style="283"/>
    <col min="9" max="9" width="9.26953125" style="282" customWidth="1"/>
    <col min="10" max="10" width="5.54296875" style="282" customWidth="1"/>
    <col min="11" max="14" width="9.26953125" style="283" customWidth="1"/>
    <col min="15" max="16384" width="9.1796875" style="282"/>
  </cols>
  <sheetData>
    <row r="1" spans="1:17" ht="15.5" x14ac:dyDescent="0.35">
      <c r="A1" s="19" t="str">
        <f>CONCATENATE("Industry Table 5  Employment status by Industry (SIC 2007) and Gender, ",A$8,"-",A$18,", ",Info!B5)</f>
        <v>Industry Table 5  Employment status by Industry (SIC 2007) and Gender, 2020-2035, Black Country</v>
      </c>
    </row>
    <row r="2" spans="1:17" ht="13" x14ac:dyDescent="0.3">
      <c r="A2" s="1" t="s">
        <v>518</v>
      </c>
    </row>
    <row r="5" spans="1:17" ht="13" x14ac:dyDescent="0.3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ht="13" x14ac:dyDescent="0.3">
      <c r="N6" s="287" t="s">
        <v>370</v>
      </c>
    </row>
    <row r="7" spans="1:17" ht="13" x14ac:dyDescent="0.3">
      <c r="A7" s="296" t="s">
        <v>371</v>
      </c>
      <c r="B7" s="374" t="s">
        <v>369</v>
      </c>
      <c r="C7" s="374"/>
      <c r="D7" s="374" t="s">
        <v>368</v>
      </c>
      <c r="E7" s="374"/>
      <c r="F7" s="374" t="s">
        <v>367</v>
      </c>
      <c r="G7" s="374"/>
      <c r="H7" s="374" t="s">
        <v>33</v>
      </c>
      <c r="I7" s="374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ht="13" x14ac:dyDescent="0.3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5">
      <c r="A9" s="282" t="s">
        <v>364</v>
      </c>
      <c r="B9" s="249">
        <f>SUM(B30,B51,B72,B93,B114,B135,B156,B177,B198,B219,B240,B261,B282,B303,B324,B345,B366,B387,B408,B429,B450,B471)</f>
        <v>181.38082677896574</v>
      </c>
      <c r="C9" s="299" t="str">
        <f>CONCATENATE("(",ROUND((B9/$H11)*100,1),")")</f>
        <v>(36.6)</v>
      </c>
      <c r="D9" s="249">
        <f>SUM(D30,D51,D72,D93,D114,D135,D156,D177,D198,D219,D240,D261,D282,D303,D324,D345,D366,D387,D408,D429,D450,D471)</f>
        <v>41.657454411789352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42.061123213386203</v>
      </c>
      <c r="G9" s="299" t="str">
        <f>CONCATENATE("(",ROUND((F9/$H11)*100,1),")")</f>
        <v>(8.5)</v>
      </c>
      <c r="H9" s="249">
        <f>SUM(H30,H51,H72,H93,H114,H135,H156,H177,H198,H219,H240,H261,H282,H303,H324,H345,H366,H387,H408,H429,H450,H471)</f>
        <v>265.09940440414124</v>
      </c>
      <c r="I9" s="299" t="str">
        <f>CONCATENATE("(",ROUND((H9/$H11)*100,1),")")</f>
        <v>(53.4)</v>
      </c>
      <c r="K9" s="249">
        <f>B14-B9</f>
        <v>2.753230926293412</v>
      </c>
      <c r="L9" s="249">
        <f>D14-D9</f>
        <v>1.3858663966439835</v>
      </c>
      <c r="M9" s="249">
        <f>F14-F9</f>
        <v>0.63646474196638536</v>
      </c>
      <c r="N9" s="249">
        <f>SUM(K9:M9)</f>
        <v>4.7755620649037809</v>
      </c>
      <c r="O9" s="298"/>
      <c r="P9" s="298"/>
      <c r="Q9" s="298"/>
    </row>
    <row r="10" spans="1:17" x14ac:dyDescent="0.25">
      <c r="A10" s="282" t="s">
        <v>365</v>
      </c>
      <c r="B10" s="249">
        <f t="shared" ref="B10:B21" si="0">SUM(B31,B52,B73,B94,B115,B136,B157,B178,B199,B220,B241,B262,B283,B304,B325,B346,B367,B388,B409,B430,B451,B472)</f>
        <v>111.54209032787725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102.44524353812915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17.107261729852304</v>
      </c>
      <c r="G10" s="299" t="str">
        <f>CONCATENATE("(",ROUND((F10/$H11)*100,1),")")</f>
        <v>(3.4)</v>
      </c>
      <c r="H10" s="249">
        <f t="shared" ref="H10" si="3">SUM(H31,H52,H73,H94,H115,H136,H157,H178,H199,H220,H241,H262,H283,H304,H325,H346,H367,H388,H409,H430,H451,H472)</f>
        <v>231.09459559585872</v>
      </c>
      <c r="I10" s="299" t="str">
        <f>CONCATENATE("(",ROUND((H10/$H11)*100,1),")")</f>
        <v>(46.6)</v>
      </c>
      <c r="K10" s="249">
        <f t="shared" ref="K10:K11" si="4">B15-B10</f>
        <v>5.5941217087599142</v>
      </c>
      <c r="L10" s="249">
        <f t="shared" ref="L10:L11" si="5">D15-D10</f>
        <v>1.2154655178807729</v>
      </c>
      <c r="M10" s="249">
        <f t="shared" ref="M10:M11" si="6">F15-F10</f>
        <v>0.34885070845556498</v>
      </c>
      <c r="N10" s="249">
        <f t="shared" ref="N10:N11" si="7">SUM(K10:M10)</f>
        <v>7.1584379350962521</v>
      </c>
      <c r="O10" s="298"/>
      <c r="P10" s="298"/>
      <c r="Q10" s="298"/>
    </row>
    <row r="11" spans="1:17" x14ac:dyDescent="0.25">
      <c r="A11" s="282" t="s">
        <v>363</v>
      </c>
      <c r="B11" s="249">
        <f t="shared" si="0"/>
        <v>292.92291710684299</v>
      </c>
      <c r="C11" s="299" t="str">
        <f>CONCATENATE("(",ROUND((B11/$H11)*100,1),")")</f>
        <v>(59)</v>
      </c>
      <c r="D11" s="249">
        <f t="shared" ref="D11" si="8">SUM(D32,D53,D74,D95,D116,D137,D158,D179,D200,D221,D242,D263,D284,D305,D326,D347,D368,D389,D410,D431,D452,D473)</f>
        <v>144.10269794991851</v>
      </c>
      <c r="E11" s="299" t="str">
        <f>CONCATENATE("(",ROUND((D11/$H11)*100,1),")")</f>
        <v>(29)</v>
      </c>
      <c r="F11" s="249">
        <f t="shared" ref="F11" si="9">SUM(F32,F53,F74,F95,F116,F137,F158,F179,F200,F221,F242,F263,F284,F305,F326,F347,F368,F389,F410,F431,F452,F473)</f>
        <v>59.168384943238514</v>
      </c>
      <c r="G11" s="299" t="str">
        <f>CONCATENATE("(",ROUND((F11/$H11)*100,1),")")</f>
        <v>(11.9)</v>
      </c>
      <c r="H11" s="249">
        <f t="shared" ref="H11" si="10">SUM(H32,H53,H74,H95,H116,H137,H158,H179,H200,H221,H242,H263,H284,H305,H326,H347,H368,H389,H410,H431,H452,H473)</f>
        <v>496.19400000000007</v>
      </c>
      <c r="I11" s="299" t="str">
        <f>CONCATENATE("(",ROUND((H11/$H11)*100,1),")")</f>
        <v>(100)</v>
      </c>
      <c r="K11" s="249">
        <f t="shared" si="4"/>
        <v>8.3473526350533689</v>
      </c>
      <c r="L11" s="249">
        <f t="shared" si="5"/>
        <v>2.6013319145247635</v>
      </c>
      <c r="M11" s="249">
        <f t="shared" si="6"/>
        <v>0.98531545042194324</v>
      </c>
      <c r="N11" s="249">
        <f t="shared" si="7"/>
        <v>11.934000000000076</v>
      </c>
      <c r="O11" s="298"/>
      <c r="P11" s="298"/>
      <c r="Q11" s="298"/>
    </row>
    <row r="12" spans="1:17" x14ac:dyDescent="0.25">
      <c r="B12" s="249"/>
      <c r="C12" s="284"/>
      <c r="D12" s="249"/>
      <c r="E12" s="284"/>
      <c r="F12" s="249"/>
      <c r="G12" s="284"/>
      <c r="H12" s="249"/>
      <c r="I12" s="284"/>
    </row>
    <row r="13" spans="1:17" ht="13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5">
      <c r="A14" s="282" t="s">
        <v>364</v>
      </c>
      <c r="B14" s="249">
        <f>SUM(B35,B56,B77,B98,B119,B140,B161,B182,B203,B224,B245,B266,B287,B308,B329,B350,B371,B392,B413,B434,B455,B476)</f>
        <v>184.13405770525915</v>
      </c>
      <c r="C14" s="299" t="str">
        <f>CONCATENATE("(",ROUND((B14/$H16)*100,1),")")</f>
        <v>(36.2)</v>
      </c>
      <c r="D14" s="249">
        <f t="shared" ref="D14" si="11">SUM(D35,D56,D77,D98,D119,D140,D161,D182,D203,D224,D245,D266,D287,D308,D329,D350,D371,D392,D413,D434,D455,D476)</f>
        <v>43.043320808433336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42.697587955352589</v>
      </c>
      <c r="G14" s="299" t="str">
        <f>CONCATENATE("(",ROUND((F14/$H16)*100,1),")")</f>
        <v>(8.4)</v>
      </c>
      <c r="H14" s="249">
        <f t="shared" ref="H14" si="13">SUM(H35,H56,H77,H98,H119,H140,H161,H182,H203,H224,H245,H266,H287,H308,H329,H350,H371,H392,H413,H434,H455,H476)</f>
        <v>269.87496646904503</v>
      </c>
      <c r="I14" s="299" t="str">
        <f>CONCATENATE("(",ROUND((H14/$H16)*100,1),")")</f>
        <v>(53.1)</v>
      </c>
      <c r="K14" s="249">
        <f>B19-B14</f>
        <v>-0.38738776158172072</v>
      </c>
      <c r="L14" s="249">
        <f>D19-D14</f>
        <v>2.3767364764629022</v>
      </c>
      <c r="M14" s="249">
        <f>F19-F14</f>
        <v>1.5801528222072463</v>
      </c>
      <c r="N14" s="249">
        <f>SUM(K14:M14)</f>
        <v>3.5695015370884278</v>
      </c>
    </row>
    <row r="15" spans="1:17" x14ac:dyDescent="0.25">
      <c r="A15" s="282" t="s">
        <v>365</v>
      </c>
      <c r="B15" s="249">
        <f t="shared" si="0"/>
        <v>117.13621203663716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103.66070905600992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17.456112438307869</v>
      </c>
      <c r="G15" s="299" t="str">
        <f>CONCATENATE("(",ROUND((F15/$H16)*100,1),")")</f>
        <v>(3.4)</v>
      </c>
      <c r="H15" s="249">
        <f t="shared" ref="H15" si="16">SUM(H36,H57,H78,H99,H120,H141,H162,H183,H204,H225,H246,H267,H288,H309,H330,H351,H372,H393,H414,H435,H456,H477)</f>
        <v>238.25303353095492</v>
      </c>
      <c r="I15" s="299" t="str">
        <f>CONCATENATE("(",ROUND((H15/$H16)*100,1),")")</f>
        <v>(46.9)</v>
      </c>
      <c r="K15" s="249">
        <f t="shared" ref="K15:K16" si="17">B20-B15</f>
        <v>8.7457726876235</v>
      </c>
      <c r="L15" s="249">
        <f t="shared" ref="L15:L16" si="18">D20-D15</f>
        <v>0.46336889921461477</v>
      </c>
      <c r="M15" s="249">
        <f t="shared" ref="M15:M16" si="19">F20-F15</f>
        <v>1.0373568760731331</v>
      </c>
      <c r="N15" s="249">
        <f t="shared" ref="N15:N16" si="20">SUM(K15:M15)</f>
        <v>10.246498462911248</v>
      </c>
    </row>
    <row r="16" spans="1:17" x14ac:dyDescent="0.25">
      <c r="A16" s="282" t="s">
        <v>363</v>
      </c>
      <c r="B16" s="249">
        <f t="shared" si="0"/>
        <v>301.27026974189636</v>
      </c>
      <c r="C16" s="299" t="str">
        <f>CONCATENATE("(",ROUND((B16/$H16)*100,1),")")</f>
        <v>(59.3)</v>
      </c>
      <c r="D16" s="249">
        <f t="shared" ref="D16" si="21">SUM(D37,D58,D79,D100,D121,D142,D163,D184,D205,D226,D247,D268,D289,D310,D331,D352,D373,D394,D415,D436,D457,D478)</f>
        <v>146.70402986444327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60.153700393660458</v>
      </c>
      <c r="G16" s="299" t="str">
        <f>CONCATENATE("(",ROUND((F16/$H16)*100,1),")")</f>
        <v>(11.8)</v>
      </c>
      <c r="H16" s="249">
        <f t="shared" ref="H16" si="23">SUM(H37,H58,H79,H100,H121,H142,H163,H184,H205,H226,H247,H268,H289,H310,H331,H352,H373,H394,H415,H436,H457,H478)</f>
        <v>508.12800000000004</v>
      </c>
      <c r="I16" s="299" t="str">
        <f>CONCATENATE("(",ROUND((H16/$H16)*100,1),")")</f>
        <v>(100)</v>
      </c>
      <c r="K16" s="249">
        <f t="shared" si="17"/>
        <v>8.3583849260417082</v>
      </c>
      <c r="L16" s="249">
        <f t="shared" si="18"/>
        <v>2.8401053756774672</v>
      </c>
      <c r="M16" s="249">
        <f t="shared" si="19"/>
        <v>2.6175096982803723</v>
      </c>
      <c r="N16" s="249">
        <f t="shared" si="20"/>
        <v>13.815999999999548</v>
      </c>
    </row>
    <row r="17" spans="1:14" x14ac:dyDescent="0.25">
      <c r="B17" s="249"/>
      <c r="C17" s="284"/>
      <c r="D17" s="249"/>
      <c r="E17" s="284"/>
      <c r="F17" s="249"/>
      <c r="G17" s="284"/>
      <c r="H17" s="249"/>
      <c r="I17" s="284"/>
    </row>
    <row r="18" spans="1:14" ht="13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5">
      <c r="A19" s="282" t="s">
        <v>364</v>
      </c>
      <c r="B19" s="249">
        <f t="shared" si="0"/>
        <v>183.74666994367743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45.420057284896238</v>
      </c>
      <c r="E19" s="299" t="str">
        <f>CONCATENATE("(",ROUND((D19/$H21)*100,1),")")</f>
        <v>(8.7)</v>
      </c>
      <c r="F19" s="249">
        <f t="shared" ref="F19" si="25">SUM(F40,F61,F82,F103,F124,F145,F166,F187,F208,F229,F250,F271,F292,F313,F334,F355,F376,F397,F418,F439,F460,F481)</f>
        <v>44.277740777559835</v>
      </c>
      <c r="G19" s="299" t="str">
        <f>CONCATENATE("(",ROUND((F19/$H21)*100,1),")")</f>
        <v>(8.5)</v>
      </c>
      <c r="H19" s="249">
        <f t="shared" ref="H19" si="26">SUM(H40,H61,H82,H103,H124,H145,H166,H187,H208,H229,H250,H271,H292,H313,H334,H355,H376,H397,H418,H439,H460,H481)</f>
        <v>273.44446800613349</v>
      </c>
      <c r="I19" s="299" t="str">
        <f>CONCATENATE("(",ROUND((H19/$H21)*100,1),")")</f>
        <v>(52.4)</v>
      </c>
      <c r="K19" s="249">
        <f>B19-B9</f>
        <v>2.3658431647116913</v>
      </c>
      <c r="L19" s="249">
        <f>D19-D9</f>
        <v>3.7626028731068857</v>
      </c>
      <c r="M19" s="249">
        <f>F19-F9</f>
        <v>2.2166175641736316</v>
      </c>
      <c r="N19" s="249">
        <f>SUM(K19:M19)</f>
        <v>8.3450636019922086</v>
      </c>
    </row>
    <row r="20" spans="1:14" x14ac:dyDescent="0.25">
      <c r="A20" s="282" t="s">
        <v>365</v>
      </c>
      <c r="B20" s="249">
        <f t="shared" si="0"/>
        <v>125.88198472426066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104.12407795522454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18.493469314381002</v>
      </c>
      <c r="G20" s="299" t="str">
        <f>CONCATENATE("(",ROUND((F20/$H21)*100,1),")")</f>
        <v>(3.5)</v>
      </c>
      <c r="H20" s="249">
        <f t="shared" ref="H20" si="29">SUM(H41,H62,H83,H104,H125,H146,H167,H188,H209,H230,H251,H272,H293,H314,H335,H356,H377,H398,H419,H440,H461,H482)</f>
        <v>248.49953199386616</v>
      </c>
      <c r="I20" s="299" t="str">
        <f>CONCATENATE("(",ROUND((H20/$H21)*100,1),")")</f>
        <v>(47.6)</v>
      </c>
      <c r="K20" s="249">
        <f t="shared" ref="K20:K21" si="30">B20-B10</f>
        <v>14.339894396383414</v>
      </c>
      <c r="L20" s="249">
        <f t="shared" ref="L20:L21" si="31">D20-D10</f>
        <v>1.6788344170953877</v>
      </c>
      <c r="M20" s="249">
        <f t="shared" ref="M20:M21" si="32">F20-F10</f>
        <v>1.3862075845286981</v>
      </c>
      <c r="N20" s="249">
        <f t="shared" ref="N20:N21" si="33">SUM(K20:M20)</f>
        <v>17.4049363980075</v>
      </c>
    </row>
    <row r="21" spans="1:14" x14ac:dyDescent="0.25">
      <c r="A21" s="282" t="s">
        <v>363</v>
      </c>
      <c r="B21" s="249">
        <f t="shared" si="0"/>
        <v>309.62865466793806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149.54413524012074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62.77121009194083</v>
      </c>
      <c r="G21" s="299" t="str">
        <f>CONCATENATE("(",ROUND((F21/$H21)*100,1),")")</f>
        <v>(12)</v>
      </c>
      <c r="H21" s="249">
        <f t="shared" ref="H21" si="35">SUM(H42,H63,H84,H105,H126,H147,H168,H189,H210,H231,H252,H273,H294,H315,H336,H357,H378,H399,H420,H441,H462,H483)</f>
        <v>521.94399999999962</v>
      </c>
      <c r="I21" s="299" t="str">
        <f>CONCATENATE("(",ROUND((H21/$H21)*100,1),")")</f>
        <v>(100)</v>
      </c>
      <c r="K21" s="249">
        <f t="shared" si="30"/>
        <v>16.705737561095077</v>
      </c>
      <c r="L21" s="249">
        <f t="shared" si="31"/>
        <v>5.4414372902022308</v>
      </c>
      <c r="M21" s="249">
        <f t="shared" si="32"/>
        <v>3.6028251487023155</v>
      </c>
      <c r="N21" s="249">
        <f t="shared" si="33"/>
        <v>25.749999999999623</v>
      </c>
    </row>
    <row r="22" spans="1:14" x14ac:dyDescent="0.25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ht="13" x14ac:dyDescent="0.3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ht="13" x14ac:dyDescent="0.3">
      <c r="N27" s="287" t="s">
        <v>370</v>
      </c>
    </row>
    <row r="28" spans="1:14" ht="13" x14ac:dyDescent="0.3">
      <c r="A28" s="296" t="s">
        <v>371</v>
      </c>
      <c r="B28" s="374" t="s">
        <v>369</v>
      </c>
      <c r="C28" s="374"/>
      <c r="D28" s="374" t="s">
        <v>368</v>
      </c>
      <c r="E28" s="374"/>
      <c r="F28" s="374" t="s">
        <v>367</v>
      </c>
      <c r="G28" s="374"/>
      <c r="H28" s="374" t="s">
        <v>33</v>
      </c>
      <c r="I28" s="374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ht="13" x14ac:dyDescent="0.3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5">
      <c r="A30" s="282" t="s">
        <v>364</v>
      </c>
      <c r="B30" s="302">
        <f>'Ind T6'!L9</f>
        <v>0.36218995912100899</v>
      </c>
      <c r="C30" s="299" t="str">
        <f>CONCATENATE("(",ROUND((B30/$H32)*100,1),")")</f>
        <v>(32.5)</v>
      </c>
      <c r="D30" s="302">
        <f>'Ind T6'!M9</f>
        <v>9.1662636832458826E-3</v>
      </c>
      <c r="E30" s="299" t="str">
        <f>CONCATENATE("(",ROUND((D30/$H32)*100,1),")")</f>
        <v>(0.8)</v>
      </c>
      <c r="F30" s="302">
        <f>'Ind T6'!N9</f>
        <v>0.37669912515376269</v>
      </c>
      <c r="G30" s="299" t="str">
        <f>CONCATENATE("(",ROUND((F30/$H32)*100,1),")")</f>
        <v>(33.8)</v>
      </c>
      <c r="H30" s="302">
        <f>SUM(B30,D30,F30)</f>
        <v>0.74805534795801754</v>
      </c>
      <c r="I30" s="299" t="str">
        <f>CONCATENATE("(",ROUND((H30/$H32)*100,1),")")</f>
        <v>(67.1)</v>
      </c>
      <c r="K30" s="302">
        <f>B35-B30</f>
        <v>4.3742082164894669E-2</v>
      </c>
      <c r="L30" s="302">
        <f>D35-D30</f>
        <v>8.4984505087263608E-4</v>
      </c>
      <c r="M30" s="302">
        <f>F35-F30</f>
        <v>1.9471023332598258E-2</v>
      </c>
      <c r="N30" s="302">
        <f>SUM(K30:M30)</f>
        <v>6.4062950548365555E-2</v>
      </c>
    </row>
    <row r="31" spans="1:14" x14ac:dyDescent="0.25">
      <c r="A31" s="282" t="s">
        <v>365</v>
      </c>
      <c r="B31" s="302">
        <f>'Ind T6'!L8</f>
        <v>0.20494197037121709</v>
      </c>
      <c r="C31" s="299" t="str">
        <f>CONCATENATE("(",ROUND((B31/$H32)*100,1),")")</f>
        <v>(18.4)</v>
      </c>
      <c r="D31" s="302">
        <f>'Ind T6'!M8</f>
        <v>9.9015254761127495E-3</v>
      </c>
      <c r="E31" s="299" t="str">
        <f>CONCATENATE("(",ROUND((D31/$H32)*100,1),")")</f>
        <v>(0.9)</v>
      </c>
      <c r="F31" s="302">
        <f>'Ind T6'!N8</f>
        <v>0.15210115619465153</v>
      </c>
      <c r="G31" s="299" t="str">
        <f>CONCATENATE("(",ROUND((F31/$H32)*100,1),")")</f>
        <v>(13.6)</v>
      </c>
      <c r="H31" s="302">
        <f t="shared" ref="H31" si="36">SUM(B31,D31,F31)</f>
        <v>0.36694465204198135</v>
      </c>
      <c r="I31" s="299" t="str">
        <f>CONCATENATE("(",ROUND((H31/$H32)*100,1),")")</f>
        <v>(32.9)</v>
      </c>
      <c r="K31" s="302">
        <f t="shared" ref="K31:K32" si="37">B36-B31</f>
        <v>1.7242776678049437E-2</v>
      </c>
      <c r="L31" s="302">
        <f t="shared" ref="L31:L32" si="38">D36-D31</f>
        <v>5.213287905691498E-4</v>
      </c>
      <c r="M31" s="302">
        <f t="shared" ref="M31:M32" si="39">F36-F31</f>
        <v>1.5172943983017745E-2</v>
      </c>
      <c r="N31" s="302">
        <f t="shared" ref="N31:N32" si="40">SUM(K31:M31)</f>
        <v>3.2937049451636335E-2</v>
      </c>
    </row>
    <row r="32" spans="1:14" x14ac:dyDescent="0.25">
      <c r="A32" s="282" t="s">
        <v>363</v>
      </c>
      <c r="B32" s="302">
        <f>SUM(B30:B31)</f>
        <v>0.56713192949222613</v>
      </c>
      <c r="C32" s="299" t="str">
        <f>CONCATENATE("(",ROUND((B32/$H32)*100,1),")")</f>
        <v>(50.9)</v>
      </c>
      <c r="D32" s="302">
        <f>SUM(D30:D31)</f>
        <v>1.9067789159358632E-2</v>
      </c>
      <c r="E32" s="299" t="str">
        <f>CONCATENATE("(",ROUND((D32/$H32)*100,1),")")</f>
        <v>(1.7)</v>
      </c>
      <c r="F32" s="302">
        <f>SUM(F30:F31)</f>
        <v>0.52880028134841428</v>
      </c>
      <c r="G32" s="299" t="str">
        <f>CONCATENATE("(",ROUND((F32/$H32)*100,1),")")</f>
        <v>(47.4)</v>
      </c>
      <c r="H32" s="302">
        <f>SUM(H30:H31)</f>
        <v>1.1149999999999989</v>
      </c>
      <c r="I32" s="299" t="str">
        <f>CONCATENATE("(",ROUND((H32/$H32)*100,1),")")</f>
        <v>(100)</v>
      </c>
      <c r="K32" s="302">
        <f t="shared" si="37"/>
        <v>6.0984858842944023E-2</v>
      </c>
      <c r="L32" s="302">
        <f t="shared" si="38"/>
        <v>1.3711738414417876E-3</v>
      </c>
      <c r="M32" s="302">
        <f t="shared" si="39"/>
        <v>3.464396731561592E-2</v>
      </c>
      <c r="N32" s="302">
        <f t="shared" si="40"/>
        <v>9.7000000000001724E-2</v>
      </c>
    </row>
    <row r="33" spans="1:14" x14ac:dyDescent="0.25">
      <c r="B33" s="302"/>
      <c r="C33" s="284"/>
      <c r="D33" s="302"/>
      <c r="E33" s="284"/>
      <c r="F33" s="302"/>
      <c r="G33" s="284"/>
      <c r="H33" s="302"/>
      <c r="I33" s="284"/>
    </row>
    <row r="34" spans="1:14" ht="13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5">
      <c r="A35" s="282" t="s">
        <v>364</v>
      </c>
      <c r="B35" s="302">
        <f>'Ind T6'!Q9</f>
        <v>0.40593204128590366</v>
      </c>
      <c r="C35" s="299" t="str">
        <f>CONCATENATE("(",ROUND((B35/$H37)*100,1),")")</f>
        <v>(33.5)</v>
      </c>
      <c r="D35" s="302">
        <f>'Ind T6'!R9</f>
        <v>1.0016108734118519E-2</v>
      </c>
      <c r="E35" s="299" t="str">
        <f>CONCATENATE("(",ROUND((D35/$H37)*100,1),")")</f>
        <v>(0.8)</v>
      </c>
      <c r="F35" s="302">
        <f>'Ind T6'!S9</f>
        <v>0.39617014848636095</v>
      </c>
      <c r="G35" s="299" t="str">
        <f>CONCATENATE("(",ROUND((F35/$H37)*100,1),")")</f>
        <v>(32.7)</v>
      </c>
      <c r="H35" s="302">
        <f>SUM(B35,D35,F35)</f>
        <v>0.81211829850638306</v>
      </c>
      <c r="I35" s="299" t="str">
        <f>CONCATENATE("(",ROUND((H35/$H37)*100,1),")")</f>
        <v>(67)</v>
      </c>
      <c r="K35" s="302">
        <f>B40-B35</f>
        <v>3.2050238474309989E-2</v>
      </c>
      <c r="L35" s="302">
        <f>D40-D35</f>
        <v>1.0911499774418632E-5</v>
      </c>
      <c r="M35" s="302">
        <f>F40-F35</f>
        <v>-3.1227330855796598E-2</v>
      </c>
      <c r="N35" s="302">
        <f>SUM(K35:M35)</f>
        <v>8.3381911828780964E-4</v>
      </c>
    </row>
    <row r="36" spans="1:14" x14ac:dyDescent="0.25">
      <c r="A36" s="282" t="s">
        <v>365</v>
      </c>
      <c r="B36" s="302">
        <f>'Ind T6'!Q8</f>
        <v>0.22218474704926652</v>
      </c>
      <c r="C36" s="299" t="str">
        <f>CONCATENATE("(",ROUND((B36/$H37)*100,1),")")</f>
        <v>(18.3)</v>
      </c>
      <c r="D36" s="302">
        <f>'Ind T6'!R8</f>
        <v>1.0422854266681899E-2</v>
      </c>
      <c r="E36" s="299" t="str">
        <f>CONCATENATE("(",ROUND((D36/$H37)*100,1),")")</f>
        <v>(0.9)</v>
      </c>
      <c r="F36" s="302">
        <f>'Ind T6'!S8</f>
        <v>0.16727410017766928</v>
      </c>
      <c r="G36" s="299" t="str">
        <f>CONCATENATE("(",ROUND((F36/$H37)*100,1),")")</f>
        <v>(13.8)</v>
      </c>
      <c r="H36" s="302">
        <f t="shared" ref="H36" si="41">SUM(B36,D36,F36)</f>
        <v>0.39988170149361768</v>
      </c>
      <c r="I36" s="299" t="str">
        <f>CONCATENATE("(",ROUND((H36/$H37)*100,1),")")</f>
        <v>(33)</v>
      </c>
      <c r="K36" s="302">
        <f t="shared" ref="K36:K37" si="42">B41-B36</f>
        <v>-1.2340118406981571E-3</v>
      </c>
      <c r="L36" s="302">
        <f t="shared" ref="L36:L37" si="43">D41-D36</f>
        <v>-8.03022671516938E-4</v>
      </c>
      <c r="M36" s="302">
        <f t="shared" ref="M36:M37" si="44">F41-F36</f>
        <v>4.2032153939248473E-3</v>
      </c>
      <c r="N36" s="302">
        <f t="shared" ref="N36:N37" si="45">SUM(K36:M36)</f>
        <v>2.1661808817097523E-3</v>
      </c>
    </row>
    <row r="37" spans="1:14" x14ac:dyDescent="0.25">
      <c r="A37" s="282" t="s">
        <v>363</v>
      </c>
      <c r="B37" s="302">
        <f>SUM(B35:B36)</f>
        <v>0.62811678833517015</v>
      </c>
      <c r="C37" s="299" t="str">
        <f>CONCATENATE("(",ROUND((B37/$H37)*100,1),")")</f>
        <v>(51.8)</v>
      </c>
      <c r="D37" s="302">
        <f>SUM(D35:D36)</f>
        <v>2.043896300080042E-2</v>
      </c>
      <c r="E37" s="299" t="str">
        <f>CONCATENATE("(",ROUND((D37/$H37)*100,1),")")</f>
        <v>(1.7)</v>
      </c>
      <c r="F37" s="302">
        <f>SUM(F35:F36)</f>
        <v>0.5634442486640302</v>
      </c>
      <c r="G37" s="299" t="str">
        <f>CONCATENATE("(",ROUND((F37/$H37)*100,1),")")</f>
        <v>(46.5)</v>
      </c>
      <c r="H37" s="302">
        <f>SUM(H35:H36)</f>
        <v>1.2120000000000006</v>
      </c>
      <c r="I37" s="299" t="str">
        <f>CONCATENATE("(",ROUND((H37/$H37)*100,1),")")</f>
        <v>(100)</v>
      </c>
      <c r="K37" s="302">
        <f t="shared" si="42"/>
        <v>3.0816226633611832E-2</v>
      </c>
      <c r="L37" s="302">
        <f t="shared" si="43"/>
        <v>-7.921111717425211E-4</v>
      </c>
      <c r="M37" s="302">
        <f t="shared" si="44"/>
        <v>-2.7024115461871667E-2</v>
      </c>
      <c r="N37" s="302">
        <f t="shared" si="45"/>
        <v>2.9999999999976434E-3</v>
      </c>
    </row>
    <row r="38" spans="1:14" x14ac:dyDescent="0.25">
      <c r="B38" s="302"/>
      <c r="C38" s="284"/>
      <c r="D38" s="302"/>
      <c r="E38" s="284"/>
      <c r="F38" s="302"/>
      <c r="G38" s="284"/>
      <c r="H38" s="302"/>
      <c r="I38" s="284"/>
    </row>
    <row r="39" spans="1:14" ht="13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5">
      <c r="A40" s="282" t="s">
        <v>364</v>
      </c>
      <c r="B40" s="302">
        <f>'Ind T6'!V9</f>
        <v>0.43798227976021364</v>
      </c>
      <c r="C40" s="299" t="str">
        <f>CONCATENATE("(",ROUND((B40/$H42)*100,1),")")</f>
        <v>(36)</v>
      </c>
      <c r="D40" s="302">
        <f>'Ind T6'!W9</f>
        <v>1.0027020233892937E-2</v>
      </c>
      <c r="E40" s="299" t="str">
        <f>CONCATENATE("(",ROUND((D40/$H42)*100,1),")")</f>
        <v>(0.8)</v>
      </c>
      <c r="F40" s="302">
        <f>'Ind T6'!X9</f>
        <v>0.36494281763056435</v>
      </c>
      <c r="G40" s="299" t="str">
        <f>CONCATENATE("(",ROUND((F40/$H42)*100,1),")")</f>
        <v>(30)</v>
      </c>
      <c r="H40" s="302">
        <f>SUM(B40,D40,F40)</f>
        <v>0.81295211762467101</v>
      </c>
      <c r="I40" s="299" t="str">
        <f>CONCATENATE("(",ROUND((H40/$H42)*100,1),")")</f>
        <v>(66.9)</v>
      </c>
      <c r="K40" s="302">
        <f>B40-B30</f>
        <v>7.5792320639204658E-2</v>
      </c>
      <c r="L40" s="302">
        <f>D40-D30</f>
        <v>8.6075655064705471E-4</v>
      </c>
      <c r="M40" s="302">
        <f>F40-F30</f>
        <v>-1.1756307523198339E-2</v>
      </c>
      <c r="N40" s="302">
        <f>SUM(K40:M40)</f>
        <v>6.4896769666653378E-2</v>
      </c>
    </row>
    <row r="41" spans="1:14" x14ac:dyDescent="0.25">
      <c r="A41" s="282" t="s">
        <v>365</v>
      </c>
      <c r="B41" s="302">
        <f>'Ind T6'!V8</f>
        <v>0.22095073520856837</v>
      </c>
      <c r="C41" s="299" t="str">
        <f>CONCATENATE("(",ROUND((B41/$H42)*100,1),")")</f>
        <v>(18.2)</v>
      </c>
      <c r="D41" s="302">
        <f>'Ind T6'!W8</f>
        <v>9.6198315951649613E-3</v>
      </c>
      <c r="E41" s="299" t="str">
        <f>CONCATENATE("(",ROUND((D41/$H42)*100,1),")")</f>
        <v>(0.8)</v>
      </c>
      <c r="F41" s="302">
        <f>'Ind T6'!X8</f>
        <v>0.17147731557159412</v>
      </c>
      <c r="G41" s="299" t="str">
        <f>CONCATENATE("(",ROUND((F41/$H42)*100,1),")")</f>
        <v>(14.1)</v>
      </c>
      <c r="H41" s="302">
        <f t="shared" ref="H41" si="46">SUM(B41,D41,F41)</f>
        <v>0.40204788237532746</v>
      </c>
      <c r="I41" s="299" t="str">
        <f>CONCATENATE("(",ROUND((H41/$H42)*100,1),")")</f>
        <v>(33.1)</v>
      </c>
      <c r="K41" s="302">
        <f t="shared" ref="K41:K42" si="47">B41-B31</f>
        <v>1.600876483735128E-2</v>
      </c>
      <c r="L41" s="302">
        <f t="shared" ref="L41:L42" si="48">D41-D31</f>
        <v>-2.816938809477882E-4</v>
      </c>
      <c r="M41" s="302">
        <f t="shared" ref="M41:M42" si="49">F41-F31</f>
        <v>1.9376159376942592E-2</v>
      </c>
      <c r="N41" s="302">
        <f t="shared" ref="N41:N42" si="50">SUM(K41:M41)</f>
        <v>3.5103230333346086E-2</v>
      </c>
    </row>
    <row r="42" spans="1:14" x14ac:dyDescent="0.25">
      <c r="A42" s="282" t="s">
        <v>363</v>
      </c>
      <c r="B42" s="302">
        <f>SUM(B40:B41)</f>
        <v>0.65893301496878198</v>
      </c>
      <c r="C42" s="299" t="str">
        <f>CONCATENATE("(",ROUND((B42/$H42)*100,1),")")</f>
        <v>(54.2)</v>
      </c>
      <c r="D42" s="302">
        <f>SUM(D40:D41)</f>
        <v>1.9646851829057899E-2</v>
      </c>
      <c r="E42" s="299" t="str">
        <f>CONCATENATE("(",ROUND((D42/$H42)*100,1),")")</f>
        <v>(1.6)</v>
      </c>
      <c r="F42" s="302">
        <f>SUM(F40:F41)</f>
        <v>0.53642013320215853</v>
      </c>
      <c r="G42" s="299" t="str">
        <f>CONCATENATE("(",ROUND((F42/$H42)*100,1),")")</f>
        <v>(44.1)</v>
      </c>
      <c r="H42" s="302">
        <f>SUM(H40:H41)</f>
        <v>1.2149999999999985</v>
      </c>
      <c r="I42" s="299" t="str">
        <f>CONCATENATE("(",ROUND((H42/$H42)*100,1),")")</f>
        <v>(100)</v>
      </c>
      <c r="K42" s="302">
        <f t="shared" si="47"/>
        <v>9.1801085476555855E-2</v>
      </c>
      <c r="L42" s="302">
        <f t="shared" si="48"/>
        <v>5.7906266969926651E-4</v>
      </c>
      <c r="M42" s="302">
        <f t="shared" si="49"/>
        <v>7.6198518537442528E-3</v>
      </c>
      <c r="N42" s="302">
        <f t="shared" si="50"/>
        <v>9.9999999999999367E-2</v>
      </c>
    </row>
    <row r="43" spans="1:14" x14ac:dyDescent="0.25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ht="13" x14ac:dyDescent="0.3">
      <c r="C46" s="182"/>
      <c r="E46" s="182"/>
      <c r="G46" s="182"/>
      <c r="I46" s="182"/>
    </row>
    <row r="47" spans="1:14" ht="13" x14ac:dyDescent="0.3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ht="13" x14ac:dyDescent="0.3">
      <c r="N48" s="287" t="s">
        <v>370</v>
      </c>
    </row>
    <row r="49" spans="1:14" ht="13" x14ac:dyDescent="0.3">
      <c r="A49" s="182" t="s">
        <v>371</v>
      </c>
      <c r="B49" s="373" t="s">
        <v>369</v>
      </c>
      <c r="C49" s="373"/>
      <c r="D49" s="373" t="s">
        <v>368</v>
      </c>
      <c r="E49" s="373"/>
      <c r="F49" s="373" t="s">
        <v>367</v>
      </c>
      <c r="G49" s="373"/>
      <c r="H49" s="373" t="s">
        <v>33</v>
      </c>
      <c r="I49" s="373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ht="13" x14ac:dyDescent="0.3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5">
      <c r="A51" s="282" t="s">
        <v>364</v>
      </c>
      <c r="B51" s="302">
        <f>'Ind T6'!L18</f>
        <v>0.12747906197626596</v>
      </c>
      <c r="C51" s="299" t="str">
        <f>CONCATENATE("(",ROUND((B51/$H53)*100,1),")")</f>
        <v>(82.2)</v>
      </c>
      <c r="D51" s="302">
        <f>'Ind T6'!M18</f>
        <v>2.1419597990060472E-3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0.12962102177527202</v>
      </c>
      <c r="I51" s="299" t="str">
        <f>CONCATENATE("(",ROUND((H51/$H53)*100,1),")")</f>
        <v>(83.6)</v>
      </c>
      <c r="K51" s="302">
        <f>B56-B51</f>
        <v>-3.7854131848153533E-2</v>
      </c>
      <c r="L51" s="302">
        <f>D56-D51</f>
        <v>-6.1876248207146209E-4</v>
      </c>
      <c r="M51" s="302">
        <f>F56-F51</f>
        <v>0</v>
      </c>
      <c r="N51" s="302">
        <f>SUM(K51:M51)</f>
        <v>-3.8472894330224994E-2</v>
      </c>
    </row>
    <row r="52" spans="1:14" x14ac:dyDescent="0.25">
      <c r="A52" s="282" t="s">
        <v>365</v>
      </c>
      <c r="B52" s="302">
        <f>'Ind T6'!L17</f>
        <v>2.2003768844478837E-2</v>
      </c>
      <c r="C52" s="299" t="str">
        <f>CONCATENATE("(",ROUND((B52/$H53)*100,1),")")</f>
        <v>(14.2)</v>
      </c>
      <c r="D52" s="302">
        <f>'Ind T6'!M17</f>
        <v>3.3752093802494141E-3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2.5378978224728253E-2</v>
      </c>
      <c r="I52" s="299" t="str">
        <f>CONCATENATE("(",ROUND((H52/$H53)*100,1),")")</f>
        <v>(16.4)</v>
      </c>
      <c r="K52" s="302">
        <f t="shared" ref="K52:K53" si="52">B57-B52</f>
        <v>-6.5890119966345688E-3</v>
      </c>
      <c r="L52" s="302">
        <f t="shared" ref="L52:L53" si="53">D57-D52</f>
        <v>-9.3809367314079883E-4</v>
      </c>
      <c r="M52" s="302">
        <f t="shared" ref="M52:M53" si="54">F57-F52</f>
        <v>0</v>
      </c>
      <c r="N52" s="302">
        <f t="shared" ref="N52:N53" si="55">SUM(K52:M52)</f>
        <v>-7.5271056697753681E-3</v>
      </c>
    </row>
    <row r="53" spans="1:14" x14ac:dyDescent="0.25">
      <c r="A53" s="282" t="s">
        <v>363</v>
      </c>
      <c r="B53" s="302">
        <f>SUM(B51:B52)</f>
        <v>0.14948283082074479</v>
      </c>
      <c r="C53" s="299" t="str">
        <f>CONCATENATE("(",ROUND((B53/$H53)*100,1),")")</f>
        <v>(96.4)</v>
      </c>
      <c r="D53" s="302">
        <f>SUM(D51:D52)</f>
        <v>5.5171691792554618E-3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0.15500000000000028</v>
      </c>
      <c r="I53" s="299" t="str">
        <f>CONCATENATE("(",ROUND((H53/$H53)*100,1),")")</f>
        <v>(100)</v>
      </c>
      <c r="K53" s="302">
        <f t="shared" si="52"/>
        <v>-4.4443143844788091E-2</v>
      </c>
      <c r="L53" s="302">
        <f t="shared" si="53"/>
        <v>-1.5568561552122611E-3</v>
      </c>
      <c r="M53" s="302">
        <f t="shared" si="54"/>
        <v>0</v>
      </c>
      <c r="N53" s="302">
        <f t="shared" si="55"/>
        <v>-4.6000000000000353E-2</v>
      </c>
    </row>
    <row r="54" spans="1:14" x14ac:dyDescent="0.25">
      <c r="B54" s="302"/>
      <c r="C54" s="284"/>
      <c r="D54" s="302"/>
      <c r="E54" s="284"/>
      <c r="F54" s="302"/>
      <c r="G54" s="284"/>
      <c r="H54" s="302"/>
      <c r="I54" s="284"/>
    </row>
    <row r="55" spans="1:14" ht="13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5">
      <c r="A56" s="282" t="s">
        <v>364</v>
      </c>
      <c r="B56" s="302">
        <f>'Ind T6'!Q18</f>
        <v>8.9624930128112429E-2</v>
      </c>
      <c r="C56" s="299" t="str">
        <f>CONCATENATE("(",ROUND((B56/$H58)*100,1),")")</f>
        <v>(82.2)</v>
      </c>
      <c r="D56" s="302">
        <f>'Ind T6'!R18</f>
        <v>1.5231973169345851E-3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9.1148127445047009E-2</v>
      </c>
      <c r="I56" s="299" t="str">
        <f>CONCATENATE("(",ROUND((H56/$H58)*100,1),")")</f>
        <v>(83.6)</v>
      </c>
      <c r="K56" s="302">
        <f>B61-B56</f>
        <v>-3.7716864213391661E-2</v>
      </c>
      <c r="L56" s="302">
        <f>D61-D56</f>
        <v>-5.396760680202845E-4</v>
      </c>
      <c r="M56" s="302">
        <f>F61-F56</f>
        <v>0</v>
      </c>
      <c r="N56" s="302">
        <f>SUM(K56:M56)</f>
        <v>-3.8256540281411948E-2</v>
      </c>
    </row>
    <row r="57" spans="1:14" x14ac:dyDescent="0.25">
      <c r="A57" s="282" t="s">
        <v>365</v>
      </c>
      <c r="B57" s="302">
        <f>'Ind T6'!Q17</f>
        <v>1.5414756847844269E-2</v>
      </c>
      <c r="C57" s="299" t="str">
        <f>CONCATENATE("(",ROUND((B57/$H58)*100,1),")")</f>
        <v>(14.1)</v>
      </c>
      <c r="D57" s="302">
        <f>'Ind T6'!R17</f>
        <v>2.4371157071086153E-3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1.7851872554952884E-2</v>
      </c>
      <c r="I57" s="299" t="str">
        <f>CONCATENATE("(",ROUND((H57/$H58)*100,1),")")</f>
        <v>(16.4)</v>
      </c>
      <c r="K57" s="302">
        <f t="shared" ref="K57:K58" si="57">B62-B57</f>
        <v>-6.7816258848579867E-3</v>
      </c>
      <c r="L57" s="302">
        <f t="shared" ref="L57:L58" si="58">D62-D57</f>
        <v>-9.6183383373001888E-4</v>
      </c>
      <c r="M57" s="302">
        <f t="shared" ref="M57:M58" si="59">F62-F57</f>
        <v>0</v>
      </c>
      <c r="N57" s="302">
        <f t="shared" ref="N57:N58" si="60">SUM(K57:M57)</f>
        <v>-7.7434597185880054E-3</v>
      </c>
    </row>
    <row r="58" spans="1:14" x14ac:dyDescent="0.25">
      <c r="A58" s="282" t="s">
        <v>363</v>
      </c>
      <c r="B58" s="302">
        <f>SUM(B56:B57)</f>
        <v>0.1050396869759567</v>
      </c>
      <c r="C58" s="299" t="str">
        <f>CONCATENATE("(",ROUND((B58/$H58)*100,1),")")</f>
        <v>(96.4)</v>
      </c>
      <c r="D58" s="302">
        <f>SUM(D56:D57)</f>
        <v>3.9603130240432006E-3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0.10899999999999989</v>
      </c>
      <c r="I58" s="299" t="str">
        <f>CONCATENATE("(",ROUND((H58/$H58)*100,1),")")</f>
        <v>(100)</v>
      </c>
      <c r="K58" s="302">
        <f t="shared" si="57"/>
        <v>-4.4498490098249646E-2</v>
      </c>
      <c r="L58" s="302">
        <f t="shared" si="58"/>
        <v>-1.5015099017503036E-3</v>
      </c>
      <c r="M58" s="302">
        <f t="shared" si="59"/>
        <v>0</v>
      </c>
      <c r="N58" s="302">
        <f t="shared" si="60"/>
        <v>-4.5999999999999951E-2</v>
      </c>
    </row>
    <row r="59" spans="1:14" x14ac:dyDescent="0.25">
      <c r="B59" s="302"/>
      <c r="C59" s="284"/>
      <c r="D59" s="302"/>
      <c r="E59" s="284"/>
      <c r="F59" s="302"/>
      <c r="G59" s="284"/>
      <c r="H59" s="302"/>
      <c r="I59" s="284"/>
    </row>
    <row r="60" spans="1:14" ht="13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5">
      <c r="A61" s="282" t="s">
        <v>364</v>
      </c>
      <c r="B61" s="302">
        <f>'Ind T6'!V18</f>
        <v>5.1908065914720768E-2</v>
      </c>
      <c r="C61" s="299" t="str">
        <f>CONCATENATE("(",ROUND((B61/$H63)*100,1),")")</f>
        <v>(82.4)</v>
      </c>
      <c r="D61" s="302">
        <f>'Ind T6'!W18</f>
        <v>9.8352124891430063E-4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5.2891587163635068E-2</v>
      </c>
      <c r="I61" s="299" t="str">
        <f>CONCATENATE("(",ROUND((H61/$H63)*100,1),")")</f>
        <v>(84)</v>
      </c>
      <c r="K61" s="302">
        <f>B61-B51</f>
        <v>-7.5570996061545187E-2</v>
      </c>
      <c r="L61" s="302">
        <f>D61-D51</f>
        <v>-1.1584385500917466E-3</v>
      </c>
      <c r="M61" s="302">
        <f>F61-F51</f>
        <v>0</v>
      </c>
      <c r="N61" s="302">
        <f>SUM(K61:M61)</f>
        <v>-7.6729434611636935E-2</v>
      </c>
    </row>
    <row r="62" spans="1:14" x14ac:dyDescent="0.25">
      <c r="A62" s="282" t="s">
        <v>365</v>
      </c>
      <c r="B62" s="302">
        <f>'Ind T6'!V17</f>
        <v>8.633130962986282E-3</v>
      </c>
      <c r="C62" s="299" t="str">
        <f>CONCATENATE("(",ROUND((B62/$H63)*100,1),")")</f>
        <v>(13.7)</v>
      </c>
      <c r="D62" s="302">
        <f>'Ind T6'!W17</f>
        <v>1.4752818733785964E-3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1.0108412836364879E-2</v>
      </c>
      <c r="I62" s="299" t="str">
        <f>CONCATENATE("(",ROUND((H62/$H63)*100,1),")")</f>
        <v>(16)</v>
      </c>
      <c r="K62" s="302">
        <f t="shared" ref="K62:K63" si="62">B62-B52</f>
        <v>-1.3370637881492555E-2</v>
      </c>
      <c r="L62" s="302">
        <f t="shared" ref="L62:L63" si="63">D62-D52</f>
        <v>-1.8999275068708177E-3</v>
      </c>
      <c r="M62" s="302">
        <f t="shared" ref="M62:M63" si="64">F62-F52</f>
        <v>0</v>
      </c>
      <c r="N62" s="302">
        <f t="shared" ref="N62:N63" si="65">SUM(K62:M62)</f>
        <v>-1.5270565388363373E-2</v>
      </c>
    </row>
    <row r="63" spans="1:14" x14ac:dyDescent="0.25">
      <c r="A63" s="282" t="s">
        <v>363</v>
      </c>
      <c r="B63" s="302">
        <f>SUM(B61:B62)</f>
        <v>6.0541196877707051E-2</v>
      </c>
      <c r="C63" s="299" t="str">
        <f>CONCATENATE("(",ROUND((B63/$H63)*100,1),")")</f>
        <v>(96.1)</v>
      </c>
      <c r="D63" s="302">
        <f>SUM(D61:D62)</f>
        <v>2.458803122292897E-3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6.2999999999999945E-2</v>
      </c>
      <c r="I63" s="299" t="str">
        <f>CONCATENATE("(",ROUND((H63/$H63)*100,1),")")</f>
        <v>(100)</v>
      </c>
      <c r="K63" s="302">
        <f t="shared" si="62"/>
        <v>-8.8941633943037737E-2</v>
      </c>
      <c r="L63" s="302">
        <f t="shared" si="63"/>
        <v>-3.0583660569625647E-3</v>
      </c>
      <c r="M63" s="302">
        <f t="shared" si="64"/>
        <v>0</v>
      </c>
      <c r="N63" s="302">
        <f t="shared" si="65"/>
        <v>-9.2000000000000304E-2</v>
      </c>
    </row>
    <row r="64" spans="1:14" x14ac:dyDescent="0.25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ht="13" x14ac:dyDescent="0.3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ht="13" x14ac:dyDescent="0.3">
      <c r="N69" s="287" t="s">
        <v>370</v>
      </c>
    </row>
    <row r="70" spans="1:14" ht="13" x14ac:dyDescent="0.3">
      <c r="A70" s="182" t="s">
        <v>371</v>
      </c>
      <c r="B70" s="373" t="s">
        <v>369</v>
      </c>
      <c r="C70" s="373"/>
      <c r="D70" s="373" t="s">
        <v>368</v>
      </c>
      <c r="E70" s="373"/>
      <c r="F70" s="373" t="s">
        <v>367</v>
      </c>
      <c r="G70" s="373"/>
      <c r="H70" s="373" t="s">
        <v>33</v>
      </c>
      <c r="I70" s="373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ht="13" x14ac:dyDescent="0.3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5">
      <c r="A72" s="282" t="s">
        <v>364</v>
      </c>
      <c r="B72" s="302">
        <f>'Ind T6'!L27</f>
        <v>3.7305585875622804</v>
      </c>
      <c r="C72" s="299" t="str">
        <f>CONCATENATE("(",ROUND((B72/$H74)*100,1),")")</f>
        <v>(59.2)</v>
      </c>
      <c r="D72" s="302">
        <f>'Ind T6'!M27</f>
        <v>0.34827642443046219</v>
      </c>
      <c r="E72" s="299" t="str">
        <f>CONCATENATE("(",ROUND((D72/$H74)*100,1),")")</f>
        <v>(5.5)</v>
      </c>
      <c r="F72" s="302">
        <f>'Ind T6'!N27</f>
        <v>6.4345406102791172E-2</v>
      </c>
      <c r="G72" s="299" t="str">
        <f>CONCATENATE("(",ROUND((F72/$H74)*100,1),")")</f>
        <v>(1)</v>
      </c>
      <c r="H72" s="302">
        <f>SUM(B72,D72,F72)</f>
        <v>4.1431804180955334</v>
      </c>
      <c r="I72" s="299" t="str">
        <f>CONCATENATE("(",ROUND((H72/$H74)*100,1),")")</f>
        <v>(65.8)</v>
      </c>
      <c r="K72" s="302">
        <f>B77-B72</f>
        <v>-3.1539518149227508E-2</v>
      </c>
      <c r="L72" s="302">
        <f>D77-D72</f>
        <v>9.5481813297737528E-4</v>
      </c>
      <c r="M72" s="302">
        <f>F77-F72</f>
        <v>5.7224983333493962E-4</v>
      </c>
      <c r="N72" s="302">
        <f>SUM(K72:M72)</f>
        <v>-3.0012450182915193E-2</v>
      </c>
    </row>
    <row r="73" spans="1:14" x14ac:dyDescent="0.25">
      <c r="A73" s="282" t="s">
        <v>365</v>
      </c>
      <c r="B73" s="302">
        <f>'Ind T6'!L26</f>
        <v>1.6462467939333201</v>
      </c>
      <c r="C73" s="299" t="str">
        <f>CONCATENATE("(",ROUND((B73/$H74)*100,1),")")</f>
        <v>(26.1)</v>
      </c>
      <c r="D73" s="302">
        <f>'Ind T6'!M26</f>
        <v>0.40450951573279742</v>
      </c>
      <c r="E73" s="299" t="str">
        <f>CONCATENATE("(",ROUND((D73/$H74)*100,1),")")</f>
        <v>(6.4)</v>
      </c>
      <c r="F73" s="302">
        <f>'Ind T6'!N26</f>
        <v>0.10306327223834941</v>
      </c>
      <c r="G73" s="299" t="str">
        <f>CONCATENATE("(",ROUND((F73/$H74)*100,1),")")</f>
        <v>(1.6)</v>
      </c>
      <c r="H73" s="302">
        <f t="shared" ref="H73" si="66">SUM(B73,D73,F73)</f>
        <v>2.1538195819044668</v>
      </c>
      <c r="I73" s="299" t="str">
        <f>CONCATENATE("(",ROUND((H73/$H74)*100,1),")")</f>
        <v>(34.2)</v>
      </c>
      <c r="K73" s="302">
        <f t="shared" ref="K73:K74" si="67">B78-B73</f>
        <v>6.5703515215095321E-2</v>
      </c>
      <c r="L73" s="302">
        <f t="shared" ref="L73:L74" si="68">D78-D73</f>
        <v>2.6034466830454628E-4</v>
      </c>
      <c r="M73" s="302">
        <f t="shared" ref="M73:M74" si="69">F78-F73</f>
        <v>3.0485902995231184E-3</v>
      </c>
      <c r="N73" s="302">
        <f t="shared" ref="N73:N74" si="70">SUM(K73:M73)</f>
        <v>6.9012450182922985E-2</v>
      </c>
    </row>
    <row r="74" spans="1:14" x14ac:dyDescent="0.25">
      <c r="A74" s="282" t="s">
        <v>363</v>
      </c>
      <c r="B74" s="302">
        <f>SUM(B72:B73)</f>
        <v>5.3768053814956005</v>
      </c>
      <c r="C74" s="299" t="str">
        <f>CONCATENATE("(",ROUND((B74/$H74)*100,1),")")</f>
        <v>(85.4)</v>
      </c>
      <c r="D74" s="302">
        <f>SUM(D72:D73)</f>
        <v>0.75278594016325961</v>
      </c>
      <c r="E74" s="299" t="str">
        <f>CONCATENATE("(",ROUND((D74/$H74)*100,1),")")</f>
        <v>(12)</v>
      </c>
      <c r="F74" s="302">
        <f>SUM(F72:F73)</f>
        <v>0.16740867834114059</v>
      </c>
      <c r="G74" s="299" t="str">
        <f>CONCATENATE("(",ROUND((F74/$H74)*100,1),")")</f>
        <v>(2.7)</v>
      </c>
      <c r="H74" s="302">
        <f>SUM(H72:H73)</f>
        <v>6.2970000000000006</v>
      </c>
      <c r="I74" s="299" t="str">
        <f>CONCATENATE("(",ROUND((H74/$H74)*100,1),")")</f>
        <v>(100)</v>
      </c>
      <c r="K74" s="302">
        <f t="shared" si="67"/>
        <v>3.4163997065867591E-2</v>
      </c>
      <c r="L74" s="302">
        <f t="shared" si="68"/>
        <v>1.215162801281866E-3</v>
      </c>
      <c r="M74" s="302">
        <f t="shared" si="69"/>
        <v>3.6208401328580442E-3</v>
      </c>
      <c r="N74" s="302">
        <f t="shared" si="70"/>
        <v>3.9000000000007501E-2</v>
      </c>
    </row>
    <row r="75" spans="1:14" x14ac:dyDescent="0.25">
      <c r="B75" s="302"/>
      <c r="C75" s="284"/>
      <c r="D75" s="302"/>
      <c r="E75" s="284"/>
      <c r="F75" s="302"/>
      <c r="G75" s="284"/>
      <c r="H75" s="302"/>
      <c r="I75" s="284"/>
    </row>
    <row r="76" spans="1:14" ht="13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5">
      <c r="A77" s="282" t="s">
        <v>364</v>
      </c>
      <c r="B77" s="302">
        <f>'Ind T6'!Q27</f>
        <v>3.6990190694130529</v>
      </c>
      <c r="C77" s="299" t="str">
        <f>CONCATENATE("(",ROUND((B77/$H79)*100,1),")")</f>
        <v>(58.4)</v>
      </c>
      <c r="D77" s="302">
        <f>'Ind T6'!R27</f>
        <v>0.34923124256343957</v>
      </c>
      <c r="E77" s="299" t="str">
        <f>CONCATENATE("(",ROUND((D77/$H79)*100,1),")")</f>
        <v>(5.5)</v>
      </c>
      <c r="F77" s="302">
        <f>'Ind T6'!S27</f>
        <v>6.4917655936126112E-2</v>
      </c>
      <c r="G77" s="299" t="str">
        <f>CONCATENATE("(",ROUND((F77/$H79)*100,1),")")</f>
        <v>(1)</v>
      </c>
      <c r="H77" s="302">
        <f>SUM(B77,D77,F77)</f>
        <v>4.1131679679126183</v>
      </c>
      <c r="I77" s="299" t="str">
        <f>CONCATENATE("(",ROUND((H77/$H79)*100,1),")")</f>
        <v>(64.9)</v>
      </c>
      <c r="K77" s="302">
        <f>B82-B77</f>
        <v>-0.18648346519215409</v>
      </c>
      <c r="L77" s="302">
        <f>D82-D77</f>
        <v>-1.0323475718049757E-2</v>
      </c>
      <c r="M77" s="302">
        <f>F82-F77</f>
        <v>4.206519253635993E-4</v>
      </c>
      <c r="N77" s="302">
        <f>SUM(K77:M77)</f>
        <v>-0.19638628898484023</v>
      </c>
    </row>
    <row r="78" spans="1:14" x14ac:dyDescent="0.25">
      <c r="A78" s="282" t="s">
        <v>365</v>
      </c>
      <c r="B78" s="302">
        <f>'Ind T6'!Q26</f>
        <v>1.7119503091484154</v>
      </c>
      <c r="C78" s="299" t="str">
        <f>CONCATENATE("(",ROUND((B78/$H79)*100,1),")")</f>
        <v>(27)</v>
      </c>
      <c r="D78" s="302">
        <f>'Ind T6'!R26</f>
        <v>0.40476986040110197</v>
      </c>
      <c r="E78" s="299" t="str">
        <f>CONCATENATE("(",ROUND((D78/$H79)*100,1),")")</f>
        <v>(6.4)</v>
      </c>
      <c r="F78" s="302">
        <f>'Ind T6'!S26</f>
        <v>0.10611186253787253</v>
      </c>
      <c r="G78" s="299" t="str">
        <f>CONCATENATE("(",ROUND((F78/$H79)*100,1),")")</f>
        <v>(1.7)</v>
      </c>
      <c r="H78" s="302">
        <f t="shared" ref="H78" si="71">SUM(B78,D78,F78)</f>
        <v>2.22283203208739</v>
      </c>
      <c r="I78" s="299" t="str">
        <f>CONCATENATE("(",ROUND((H78/$H79)*100,1),")")</f>
        <v>(35.1)</v>
      </c>
      <c r="K78" s="302">
        <f t="shared" ref="K78:K79" si="72">B83-B78</f>
        <v>6.2919475859260166E-2</v>
      </c>
      <c r="L78" s="302">
        <f t="shared" ref="L78:L79" si="73">D83-D78</f>
        <v>-1.4776051135941604E-2</v>
      </c>
      <c r="M78" s="302">
        <f t="shared" ref="M78:M79" si="74">F83-F78</f>
        <v>1.2428642614950303E-3</v>
      </c>
      <c r="N78" s="302">
        <f t="shared" ref="N78:N79" si="75">SUM(K78:M78)</f>
        <v>4.9386288984813592E-2</v>
      </c>
    </row>
    <row r="79" spans="1:14" x14ac:dyDescent="0.25">
      <c r="A79" s="282" t="s">
        <v>363</v>
      </c>
      <c r="B79" s="302">
        <f>SUM(B77:B78)</f>
        <v>5.4109693785614681</v>
      </c>
      <c r="C79" s="299" t="str">
        <f>CONCATENATE("(",ROUND((B79/$H79)*100,1),")")</f>
        <v>(85.4)</v>
      </c>
      <c r="D79" s="302">
        <f>SUM(D77:D78)</f>
        <v>0.75400110296454148</v>
      </c>
      <c r="E79" s="299" t="str">
        <f>CONCATENATE("(",ROUND((D79/$H79)*100,1),")")</f>
        <v>(11.9)</v>
      </c>
      <c r="F79" s="302">
        <f>SUM(F77:F78)</f>
        <v>0.17102951847399864</v>
      </c>
      <c r="G79" s="299" t="str">
        <f>CONCATENATE("(",ROUND((F79/$H79)*100,1),")")</f>
        <v>(2.7)</v>
      </c>
      <c r="H79" s="302">
        <f>SUM(H77:H78)</f>
        <v>6.3360000000000083</v>
      </c>
      <c r="I79" s="299" t="str">
        <f>CONCATENATE("(",ROUND((H79/$H79)*100,1),")")</f>
        <v>(100)</v>
      </c>
      <c r="K79" s="302">
        <f t="shared" si="72"/>
        <v>-0.1235639893328937</v>
      </c>
      <c r="L79" s="302">
        <f t="shared" si="73"/>
        <v>-2.5099526853991305E-2</v>
      </c>
      <c r="M79" s="302">
        <f t="shared" si="74"/>
        <v>1.6635161868586434E-3</v>
      </c>
      <c r="N79" s="302">
        <f t="shared" si="75"/>
        <v>-0.14700000000002636</v>
      </c>
    </row>
    <row r="80" spans="1:14" x14ac:dyDescent="0.25">
      <c r="B80" s="302"/>
      <c r="C80" s="284"/>
      <c r="D80" s="302"/>
      <c r="E80" s="284"/>
      <c r="F80" s="302"/>
      <c r="G80" s="284"/>
      <c r="H80" s="302"/>
      <c r="I80" s="284"/>
    </row>
    <row r="81" spans="1:14" ht="13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5">
      <c r="A82" s="282" t="s">
        <v>364</v>
      </c>
      <c r="B82" s="302">
        <f>'Ind T6'!V27</f>
        <v>3.5125356042208988</v>
      </c>
      <c r="C82" s="299" t="str">
        <f>CONCATENATE("(",ROUND((B82/$H84)*100,1),")")</f>
        <v>(56.8)</v>
      </c>
      <c r="D82" s="302">
        <f>'Ind T6'!W27</f>
        <v>0.33890776684538981</v>
      </c>
      <c r="E82" s="299" t="str">
        <f>CONCATENATE("(",ROUND((D82/$H84)*100,1),")")</f>
        <v>(5.5)</v>
      </c>
      <c r="F82" s="302">
        <f>'Ind T6'!X27</f>
        <v>6.5338307861489711E-2</v>
      </c>
      <c r="G82" s="299" t="str">
        <f>CONCATENATE("(",ROUND((F82/$H84)*100,1),")")</f>
        <v>(1.1)</v>
      </c>
      <c r="H82" s="302">
        <f>SUM(B82,D82,F82)</f>
        <v>3.9167816789277783</v>
      </c>
      <c r="I82" s="299" t="str">
        <f>CONCATENATE("(",ROUND((H82/$H84)*100,1),")")</f>
        <v>(63.3)</v>
      </c>
      <c r="K82" s="302">
        <f>B82-B72</f>
        <v>-0.21802298334138159</v>
      </c>
      <c r="L82" s="302">
        <f>D82-D72</f>
        <v>-9.3686575850723819E-3</v>
      </c>
      <c r="M82" s="302">
        <f>F82-F72</f>
        <v>9.9290175869853892E-4</v>
      </c>
      <c r="N82" s="302">
        <f>SUM(K82:M82)</f>
        <v>-0.22639873916775544</v>
      </c>
    </row>
    <row r="83" spans="1:14" x14ac:dyDescent="0.25">
      <c r="A83" s="282" t="s">
        <v>365</v>
      </c>
      <c r="B83" s="302">
        <f>'Ind T6'!V26</f>
        <v>1.7748697850076756</v>
      </c>
      <c r="C83" s="299" t="str">
        <f>CONCATENATE("(",ROUND((B83/$H84)*100,1),")")</f>
        <v>(28.7)</v>
      </c>
      <c r="D83" s="302">
        <f>'Ind T6'!W26</f>
        <v>0.38999380926516036</v>
      </c>
      <c r="E83" s="299" t="str">
        <f>CONCATENATE("(",ROUND((D83/$H84)*100,1),")")</f>
        <v>(6.3)</v>
      </c>
      <c r="F83" s="302">
        <f>'Ind T6'!X26</f>
        <v>0.10735472679936756</v>
      </c>
      <c r="G83" s="299" t="str">
        <f>CONCATENATE("(",ROUND((F83/$H84)*100,1),")")</f>
        <v>(1.7)</v>
      </c>
      <c r="H83" s="302">
        <f t="shared" ref="H83" si="76">SUM(B83,D83,F83)</f>
        <v>2.2722183210722036</v>
      </c>
      <c r="I83" s="299" t="str">
        <f>CONCATENATE("(",ROUND((H83/$H84)*100,1),")")</f>
        <v>(36.7)</v>
      </c>
      <c r="K83" s="302">
        <f t="shared" ref="K83:K84" si="77">B83-B73</f>
        <v>0.12862299107435549</v>
      </c>
      <c r="L83" s="302">
        <f t="shared" ref="L83:L84" si="78">D83-D73</f>
        <v>-1.4515706467637057E-2</v>
      </c>
      <c r="M83" s="302">
        <f t="shared" ref="M83:M84" si="79">F83-F73</f>
        <v>4.2914545610181487E-3</v>
      </c>
      <c r="N83" s="302">
        <f t="shared" ref="N83:N84" si="80">SUM(K83:M83)</f>
        <v>0.11839873916773658</v>
      </c>
    </row>
    <row r="84" spans="1:14" x14ac:dyDescent="0.25">
      <c r="A84" s="282" t="s">
        <v>363</v>
      </c>
      <c r="B84" s="302">
        <f>SUM(B82:B83)</f>
        <v>5.2874053892285744</v>
      </c>
      <c r="C84" s="299" t="str">
        <f>CONCATENATE("(",ROUND((B84/$H84)*100,1),")")</f>
        <v>(85.4)</v>
      </c>
      <c r="D84" s="302">
        <f>SUM(D82:D83)</f>
        <v>0.72890157611055018</v>
      </c>
      <c r="E84" s="299" t="str">
        <f>CONCATENATE("(",ROUND((D84/$H84)*100,1),")")</f>
        <v>(11.8)</v>
      </c>
      <c r="F84" s="302">
        <f>SUM(F82:F83)</f>
        <v>0.17269303466085728</v>
      </c>
      <c r="G84" s="299" t="str">
        <f>CONCATENATE("(",ROUND((F84/$H84)*100,1),")")</f>
        <v>(2.8)</v>
      </c>
      <c r="H84" s="302">
        <f>SUM(H82:H83)</f>
        <v>6.1889999999999823</v>
      </c>
      <c r="I84" s="299" t="str">
        <f>CONCATENATE("(",ROUND((H84/$H84)*100,1),")")</f>
        <v>(100)</v>
      </c>
      <c r="K84" s="302">
        <f t="shared" si="77"/>
        <v>-8.9399992267026107E-2</v>
      </c>
      <c r="L84" s="302">
        <f t="shared" si="78"/>
        <v>-2.3884364052709439E-2</v>
      </c>
      <c r="M84" s="302">
        <f t="shared" si="79"/>
        <v>5.2843563197166876E-3</v>
      </c>
      <c r="N84" s="302">
        <f t="shared" si="80"/>
        <v>-0.10800000000001886</v>
      </c>
    </row>
    <row r="85" spans="1:14" x14ac:dyDescent="0.25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ht="13" x14ac:dyDescent="0.3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ht="13" x14ac:dyDescent="0.3">
      <c r="N90" s="287" t="s">
        <v>370</v>
      </c>
    </row>
    <row r="91" spans="1:14" ht="13" x14ac:dyDescent="0.3">
      <c r="A91" s="182" t="s">
        <v>371</v>
      </c>
      <c r="B91" s="373" t="s">
        <v>369</v>
      </c>
      <c r="C91" s="373"/>
      <c r="D91" s="373" t="s">
        <v>368</v>
      </c>
      <c r="E91" s="373"/>
      <c r="F91" s="373" t="s">
        <v>367</v>
      </c>
      <c r="G91" s="373"/>
      <c r="H91" s="373" t="s">
        <v>33</v>
      </c>
      <c r="I91" s="373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ht="13" x14ac:dyDescent="0.3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5">
      <c r="A93" s="282" t="s">
        <v>364</v>
      </c>
      <c r="B93" s="302">
        <f>'Ind T6'!L36</f>
        <v>5.2916351075308716</v>
      </c>
      <c r="C93" s="299" t="str">
        <f>CONCATENATE("(",ROUND((B93/$H95)*100,1),")")</f>
        <v>(71.4)</v>
      </c>
      <c r="D93" s="302">
        <f>'Ind T6'!M36</f>
        <v>0.20197702260520581</v>
      </c>
      <c r="E93" s="299" t="str">
        <f>CONCATENATE("(",ROUND((D93/$H95)*100,1),")")</f>
        <v>(2.7)</v>
      </c>
      <c r="F93" s="302">
        <f>'Ind T6'!N36</f>
        <v>0.19888221338614046</v>
      </c>
      <c r="G93" s="299" t="str">
        <f>CONCATENATE("(",ROUND((F93/$H95)*100,1),")")</f>
        <v>(2.7)</v>
      </c>
      <c r="H93" s="302">
        <f>SUM(B93,D93,F93)</f>
        <v>5.6924943435222177</v>
      </c>
      <c r="I93" s="299" t="str">
        <f>CONCATENATE("(",ROUND((H93/$H95)*100,1),")")</f>
        <v>(76.8)</v>
      </c>
      <c r="K93" s="302">
        <f>B98-B93</f>
        <v>0.32048238405854779</v>
      </c>
      <c r="L93" s="302">
        <f>D98-D93</f>
        <v>2.1612041325832748E-2</v>
      </c>
      <c r="M93" s="302">
        <f>F98-F93</f>
        <v>1.5910428137642624E-2</v>
      </c>
      <c r="N93" s="302">
        <f>SUM(K93:M93)</f>
        <v>0.35800485352202316</v>
      </c>
    </row>
    <row r="94" spans="1:14" x14ac:dyDescent="0.25">
      <c r="A94" s="282" t="s">
        <v>365</v>
      </c>
      <c r="B94" s="302">
        <f>'Ind T6'!L35</f>
        <v>1.2864633262276473</v>
      </c>
      <c r="C94" s="299" t="str">
        <f>CONCATENATE("(",ROUND((B94/$H95)*100,1),")")</f>
        <v>(17.3)</v>
      </c>
      <c r="D94" s="302">
        <f>'Ind T6'!M35</f>
        <v>0.32951573929691375</v>
      </c>
      <c r="E94" s="299" t="str">
        <f>CONCATENATE("(",ROUND((D94/$H95)*100,1),")")</f>
        <v>(4.4)</v>
      </c>
      <c r="F94" s="302">
        <f>'Ind T6'!N35</f>
        <v>0.1065265909532092</v>
      </c>
      <c r="G94" s="299" t="str">
        <f>CONCATENATE("(",ROUND((F94/$H95)*100,1),")")</f>
        <v>(1.4)</v>
      </c>
      <c r="H94" s="302">
        <f t="shared" ref="H94" si="81">SUM(B94,D94,F94)</f>
        <v>1.7225056564777701</v>
      </c>
      <c r="I94" s="299" t="str">
        <f>CONCATENATE("(",ROUND((H94/$H95)*100,1),")")</f>
        <v>(23.2)</v>
      </c>
      <c r="K94" s="302">
        <f t="shared" ref="K94:K95" si="82">B99-B94</f>
        <v>6.9785073030183886E-2</v>
      </c>
      <c r="L94" s="302">
        <f t="shared" ref="L94:L95" si="83">D99-D94</f>
        <v>1.7383173193059542E-2</v>
      </c>
      <c r="M94" s="302">
        <f t="shared" ref="M94:M95" si="84">F99-F94</f>
        <v>7.8269002547486782E-3</v>
      </c>
      <c r="N94" s="302">
        <f t="shared" ref="N94:N95" si="85">SUM(K94:M94)</f>
        <v>9.4995146477992107E-2</v>
      </c>
    </row>
    <row r="95" spans="1:14" x14ac:dyDescent="0.25">
      <c r="A95" s="282" t="s">
        <v>363</v>
      </c>
      <c r="B95" s="302">
        <f>SUM(B93:B94)</f>
        <v>6.5780984337585187</v>
      </c>
      <c r="C95" s="299" t="str">
        <f>CONCATENATE("(",ROUND((B95/$H95)*100,1),")")</f>
        <v>(88.7)</v>
      </c>
      <c r="D95" s="302">
        <f>SUM(D93:D94)</f>
        <v>0.53149276190211958</v>
      </c>
      <c r="E95" s="299" t="str">
        <f>CONCATENATE("(",ROUND((D95/$H95)*100,1),")")</f>
        <v>(7.2)</v>
      </c>
      <c r="F95" s="302">
        <f>SUM(F93:F94)</f>
        <v>0.30540880433934964</v>
      </c>
      <c r="G95" s="299" t="str">
        <f>CONCATENATE("(",ROUND((F95/$H95)*100,1),")")</f>
        <v>(4.1)</v>
      </c>
      <c r="H95" s="302">
        <f>SUM(H93:H94)</f>
        <v>7.4149999999999876</v>
      </c>
      <c r="I95" s="299" t="str">
        <f>CONCATENATE("(",ROUND((H95/$H95)*100,1),")")</f>
        <v>(100)</v>
      </c>
      <c r="K95" s="302">
        <f t="shared" si="82"/>
        <v>0.39026745708873189</v>
      </c>
      <c r="L95" s="302">
        <f t="shared" si="83"/>
        <v>3.8995214518892207E-2</v>
      </c>
      <c r="M95" s="302">
        <f t="shared" si="84"/>
        <v>2.3737328392391344E-2</v>
      </c>
      <c r="N95" s="302">
        <f t="shared" si="85"/>
        <v>0.45300000000001545</v>
      </c>
    </row>
    <row r="96" spans="1:14" x14ac:dyDescent="0.25">
      <c r="B96" s="302"/>
      <c r="C96" s="284"/>
      <c r="D96" s="302"/>
      <c r="E96" s="284"/>
      <c r="F96" s="302"/>
      <c r="G96" s="284"/>
      <c r="H96" s="302"/>
      <c r="I96" s="284"/>
    </row>
    <row r="97" spans="1:14" ht="13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5">
      <c r="A98" s="282" t="s">
        <v>364</v>
      </c>
      <c r="B98" s="302">
        <f>'Ind T6'!Q36</f>
        <v>5.6121174915894194</v>
      </c>
      <c r="C98" s="299" t="str">
        <f>CONCATENATE("(",ROUND((B98/$H100)*100,1),")")</f>
        <v>(71.3)</v>
      </c>
      <c r="D98" s="302">
        <f>'Ind T6'!R36</f>
        <v>0.22358906393103856</v>
      </c>
      <c r="E98" s="299" t="str">
        <f>CONCATENATE("(",ROUND((D98/$H100)*100,1),")")</f>
        <v>(2.8)</v>
      </c>
      <c r="F98" s="302">
        <f>'Ind T6'!S36</f>
        <v>0.21479264152378308</v>
      </c>
      <c r="G98" s="299" t="str">
        <f>CONCATENATE("(",ROUND((F98/$H100)*100,1),")")</f>
        <v>(2.7)</v>
      </c>
      <c r="H98" s="302">
        <f>SUM(B98,D98,F98)</f>
        <v>6.0504991970442408</v>
      </c>
      <c r="I98" s="299" t="str">
        <f>CONCATENATE("(",ROUND((H98/$H100)*100,1),")")</f>
        <v>(76.9)</v>
      </c>
      <c r="K98" s="302">
        <f>B103-B98</f>
        <v>-0.55442222962825483</v>
      </c>
      <c r="L98" s="302">
        <f>D103-D98</f>
        <v>-7.8359557416369241E-3</v>
      </c>
      <c r="M98" s="302">
        <f>F103-F98</f>
        <v>-1.2984942264942095E-2</v>
      </c>
      <c r="N98" s="302">
        <f>SUM(K98:M98)</f>
        <v>-0.57524312763483387</v>
      </c>
    </row>
    <row r="99" spans="1:14" x14ac:dyDescent="0.25">
      <c r="A99" s="282" t="s">
        <v>365</v>
      </c>
      <c r="B99" s="302">
        <f>'Ind T6'!Q35</f>
        <v>1.3562483992578311</v>
      </c>
      <c r="C99" s="299" t="str">
        <f>CONCATENATE("(",ROUND((B99/$H100)*100,1),")")</f>
        <v>(17.2)</v>
      </c>
      <c r="D99" s="302">
        <f>'Ind T6'!R35</f>
        <v>0.34689891248997329</v>
      </c>
      <c r="E99" s="299" t="str">
        <f>CONCATENATE("(",ROUND((D99/$H100)*100,1),")")</f>
        <v>(4.4)</v>
      </c>
      <c r="F99" s="302">
        <f>'Ind T6'!S35</f>
        <v>0.11435349120795787</v>
      </c>
      <c r="G99" s="299" t="str">
        <f>CONCATENATE("(",ROUND((F99/$H100)*100,1),")")</f>
        <v>(1.5)</v>
      </c>
      <c r="H99" s="302">
        <f t="shared" ref="H99" si="86">SUM(B99,D99,F99)</f>
        <v>1.8175008029557622</v>
      </c>
      <c r="I99" s="299" t="str">
        <f>CONCATENATE("(",ROUND((H99/$H100)*100,1),")")</f>
        <v>(23.1)</v>
      </c>
      <c r="K99" s="302">
        <f t="shared" ref="K99:K100" si="87">B104-B99</f>
        <v>-0.1588667364023133</v>
      </c>
      <c r="L99" s="302">
        <f t="shared" ref="L99:L100" si="88">D104-D99</f>
        <v>-3.6894075017623651E-2</v>
      </c>
      <c r="M99" s="302">
        <f t="shared" ref="M99:M100" si="89">F104-F99</f>
        <v>-5.9960609452345687E-3</v>
      </c>
      <c r="N99" s="302">
        <f t="shared" ref="N99:N100" si="90">SUM(K99:M99)</f>
        <v>-0.20175687236517154</v>
      </c>
    </row>
    <row r="100" spans="1:14" x14ac:dyDescent="0.25">
      <c r="A100" s="282" t="s">
        <v>363</v>
      </c>
      <c r="B100" s="302">
        <f>SUM(B98:B99)</f>
        <v>6.9683658908472506</v>
      </c>
      <c r="C100" s="299" t="str">
        <f>CONCATENATE("(",ROUND((B100/$H100)*100,1),")")</f>
        <v>(88.6)</v>
      </c>
      <c r="D100" s="302">
        <f>SUM(D98:D99)</f>
        <v>0.57048797642101179</v>
      </c>
      <c r="E100" s="299" t="str">
        <f>CONCATENATE("(",ROUND((D100/$H100)*100,1),")")</f>
        <v>(7.3)</v>
      </c>
      <c r="F100" s="302">
        <f>SUM(F98:F99)</f>
        <v>0.32914613273174098</v>
      </c>
      <c r="G100" s="299" t="str">
        <f>CONCATENATE("(",ROUND((F100/$H100)*100,1),")")</f>
        <v>(4.2)</v>
      </c>
      <c r="H100" s="302">
        <f>SUM(H98:H99)</f>
        <v>7.868000000000003</v>
      </c>
      <c r="I100" s="299" t="str">
        <f>CONCATENATE("(",ROUND((H100/$H100)*100,1),")")</f>
        <v>(100)</v>
      </c>
      <c r="K100" s="302">
        <f t="shared" si="87"/>
        <v>-0.71328896603056791</v>
      </c>
      <c r="L100" s="302">
        <f t="shared" si="88"/>
        <v>-4.473003075926052E-2</v>
      </c>
      <c r="M100" s="302">
        <f t="shared" si="89"/>
        <v>-1.8981003210176706E-2</v>
      </c>
      <c r="N100" s="302">
        <f t="shared" si="90"/>
        <v>-0.77700000000000513</v>
      </c>
    </row>
    <row r="101" spans="1:14" x14ac:dyDescent="0.25">
      <c r="B101" s="302"/>
      <c r="C101" s="284"/>
      <c r="D101" s="302"/>
      <c r="E101" s="284"/>
      <c r="F101" s="302"/>
      <c r="G101" s="284"/>
      <c r="H101" s="302"/>
      <c r="I101" s="284"/>
    </row>
    <row r="102" spans="1:14" ht="13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5">
      <c r="A103" s="282" t="s">
        <v>364</v>
      </c>
      <c r="B103" s="302">
        <f>'Ind T6'!V36</f>
        <v>5.0576952619611646</v>
      </c>
      <c r="C103" s="299" t="str">
        <f>CONCATENATE("(",ROUND((B103/$H105)*100,1),")")</f>
        <v>(71.3)</v>
      </c>
      <c r="D103" s="302">
        <f>'Ind T6'!W36</f>
        <v>0.21575310818940163</v>
      </c>
      <c r="E103" s="299" t="str">
        <f>CONCATENATE("(",ROUND((D103/$H105)*100,1),")")</f>
        <v>(3)</v>
      </c>
      <c r="F103" s="302">
        <f>'Ind T6'!X36</f>
        <v>0.20180769925884098</v>
      </c>
      <c r="G103" s="299" t="str">
        <f>CONCATENATE("(",ROUND((F103/$H105)*100,1),")")</f>
        <v>(2.8)</v>
      </c>
      <c r="H103" s="302">
        <f>SUM(B103,D103,F103)</f>
        <v>5.475256069409407</v>
      </c>
      <c r="I103" s="299" t="str">
        <f>CONCATENATE("(",ROUND((H103/$H105)*100,1),")")</f>
        <v>(77.2)</v>
      </c>
      <c r="K103" s="302">
        <f>B103-B93</f>
        <v>-0.23393984556970704</v>
      </c>
      <c r="L103" s="302">
        <f>D103-D93</f>
        <v>1.3776085584195824E-2</v>
      </c>
      <c r="M103" s="302">
        <f>F103-F93</f>
        <v>2.9254858727005284E-3</v>
      </c>
      <c r="N103" s="302">
        <f>SUM(K103:M103)</f>
        <v>-0.21723827411281069</v>
      </c>
    </row>
    <row r="104" spans="1:14" x14ac:dyDescent="0.25">
      <c r="A104" s="282" t="s">
        <v>365</v>
      </c>
      <c r="B104" s="302">
        <f>'Ind T6'!V35</f>
        <v>1.1973816628555178</v>
      </c>
      <c r="C104" s="299" t="str">
        <f>CONCATENATE("(",ROUND((B104/$H105)*100,1),")")</f>
        <v>(16.9)</v>
      </c>
      <c r="D104" s="302">
        <f>'Ind T6'!W35</f>
        <v>0.31000483747234964</v>
      </c>
      <c r="E104" s="299" t="str">
        <f>CONCATENATE("(",ROUND((D104/$H105)*100,1),")")</f>
        <v>(4.4)</v>
      </c>
      <c r="F104" s="302">
        <f>'Ind T6'!X35</f>
        <v>0.10835743026272331</v>
      </c>
      <c r="G104" s="299" t="str">
        <f>CONCATENATE("(",ROUND((F104/$H105)*100,1),")")</f>
        <v>(1.5)</v>
      </c>
      <c r="H104" s="302">
        <f t="shared" ref="H104" si="91">SUM(B104,D104,F104)</f>
        <v>1.6157439305905907</v>
      </c>
      <c r="I104" s="299" t="str">
        <f>CONCATENATE("(",ROUND((H104/$H105)*100,1),")")</f>
        <v>(22.8)</v>
      </c>
      <c r="K104" s="302">
        <f t="shared" ref="K104:K105" si="92">B104-B94</f>
        <v>-8.9081663372129416E-2</v>
      </c>
      <c r="L104" s="302">
        <f t="shared" ref="L104:L105" si="93">D104-D94</f>
        <v>-1.9510901824564109E-2</v>
      </c>
      <c r="M104" s="302">
        <f t="shared" ref="M104:M105" si="94">F104-F94</f>
        <v>1.8308393095141096E-3</v>
      </c>
      <c r="N104" s="302">
        <f t="shared" ref="N104:N105" si="95">SUM(K104:M104)</f>
        <v>-0.10676172588717942</v>
      </c>
    </row>
    <row r="105" spans="1:14" x14ac:dyDescent="0.25">
      <c r="A105" s="282" t="s">
        <v>363</v>
      </c>
      <c r="B105" s="302">
        <f>SUM(B103:B104)</f>
        <v>6.2550769248166826</v>
      </c>
      <c r="C105" s="299" t="str">
        <f>CONCATENATE("(",ROUND((B105/$H105)*100,1),")")</f>
        <v>(88.2)</v>
      </c>
      <c r="D105" s="302">
        <f>SUM(D103:D104)</f>
        <v>0.52575794566175127</v>
      </c>
      <c r="E105" s="299" t="str">
        <f>CONCATENATE("(",ROUND((D105/$H105)*100,1),")")</f>
        <v>(7.4)</v>
      </c>
      <c r="F105" s="302">
        <f>SUM(F103:F104)</f>
        <v>0.31016512952156428</v>
      </c>
      <c r="G105" s="299" t="str">
        <f>CONCATENATE("(",ROUND((F105/$H105)*100,1),")")</f>
        <v>(4.4)</v>
      </c>
      <c r="H105" s="302">
        <f>SUM(H103:H104)</f>
        <v>7.0909999999999975</v>
      </c>
      <c r="I105" s="299" t="str">
        <f>CONCATENATE("(",ROUND((H105/$H105)*100,1),")")</f>
        <v>(100)</v>
      </c>
      <c r="K105" s="302">
        <f t="shared" si="92"/>
        <v>-0.32302150894183601</v>
      </c>
      <c r="L105" s="302">
        <f t="shared" si="93"/>
        <v>-5.7348162403683123E-3</v>
      </c>
      <c r="M105" s="302">
        <f t="shared" si="94"/>
        <v>4.756325182214638E-3</v>
      </c>
      <c r="N105" s="302">
        <f t="shared" si="95"/>
        <v>-0.32399999999998969</v>
      </c>
    </row>
    <row r="106" spans="1:14" x14ac:dyDescent="0.25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5">
      <c r="A107" s="295"/>
    </row>
    <row r="109" spans="1:14" ht="13" x14ac:dyDescent="0.3">
      <c r="C109" s="182"/>
      <c r="E109" s="182"/>
      <c r="G109" s="182"/>
      <c r="I109" s="182"/>
    </row>
    <row r="110" spans="1:14" ht="13" x14ac:dyDescent="0.3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ht="13" x14ac:dyDescent="0.3">
      <c r="N111" s="287" t="s">
        <v>370</v>
      </c>
    </row>
    <row r="112" spans="1:14" ht="13" x14ac:dyDescent="0.3">
      <c r="A112" s="182" t="s">
        <v>371</v>
      </c>
      <c r="B112" s="373" t="s">
        <v>369</v>
      </c>
      <c r="C112" s="373"/>
      <c r="D112" s="373" t="s">
        <v>368</v>
      </c>
      <c r="E112" s="373"/>
      <c r="F112" s="373" t="s">
        <v>367</v>
      </c>
      <c r="G112" s="373"/>
      <c r="H112" s="373" t="s">
        <v>33</v>
      </c>
      <c r="I112" s="373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ht="13" x14ac:dyDescent="0.3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5">
      <c r="A114" s="282" t="s">
        <v>364</v>
      </c>
      <c r="B114" s="302">
        <f>'Ind T6'!L45</f>
        <v>35.294564240296211</v>
      </c>
      <c r="C114" s="299" t="str">
        <f>CONCATENATE("(",ROUND((B114/$H116)*100,1),")")</f>
        <v>(70.4)</v>
      </c>
      <c r="D114" s="302">
        <f>'Ind T6'!M45</f>
        <v>1.9821287341363689</v>
      </c>
      <c r="E114" s="299" t="str">
        <f>CONCATENATE("(",ROUND((D114/$H116)*100,1),")")</f>
        <v>(4)</v>
      </c>
      <c r="F114" s="302">
        <f>'Ind T6'!N45</f>
        <v>2.0756127435476746</v>
      </c>
      <c r="G114" s="299" t="str">
        <f>CONCATENATE("(",ROUND((F114/$H116)*100,1),")")</f>
        <v>(4.1)</v>
      </c>
      <c r="H114" s="302">
        <f>SUM(B114,D114,F114)</f>
        <v>39.352305717980251</v>
      </c>
      <c r="I114" s="299" t="str">
        <f>CONCATENATE("(",ROUND((H114/$H116)*100,1),")")</f>
        <v>(78.4)</v>
      </c>
      <c r="K114" s="302">
        <f>B119-B114</f>
        <v>-1.2438782224732989</v>
      </c>
      <c r="L114" s="302">
        <f>D119-D114</f>
        <v>-0.13226174027824356</v>
      </c>
      <c r="M114" s="302">
        <f>F119-F114</f>
        <v>-0.12142581358490689</v>
      </c>
      <c r="N114" s="302">
        <f>SUM(K114:M114)</f>
        <v>-1.4975657763364494</v>
      </c>
    </row>
    <row r="115" spans="1:14" x14ac:dyDescent="0.25">
      <c r="A115" s="282" t="s">
        <v>365</v>
      </c>
      <c r="B115" s="302">
        <f>'Ind T6'!L44</f>
        <v>7.7683203810621846</v>
      </c>
      <c r="C115" s="299" t="str">
        <f>CONCATENATE("(",ROUND((B115/$H116)*100,1),")")</f>
        <v>(15.5)</v>
      </c>
      <c r="D115" s="302">
        <f>'Ind T6'!M44</f>
        <v>2.2679354550548565</v>
      </c>
      <c r="E115" s="299" t="str">
        <f>CONCATENATE("(",ROUND((D115/$H116)*100,1),")")</f>
        <v>(4.5)</v>
      </c>
      <c r="F115" s="302">
        <f>'Ind T6'!N44</f>
        <v>0.77843844590273481</v>
      </c>
      <c r="G115" s="299" t="str">
        <f>CONCATENATE("(",ROUND((F115/$H116)*100,1),")")</f>
        <v>(1.6)</v>
      </c>
      <c r="H115" s="302">
        <f t="shared" ref="H115" si="96">SUM(B115,D115,F115)</f>
        <v>10.814694282019776</v>
      </c>
      <c r="I115" s="299" t="str">
        <f>CONCATENATE("(",ROUND((H115/$H116)*100,1),")")</f>
        <v>(21.6)</v>
      </c>
      <c r="K115" s="302">
        <f t="shared" ref="K115:K116" si="97">B120-B115</f>
        <v>-0.19732846830359119</v>
      </c>
      <c r="L115" s="302">
        <f t="shared" ref="L115:L116" si="98">D120-D115</f>
        <v>-0.11608969866574936</v>
      </c>
      <c r="M115" s="302">
        <f t="shared" ref="M115:M116" si="99">F120-F115</f>
        <v>-7.301605669420197E-2</v>
      </c>
      <c r="N115" s="302">
        <f t="shared" ref="N115:N116" si="100">SUM(K115:M115)</f>
        <v>-0.38643422366354252</v>
      </c>
    </row>
    <row r="116" spans="1:14" x14ac:dyDescent="0.25">
      <c r="A116" s="282" t="s">
        <v>363</v>
      </c>
      <c r="B116" s="302">
        <f>SUM(B114:B115)</f>
        <v>43.062884621358393</v>
      </c>
      <c r="C116" s="299" t="str">
        <f>CONCATENATE("(",ROUND((B116/$H116)*100,1),")")</f>
        <v>(85.8)</v>
      </c>
      <c r="D116" s="302">
        <f>SUM(D114:D115)</f>
        <v>4.2500641891912254</v>
      </c>
      <c r="E116" s="299" t="str">
        <f>CONCATENATE("(",ROUND((D116/$H116)*100,1),")")</f>
        <v>(8.5)</v>
      </c>
      <c r="F116" s="302">
        <f>SUM(F114:F115)</f>
        <v>2.8540511894504093</v>
      </c>
      <c r="G116" s="299" t="str">
        <f>CONCATENATE("(",ROUND((F116/$H116)*100,1),")")</f>
        <v>(5.7)</v>
      </c>
      <c r="H116" s="302">
        <f>SUM(H114:H115)</f>
        <v>50.16700000000003</v>
      </c>
      <c r="I116" s="299" t="str">
        <f>CONCATENATE("(",ROUND((H116/$H116)*100,1),")")</f>
        <v>(100)</v>
      </c>
      <c r="K116" s="302">
        <f t="shared" si="97"/>
        <v>-1.4412066907768875</v>
      </c>
      <c r="L116" s="302">
        <f t="shared" si="98"/>
        <v>-0.2483514389439927</v>
      </c>
      <c r="M116" s="302">
        <f t="shared" si="99"/>
        <v>-0.19444187027910864</v>
      </c>
      <c r="N116" s="302">
        <f t="shared" si="100"/>
        <v>-1.8839999999999888</v>
      </c>
    </row>
    <row r="117" spans="1:14" x14ac:dyDescent="0.25">
      <c r="B117" s="302"/>
      <c r="C117" s="284"/>
      <c r="D117" s="302"/>
      <c r="E117" s="284"/>
      <c r="F117" s="302"/>
      <c r="G117" s="284"/>
      <c r="H117" s="302"/>
      <c r="I117" s="284"/>
    </row>
    <row r="118" spans="1:14" ht="13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5">
      <c r="A119" s="282" t="s">
        <v>364</v>
      </c>
      <c r="B119" s="302">
        <f>'Ind T6'!Q45</f>
        <v>34.050686017822912</v>
      </c>
      <c r="C119" s="299" t="str">
        <f>CONCATENATE("(",ROUND((B119/$H121)*100,1),")")</f>
        <v>(70.5)</v>
      </c>
      <c r="D119" s="302">
        <f>'Ind T6'!R45</f>
        <v>1.8498669938581254</v>
      </c>
      <c r="E119" s="299" t="str">
        <f>CONCATENATE("(",ROUND((D119/$H121)*100,1),")")</f>
        <v>(3.8)</v>
      </c>
      <c r="F119" s="302">
        <f>'Ind T6'!S45</f>
        <v>1.9541869299627677</v>
      </c>
      <c r="G119" s="299" t="str">
        <f>CONCATENATE("(",ROUND((F119/$H121)*100,1),")")</f>
        <v>(4)</v>
      </c>
      <c r="H119" s="302">
        <f>SUM(B119,D119,F119)</f>
        <v>37.854739941643807</v>
      </c>
      <c r="I119" s="299" t="str">
        <f>CONCATENATE("(",ROUND((H119/$H121)*100,1),")")</f>
        <v>(78.4)</v>
      </c>
      <c r="K119" s="302">
        <f>B124-B119</f>
        <v>-3.4746489977175372</v>
      </c>
      <c r="L119" s="302">
        <f>D124-D119</f>
        <v>-0.16758911087732375</v>
      </c>
      <c r="M119" s="302">
        <f>F124-F119</f>
        <v>-0.11187549028977606</v>
      </c>
      <c r="N119" s="302">
        <f>SUM(K119:M119)</f>
        <v>-3.7541135988846372</v>
      </c>
    </row>
    <row r="120" spans="1:14" x14ac:dyDescent="0.25">
      <c r="A120" s="282" t="s">
        <v>365</v>
      </c>
      <c r="B120" s="302">
        <f>'Ind T6'!Q44</f>
        <v>7.5709919127585934</v>
      </c>
      <c r="C120" s="299" t="str">
        <f>CONCATENATE("(",ROUND((B120/$H121)*100,1),")")</f>
        <v>(15.7)</v>
      </c>
      <c r="D120" s="302">
        <f>'Ind T6'!R44</f>
        <v>2.1518457563891071</v>
      </c>
      <c r="E120" s="299" t="str">
        <f>CONCATENATE("(",ROUND((D120/$H121)*100,1),")")</f>
        <v>(4.5)</v>
      </c>
      <c r="F120" s="302">
        <f>'Ind T6'!S44</f>
        <v>0.70542238920853284</v>
      </c>
      <c r="G120" s="299" t="str">
        <f>CONCATENATE("(",ROUND((F120/$H121)*100,1),")")</f>
        <v>(1.5)</v>
      </c>
      <c r="H120" s="302">
        <f t="shared" ref="H120" si="101">SUM(B120,D120,F120)</f>
        <v>10.428260058356233</v>
      </c>
      <c r="I120" s="299" t="str">
        <f>CONCATENATE("(",ROUND((H120/$H121)*100,1),")")</f>
        <v>(21.6)</v>
      </c>
      <c r="K120" s="302">
        <f t="shared" ref="K120:K121" si="102">B125-B120</f>
        <v>-0.60268583996418013</v>
      </c>
      <c r="L120" s="302">
        <f t="shared" ref="L120:L121" si="103">D125-D120</f>
        <v>-0.22267118292436372</v>
      </c>
      <c r="M120" s="302">
        <f t="shared" ref="M120:M121" si="104">F125-F120</f>
        <v>-9.3529378226947513E-2</v>
      </c>
      <c r="N120" s="302">
        <f t="shared" ref="N120:N121" si="105">SUM(K120:M120)</f>
        <v>-0.91888640111549136</v>
      </c>
    </row>
    <row r="121" spans="1:14" x14ac:dyDescent="0.25">
      <c r="A121" s="282" t="s">
        <v>363</v>
      </c>
      <c r="B121" s="302">
        <f>SUM(B119:B120)</f>
        <v>41.621677930581505</v>
      </c>
      <c r="C121" s="299" t="str">
        <f>CONCATENATE("(",ROUND((B121/$H121)*100,1),")")</f>
        <v>(86.2)</v>
      </c>
      <c r="D121" s="302">
        <f>SUM(D119:D120)</f>
        <v>4.0017127502472327</v>
      </c>
      <c r="E121" s="299" t="str">
        <f>CONCATENATE("(",ROUND((D121/$H121)*100,1),")")</f>
        <v>(8.3)</v>
      </c>
      <c r="F121" s="302">
        <f>SUM(F119:F120)</f>
        <v>2.6596093191713006</v>
      </c>
      <c r="G121" s="299" t="str">
        <f>CONCATENATE("(",ROUND((F121/$H121)*100,1),")")</f>
        <v>(5.5)</v>
      </c>
      <c r="H121" s="302">
        <f>SUM(H119:H120)</f>
        <v>48.283000000000044</v>
      </c>
      <c r="I121" s="299" t="str">
        <f>CONCATENATE("(",ROUND((H121/$H121)*100,1),")")</f>
        <v>(100)</v>
      </c>
      <c r="K121" s="302">
        <f t="shared" si="102"/>
        <v>-4.0773348376817182</v>
      </c>
      <c r="L121" s="302">
        <f t="shared" si="103"/>
        <v>-0.39026029380168747</v>
      </c>
      <c r="M121" s="302">
        <f t="shared" si="104"/>
        <v>-0.20540486851672357</v>
      </c>
      <c r="N121" s="302">
        <f t="shared" si="105"/>
        <v>-4.6730000000001297</v>
      </c>
    </row>
    <row r="122" spans="1:14" x14ac:dyDescent="0.25">
      <c r="B122" s="302"/>
      <c r="C122" s="284"/>
      <c r="D122" s="302"/>
      <c r="E122" s="284"/>
      <c r="F122" s="302"/>
      <c r="G122" s="284"/>
      <c r="H122" s="302"/>
      <c r="I122" s="284"/>
    </row>
    <row r="123" spans="1:14" ht="13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5">
      <c r="A124" s="282" t="s">
        <v>364</v>
      </c>
      <c r="B124" s="302">
        <f>'Ind T6'!V45</f>
        <v>30.576037020105375</v>
      </c>
      <c r="C124" s="299" t="str">
        <f>CONCATENATE("(",ROUND((B124/$H126)*100,1),")")</f>
        <v>(70.1)</v>
      </c>
      <c r="D124" s="302">
        <f>'Ind T6'!W45</f>
        <v>1.6822778829808016</v>
      </c>
      <c r="E124" s="299" t="str">
        <f>CONCATENATE("(",ROUND((D124/$H126)*100,1),")")</f>
        <v>(3.9)</v>
      </c>
      <c r="F124" s="302">
        <f>'Ind T6'!X45</f>
        <v>1.8423114396729916</v>
      </c>
      <c r="G124" s="299" t="str">
        <f>CONCATENATE("(",ROUND((F124/$H126)*100,1),")")</f>
        <v>(4.2)</v>
      </c>
      <c r="H124" s="302">
        <f>SUM(B124,D124,F124)</f>
        <v>34.100626342759163</v>
      </c>
      <c r="I124" s="299" t="str">
        <f>CONCATENATE("(",ROUND((H124/$H126)*100,1),")")</f>
        <v>(78.2)</v>
      </c>
      <c r="K124" s="302">
        <f>B124-B114</f>
        <v>-4.7185272201908361</v>
      </c>
      <c r="L124" s="302">
        <f>D124-D114</f>
        <v>-0.29985085115556731</v>
      </c>
      <c r="M124" s="302">
        <f>F124-F114</f>
        <v>-0.23330130387468295</v>
      </c>
      <c r="N124" s="302">
        <f>SUM(K124:M124)</f>
        <v>-5.2516793752210864</v>
      </c>
    </row>
    <row r="125" spans="1:14" x14ac:dyDescent="0.25">
      <c r="A125" s="282" t="s">
        <v>365</v>
      </c>
      <c r="B125" s="302">
        <f>'Ind T6'!V44</f>
        <v>6.9683060727944133</v>
      </c>
      <c r="C125" s="299" t="str">
        <f>CONCATENATE("(",ROUND((B125/$H126)*100,1),")")</f>
        <v>(16)</v>
      </c>
      <c r="D125" s="302">
        <f>'Ind T6'!W44</f>
        <v>1.9291745734647434</v>
      </c>
      <c r="E125" s="299" t="str">
        <f>CONCATENATE("(",ROUND((D125/$H126)*100,1),")")</f>
        <v>(4.4)</v>
      </c>
      <c r="F125" s="302">
        <f>'Ind T6'!X44</f>
        <v>0.61189301098158533</v>
      </c>
      <c r="G125" s="299" t="str">
        <f>CONCATENATE("(",ROUND((F125/$H126)*100,1),")")</f>
        <v>(1.4)</v>
      </c>
      <c r="H125" s="302">
        <f t="shared" ref="H125" si="106">SUM(B125,D125,F125)</f>
        <v>9.5093736572407419</v>
      </c>
      <c r="I125" s="299" t="str">
        <f>CONCATENATE("(",ROUND((H125/$H126)*100,1),")")</f>
        <v>(21.8)</v>
      </c>
      <c r="K125" s="302">
        <f t="shared" ref="K125:K126" si="107">B125-B115</f>
        <v>-0.80001430826777131</v>
      </c>
      <c r="L125" s="302">
        <f t="shared" ref="L125:L126" si="108">D125-D115</f>
        <v>-0.33876088159011308</v>
      </c>
      <c r="M125" s="302">
        <f t="shared" ref="M125:M126" si="109">F125-F115</f>
        <v>-0.16654543492114948</v>
      </c>
      <c r="N125" s="302">
        <f t="shared" ref="N125:N126" si="110">SUM(K125:M125)</f>
        <v>-1.3053206247790339</v>
      </c>
    </row>
    <row r="126" spans="1:14" x14ac:dyDescent="0.25">
      <c r="A126" s="282" t="s">
        <v>363</v>
      </c>
      <c r="B126" s="302">
        <f>SUM(B124:B125)</f>
        <v>37.544343092899787</v>
      </c>
      <c r="C126" s="299" t="str">
        <f>CONCATENATE("(",ROUND((B126/$H126)*100,1),")")</f>
        <v>(86.1)</v>
      </c>
      <c r="D126" s="302">
        <f>SUM(D124:D125)</f>
        <v>3.6114524564455452</v>
      </c>
      <c r="E126" s="299" t="str">
        <f>CONCATENATE("(",ROUND((D126/$H126)*100,1),")")</f>
        <v>(8.3)</v>
      </c>
      <c r="F126" s="302">
        <f>SUM(F124:F125)</f>
        <v>2.454204450654577</v>
      </c>
      <c r="G126" s="299" t="str">
        <f>CONCATENATE("(",ROUND((F126/$H126)*100,1),")")</f>
        <v>(5.6)</v>
      </c>
      <c r="H126" s="302">
        <f>SUM(H124:H125)</f>
        <v>43.609999999999907</v>
      </c>
      <c r="I126" s="299" t="str">
        <f>CONCATENATE("(",ROUND((H126/$H126)*100,1),")")</f>
        <v>(100)</v>
      </c>
      <c r="K126" s="302">
        <f t="shared" si="107"/>
        <v>-5.5185415284586057</v>
      </c>
      <c r="L126" s="302">
        <f t="shared" si="108"/>
        <v>-0.63861173274568017</v>
      </c>
      <c r="M126" s="302">
        <f t="shared" si="109"/>
        <v>-0.39984673879583221</v>
      </c>
      <c r="N126" s="302">
        <f t="shared" si="110"/>
        <v>-6.5570000000001176</v>
      </c>
    </row>
    <row r="127" spans="1:14" x14ac:dyDescent="0.25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ht="13" x14ac:dyDescent="0.3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ht="13" x14ac:dyDescent="0.3">
      <c r="N132" s="287" t="s">
        <v>370</v>
      </c>
    </row>
    <row r="133" spans="1:14" ht="13" x14ac:dyDescent="0.3">
      <c r="A133" s="182" t="s">
        <v>371</v>
      </c>
      <c r="B133" s="373" t="s">
        <v>369</v>
      </c>
      <c r="C133" s="373"/>
      <c r="D133" s="373" t="s">
        <v>368</v>
      </c>
      <c r="E133" s="373"/>
      <c r="F133" s="373" t="s">
        <v>367</v>
      </c>
      <c r="G133" s="373"/>
      <c r="H133" s="373" t="s">
        <v>33</v>
      </c>
      <c r="I133" s="373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ht="13" x14ac:dyDescent="0.3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5">
      <c r="A135" s="282" t="s">
        <v>364</v>
      </c>
      <c r="B135" s="302">
        <f>'Ind T6'!L54</f>
        <v>1.3551694150391835</v>
      </c>
      <c r="C135" s="299" t="str">
        <f>CONCATENATE("(",ROUND((B135/$H137)*100,1),")")</f>
        <v>(68.8)</v>
      </c>
      <c r="D135" s="302">
        <f>'Ind T6'!M54</f>
        <v>2.3093646936225617E-2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1.378263061975409</v>
      </c>
      <c r="I135" s="299" t="str">
        <f>CONCATENATE("(",ROUND((H135/$H137)*100,1),")")</f>
        <v>(69.9)</v>
      </c>
      <c r="K135" s="302">
        <f>B140-B135</f>
        <v>-8.4742387520963414E-2</v>
      </c>
      <c r="L135" s="302">
        <f>D140-D135</f>
        <v>-1.01245540062651E-3</v>
      </c>
      <c r="M135" s="302">
        <f>F140-F135</f>
        <v>0</v>
      </c>
      <c r="N135" s="302">
        <f>SUM(K135:M135)</f>
        <v>-8.5754842921589927E-2</v>
      </c>
    </row>
    <row r="136" spans="1:14" x14ac:dyDescent="0.25">
      <c r="A136" s="282" t="s">
        <v>365</v>
      </c>
      <c r="B136" s="302">
        <f>'Ind T6'!L53</f>
        <v>0.48428232944965371</v>
      </c>
      <c r="C136" s="299" t="str">
        <f>CONCATENATE("(",ROUND((B136/$H137)*100,1),")")</f>
        <v>(24.6)</v>
      </c>
      <c r="D136" s="302">
        <f>'Ind T6'!M53</f>
        <v>0.10845460857493409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0.59273693802458782</v>
      </c>
      <c r="I136" s="299" t="str">
        <f>CONCATENATE("(",ROUND((H136/$H137)*100,1),")")</f>
        <v>(30.1)</v>
      </c>
      <c r="K136" s="302">
        <f t="shared" ref="K136:K137" si="112">B141-B136</f>
        <v>-2.310568790896772E-2</v>
      </c>
      <c r="L136" s="302">
        <f t="shared" ref="L136:L137" si="113">D141-D136</f>
        <v>-6.1394691694402759E-3</v>
      </c>
      <c r="M136" s="302">
        <f t="shared" ref="M136:M137" si="114">F141-F136</f>
        <v>0</v>
      </c>
      <c r="N136" s="302">
        <f t="shared" ref="N136:N137" si="115">SUM(K136:M136)</f>
        <v>-2.9245157078407996E-2</v>
      </c>
    </row>
    <row r="137" spans="1:14" x14ac:dyDescent="0.25">
      <c r="A137" s="282" t="s">
        <v>363</v>
      </c>
      <c r="B137" s="302">
        <f>SUM(B135:B136)</f>
        <v>1.8394517444888372</v>
      </c>
      <c r="C137" s="299" t="str">
        <f>CONCATENATE("(",ROUND((B137/$H137)*100,1),")")</f>
        <v>(93.3)</v>
      </c>
      <c r="D137" s="302">
        <f>SUM(D135:D136)</f>
        <v>0.1315482555111597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1.970999999999997</v>
      </c>
      <c r="I137" s="299" t="str">
        <f>CONCATENATE("(",ROUND((H137/$H137)*100,1),")")</f>
        <v>(100)</v>
      </c>
      <c r="K137" s="302">
        <f t="shared" si="112"/>
        <v>-0.10784807542993113</v>
      </c>
      <c r="L137" s="302">
        <f t="shared" si="113"/>
        <v>-7.1519245700667755E-3</v>
      </c>
      <c r="M137" s="302">
        <f t="shared" si="114"/>
        <v>0</v>
      </c>
      <c r="N137" s="302">
        <f t="shared" si="115"/>
        <v>-0.11499999999999791</v>
      </c>
    </row>
    <row r="138" spans="1:14" x14ac:dyDescent="0.25">
      <c r="B138" s="302"/>
      <c r="C138" s="284"/>
      <c r="D138" s="302"/>
      <c r="E138" s="284"/>
      <c r="F138" s="302"/>
      <c r="G138" s="284"/>
      <c r="H138" s="302"/>
      <c r="I138" s="284"/>
    </row>
    <row r="139" spans="1:14" ht="13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5">
      <c r="A140" s="282" t="s">
        <v>364</v>
      </c>
      <c r="B140" s="302">
        <f>'Ind T6'!Q54</f>
        <v>1.2704270275182201</v>
      </c>
      <c r="C140" s="299" t="str">
        <f>CONCATENATE("(",ROUND((B140/$H142)*100,1),")")</f>
        <v>(68.4)</v>
      </c>
      <c r="D140" s="302">
        <f>'Ind T6'!R54</f>
        <v>2.2081191535599107E-2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1.2925082190538193</v>
      </c>
      <c r="I140" s="299" t="str">
        <f>CONCATENATE("(",ROUND((H140/$H142)*100,1),")")</f>
        <v>(69.6)</v>
      </c>
      <c r="K140" s="302">
        <f>B145-B140</f>
        <v>-3.7472670674847386E-2</v>
      </c>
      <c r="L140" s="302">
        <f>D145-D140</f>
        <v>2.1424414895081928E-4</v>
      </c>
      <c r="M140" s="302">
        <f>F145-F140</f>
        <v>0</v>
      </c>
      <c r="N140" s="302">
        <f>SUM(K140:M140)</f>
        <v>-3.7258426525896567E-2</v>
      </c>
    </row>
    <row r="141" spans="1:14" x14ac:dyDescent="0.25">
      <c r="A141" s="282" t="s">
        <v>365</v>
      </c>
      <c r="B141" s="302">
        <f>'Ind T6'!Q53</f>
        <v>0.46117664154068599</v>
      </c>
      <c r="C141" s="299" t="str">
        <f>CONCATENATE("(",ROUND((B141/$H142)*100,1),")")</f>
        <v>(24.8)</v>
      </c>
      <c r="D141" s="302">
        <f>'Ind T6'!R53</f>
        <v>0.10231513940549382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0.5634917809461798</v>
      </c>
      <c r="I141" s="299" t="str">
        <f>CONCATENATE("(",ROUND((H141/$H142)*100,1),")")</f>
        <v>(30.4)</v>
      </c>
      <c r="K141" s="302">
        <f t="shared" ref="K141:K142" si="117">B146-B141</f>
        <v>9.9265306823737021E-4</v>
      </c>
      <c r="L141" s="302">
        <f t="shared" ref="L141:L142" si="118">D146-D141</f>
        <v>-1.7342265423365422E-3</v>
      </c>
      <c r="M141" s="302">
        <f t="shared" ref="M141:M142" si="119">F146-F141</f>
        <v>0</v>
      </c>
      <c r="N141" s="302">
        <f t="shared" ref="N141:N142" si="120">SUM(K141:M141)</f>
        <v>-7.4157347409917196E-4</v>
      </c>
    </row>
    <row r="142" spans="1:14" x14ac:dyDescent="0.25">
      <c r="A142" s="282" t="s">
        <v>363</v>
      </c>
      <c r="B142" s="302">
        <f>SUM(B140:B141)</f>
        <v>1.7316036690589061</v>
      </c>
      <c r="C142" s="299" t="str">
        <f>CONCATENATE("(",ROUND((B142/$H142)*100,1),")")</f>
        <v>(93.3)</v>
      </c>
      <c r="D142" s="302">
        <f>SUM(D140:D141)</f>
        <v>0.12439633094109293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1.855999999999999</v>
      </c>
      <c r="I142" s="299" t="str">
        <f>CONCATENATE("(",ROUND((H142/$H142)*100,1),")")</f>
        <v>(100)</v>
      </c>
      <c r="K142" s="302">
        <f t="shared" si="117"/>
        <v>-3.6480017606610016E-2</v>
      </c>
      <c r="L142" s="302">
        <f t="shared" si="118"/>
        <v>-1.5199823933857159E-3</v>
      </c>
      <c r="M142" s="302">
        <f t="shared" si="119"/>
        <v>0</v>
      </c>
      <c r="N142" s="302">
        <f t="shared" si="120"/>
        <v>-3.7999999999995732E-2</v>
      </c>
    </row>
    <row r="143" spans="1:14" x14ac:dyDescent="0.25">
      <c r="B143" s="302"/>
      <c r="C143" s="284"/>
      <c r="D143" s="302"/>
      <c r="E143" s="284"/>
      <c r="F143" s="302"/>
      <c r="G143" s="284"/>
      <c r="H143" s="302"/>
      <c r="I143" s="284"/>
    </row>
    <row r="144" spans="1:14" ht="13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5">
      <c r="A145" s="282" t="s">
        <v>364</v>
      </c>
      <c r="B145" s="302">
        <f>'Ind T6'!V54</f>
        <v>1.2329543568433727</v>
      </c>
      <c r="C145" s="299" t="str">
        <f>CONCATENATE("(",ROUND((B145/$H147)*100,1),")")</f>
        <v>(67.8)</v>
      </c>
      <c r="D145" s="302">
        <f>'Ind T6'!W54</f>
        <v>2.2295435684549926E-2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1.2552497925279227</v>
      </c>
      <c r="I145" s="299" t="str">
        <f>CONCATENATE("(",ROUND((H145/$H147)*100,1),")")</f>
        <v>(69)</v>
      </c>
      <c r="K145" s="302">
        <f>B145-B135</f>
        <v>-0.1222150581958108</v>
      </c>
      <c r="L145" s="302">
        <f>D145-D135</f>
        <v>-7.9821125167569076E-4</v>
      </c>
      <c r="M145" s="302">
        <f>F145-F135</f>
        <v>0</v>
      </c>
      <c r="N145" s="302">
        <f>SUM(K145:M145)</f>
        <v>-0.12301326944748649</v>
      </c>
    </row>
    <row r="146" spans="1:14" x14ac:dyDescent="0.25">
      <c r="A146" s="282" t="s">
        <v>365</v>
      </c>
      <c r="B146" s="302">
        <f>'Ind T6'!V53</f>
        <v>0.46216929460892336</v>
      </c>
      <c r="C146" s="299" t="str">
        <f>CONCATENATE("(",ROUND((B146/$H147)*100,1),")")</f>
        <v>(25.4)</v>
      </c>
      <c r="D146" s="302">
        <f>'Ind T6'!W53</f>
        <v>0.10058091286315728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0.5627502074720806</v>
      </c>
      <c r="I146" s="299" t="str">
        <f>CONCATENATE("(",ROUND((H146/$H147)*100,1),")")</f>
        <v>(31)</v>
      </c>
      <c r="K146" s="302">
        <f t="shared" ref="K146:K147" si="122">B146-B136</f>
        <v>-2.211303484073035E-2</v>
      </c>
      <c r="L146" s="302">
        <f t="shared" ref="L146:L147" si="123">D146-D136</f>
        <v>-7.873695711776818E-3</v>
      </c>
      <c r="M146" s="302">
        <f t="shared" ref="M146:M147" si="124">F146-F136</f>
        <v>0</v>
      </c>
      <c r="N146" s="302">
        <f t="shared" ref="N146:N147" si="125">SUM(K146:M146)</f>
        <v>-2.9986730552507168E-2</v>
      </c>
    </row>
    <row r="147" spans="1:14" x14ac:dyDescent="0.25">
      <c r="A147" s="282" t="s">
        <v>363</v>
      </c>
      <c r="B147" s="302">
        <f>SUM(B145:B146)</f>
        <v>1.695123651452296</v>
      </c>
      <c r="C147" s="299" t="str">
        <f>CONCATENATE("(",ROUND((B147/$H147)*100,1),")")</f>
        <v>(93.2)</v>
      </c>
      <c r="D147" s="302">
        <f>SUM(D145:D146)</f>
        <v>0.12287634854770721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1.8180000000000032</v>
      </c>
      <c r="I147" s="299" t="str">
        <f>CONCATENATE("(",ROUND((H147/$H147)*100,1),")")</f>
        <v>(100)</v>
      </c>
      <c r="K147" s="302">
        <f t="shared" si="122"/>
        <v>-0.14432809303654115</v>
      </c>
      <c r="L147" s="302">
        <f t="shared" si="123"/>
        <v>-8.6719069634524915E-3</v>
      </c>
      <c r="M147" s="302">
        <f t="shared" si="124"/>
        <v>0</v>
      </c>
      <c r="N147" s="302">
        <f t="shared" si="125"/>
        <v>-0.15299999999999364</v>
      </c>
    </row>
    <row r="148" spans="1:14" x14ac:dyDescent="0.25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ht="13" x14ac:dyDescent="0.3">
      <c r="C151" s="182"/>
      <c r="E151" s="182"/>
      <c r="G151" s="182"/>
      <c r="I151" s="182"/>
    </row>
    <row r="152" spans="1:14" ht="13" x14ac:dyDescent="0.3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ht="13" x14ac:dyDescent="0.3">
      <c r="N153" s="287" t="s">
        <v>370</v>
      </c>
    </row>
    <row r="154" spans="1:14" ht="13" x14ac:dyDescent="0.3">
      <c r="A154" s="182" t="s">
        <v>371</v>
      </c>
      <c r="B154" s="373" t="s">
        <v>369</v>
      </c>
      <c r="C154" s="373"/>
      <c r="D154" s="373" t="s">
        <v>368</v>
      </c>
      <c r="E154" s="373"/>
      <c r="F154" s="373" t="s">
        <v>367</v>
      </c>
      <c r="G154" s="373"/>
      <c r="H154" s="373" t="s">
        <v>33</v>
      </c>
      <c r="I154" s="373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ht="13" x14ac:dyDescent="0.3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5">
      <c r="A156" s="282" t="s">
        <v>364</v>
      </c>
      <c r="B156" s="302">
        <f>'Ind T6'!L63</f>
        <v>2.1070836728256914</v>
      </c>
      <c r="C156" s="299" t="str">
        <f>CONCATENATE("(",ROUND((B156/$H158)*100,1),")")</f>
        <v>(55.4)</v>
      </c>
      <c r="D156" s="302">
        <f>'Ind T6'!M63</f>
        <v>0.68329259375034346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2.7903762665760348</v>
      </c>
      <c r="I156" s="299" t="str">
        <f>CONCATENATE("(",ROUND((H156/$H158)*100,1),")")</f>
        <v>(73.4)</v>
      </c>
      <c r="K156" s="302">
        <f>B161-B156</f>
        <v>3.5773324874712298E-2</v>
      </c>
      <c r="L156" s="302">
        <f>D161-D156</f>
        <v>1.9397525629242796E-2</v>
      </c>
      <c r="M156" s="302">
        <f>F161-F156</f>
        <v>0</v>
      </c>
      <c r="N156" s="302">
        <f>SUM(K156:M156)</f>
        <v>5.5170850503955093E-2</v>
      </c>
    </row>
    <row r="157" spans="1:14" x14ac:dyDescent="0.25">
      <c r="A157" s="282" t="s">
        <v>365</v>
      </c>
      <c r="B157" s="302">
        <f>'Ind T6'!L62</f>
        <v>0.65528554267554284</v>
      </c>
      <c r="C157" s="299" t="str">
        <f>CONCATENATE("(",ROUND((B157/$H158)*100,1),")")</f>
        <v>(17.2)</v>
      </c>
      <c r="D157" s="302">
        <f>'Ind T6'!M62</f>
        <v>0.34144766531212462</v>
      </c>
      <c r="E157" s="299" t="str">
        <f>CONCATENATE("(",ROUND((D157/$H158)*100,1),")")</f>
        <v>(9)</v>
      </c>
      <c r="F157" s="302">
        <f>'Ind T6'!N62</f>
        <v>1.5890525436294843E-2</v>
      </c>
      <c r="G157" s="299" t="str">
        <f>CONCATENATE("(",ROUND((F157/$H158)*100,1),")")</f>
        <v>(0.4)</v>
      </c>
      <c r="H157" s="302">
        <f t="shared" ref="H157" si="126">SUM(B157,D157,F157)</f>
        <v>1.0126237334239623</v>
      </c>
      <c r="I157" s="299" t="str">
        <f>CONCATENATE("(",ROUND((H157/$H158)*100,1),")")</f>
        <v>(26.6)</v>
      </c>
      <c r="K157" s="302">
        <f t="shared" ref="K157:K158" si="127">B162-B157</f>
        <v>4.2236275981173854E-2</v>
      </c>
      <c r="L157" s="302">
        <f t="shared" ref="L157:L158" si="128">D162-D157</f>
        <v>1.2580935146049466E-2</v>
      </c>
      <c r="M157" s="302">
        <f t="shared" ref="M157:M158" si="129">F162-F157</f>
        <v>1.1938368823787016E-5</v>
      </c>
      <c r="N157" s="302">
        <f t="shared" ref="N157:N158" si="130">SUM(K157:M157)</f>
        <v>5.4829149496047107E-2</v>
      </c>
    </row>
    <row r="158" spans="1:14" x14ac:dyDescent="0.25">
      <c r="A158" s="282" t="s">
        <v>363</v>
      </c>
      <c r="B158" s="302">
        <f>SUM(B156:B157)</f>
        <v>2.7623692155012343</v>
      </c>
      <c r="C158" s="299" t="str">
        <f>CONCATENATE("(",ROUND((B158/$H158)*100,1),")")</f>
        <v>(72.6)</v>
      </c>
      <c r="D158" s="302">
        <f>SUM(D156:D157)</f>
        <v>1.0247402590624681</v>
      </c>
      <c r="E158" s="299" t="str">
        <f>CONCATENATE("(",ROUND((D158/$H158)*100,1),")")</f>
        <v>(26.9)</v>
      </c>
      <c r="F158" s="302">
        <f>SUM(F156:F157)</f>
        <v>1.5890525436294843E-2</v>
      </c>
      <c r="G158" s="299" t="str">
        <f>CONCATENATE("(",ROUND((F158/$H158)*100,1),")")</f>
        <v>(0.4)</v>
      </c>
      <c r="H158" s="302">
        <f>SUM(H156:H157)</f>
        <v>3.8029999999999973</v>
      </c>
      <c r="I158" s="299" t="str">
        <f>CONCATENATE("(",ROUND((H158/$H158)*100,1),")")</f>
        <v>(100)</v>
      </c>
      <c r="K158" s="302">
        <f t="shared" si="127"/>
        <v>7.8009600855886152E-2</v>
      </c>
      <c r="L158" s="302">
        <f t="shared" si="128"/>
        <v>3.1978460775292206E-2</v>
      </c>
      <c r="M158" s="302">
        <f t="shared" si="129"/>
        <v>1.1938368823787016E-5</v>
      </c>
      <c r="N158" s="302">
        <f t="shared" si="130"/>
        <v>0.11000000000000215</v>
      </c>
    </row>
    <row r="159" spans="1:14" x14ac:dyDescent="0.25">
      <c r="B159" s="302"/>
      <c r="C159" s="284"/>
      <c r="D159" s="302"/>
      <c r="E159" s="284"/>
      <c r="F159" s="302"/>
      <c r="G159" s="284"/>
      <c r="H159" s="302"/>
      <c r="I159" s="284"/>
    </row>
    <row r="160" spans="1:14" ht="13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5">
      <c r="A161" s="282" t="s">
        <v>364</v>
      </c>
      <c r="B161" s="302">
        <f>'Ind T6'!Q63</f>
        <v>2.1428569977004037</v>
      </c>
      <c r="C161" s="299" t="str">
        <f>CONCATENATE("(",ROUND((B161/$H163)*100,1),")")</f>
        <v>(54.8)</v>
      </c>
      <c r="D161" s="302">
        <f>'Ind T6'!R63</f>
        <v>0.70269011937958625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2.84554711707999</v>
      </c>
      <c r="I161" s="299" t="str">
        <f>CONCATENATE("(",ROUND((H161/$H163)*100,1),")")</f>
        <v>(72.7)</v>
      </c>
      <c r="K161" s="302">
        <f>B166-B161</f>
        <v>2.5430901872808498E-2</v>
      </c>
      <c r="L161" s="302">
        <f>D166-D161</f>
        <v>1.9543259714832617E-2</v>
      </c>
      <c r="M161" s="302">
        <f>F166-F161</f>
        <v>0</v>
      </c>
      <c r="N161" s="302">
        <f>SUM(K161:M161)</f>
        <v>4.4974161587641115E-2</v>
      </c>
    </row>
    <row r="162" spans="1:14" x14ac:dyDescent="0.25">
      <c r="A162" s="282" t="s">
        <v>365</v>
      </c>
      <c r="B162" s="302">
        <f>'Ind T6'!Q62</f>
        <v>0.6975218186567167</v>
      </c>
      <c r="C162" s="299" t="str">
        <f>CONCATENATE("(",ROUND((B162/$H163)*100,1),")")</f>
        <v>(17.8)</v>
      </c>
      <c r="D162" s="302">
        <f>'Ind T6'!R62</f>
        <v>0.35402860045817408</v>
      </c>
      <c r="E162" s="299" t="str">
        <f>CONCATENATE("(",ROUND((D162/$H163)*100,1),")")</f>
        <v>(9)</v>
      </c>
      <c r="F162" s="302">
        <f>'Ind T6'!S62</f>
        <v>1.590246380511863E-2</v>
      </c>
      <c r="G162" s="299" t="str">
        <f>CONCATENATE("(",ROUND((F162/$H163)*100,1),")")</f>
        <v>(0.4)</v>
      </c>
      <c r="H162" s="302">
        <f t="shared" ref="H162" si="131">SUM(B162,D162,F162)</f>
        <v>1.0674528829200094</v>
      </c>
      <c r="I162" s="299" t="str">
        <f>CONCATENATE("(",ROUND((H162/$H163)*100,1),")")</f>
        <v>(27.3)</v>
      </c>
      <c r="K162" s="302">
        <f t="shared" ref="K162:K163" si="132">B167-B162</f>
        <v>7.2939840504451237E-2</v>
      </c>
      <c r="L162" s="302">
        <f t="shared" ref="L162:L163" si="133">D167-D162</f>
        <v>1.6912368361389207E-2</v>
      </c>
      <c r="M162" s="302">
        <f t="shared" ref="M162:M163" si="134">F167-F162</f>
        <v>1.7362954651167078E-4</v>
      </c>
      <c r="N162" s="302">
        <f t="shared" ref="N162:N163" si="135">SUM(K162:M162)</f>
        <v>9.0025838412352122E-2</v>
      </c>
    </row>
    <row r="163" spans="1:14" x14ac:dyDescent="0.25">
      <c r="A163" s="282" t="s">
        <v>363</v>
      </c>
      <c r="B163" s="302">
        <f>SUM(B161:B162)</f>
        <v>2.8403788163571204</v>
      </c>
      <c r="C163" s="299" t="str">
        <f>CONCATENATE("(",ROUND((B163/$H163)*100,1),")")</f>
        <v>(72.6)</v>
      </c>
      <c r="D163" s="302">
        <f>SUM(D161:D162)</f>
        <v>1.0567187198377603</v>
      </c>
      <c r="E163" s="299" t="str">
        <f>CONCATENATE("(",ROUND((D163/$H163)*100,1),")")</f>
        <v>(27)</v>
      </c>
      <c r="F163" s="302">
        <f>SUM(F161:F162)</f>
        <v>1.590246380511863E-2</v>
      </c>
      <c r="G163" s="299" t="str">
        <f>CONCATENATE("(",ROUND((F163/$H163)*100,1),")")</f>
        <v>(0.4)</v>
      </c>
      <c r="H163" s="302">
        <f>SUM(H161:H162)</f>
        <v>3.9129999999999994</v>
      </c>
      <c r="I163" s="299" t="str">
        <f>CONCATENATE("(",ROUND((H163/$H163)*100,1),")")</f>
        <v>(100)</v>
      </c>
      <c r="K163" s="302">
        <f t="shared" si="132"/>
        <v>9.8370742377259734E-2</v>
      </c>
      <c r="L163" s="302">
        <f t="shared" si="133"/>
        <v>3.6455628076221824E-2</v>
      </c>
      <c r="M163" s="302">
        <f t="shared" si="134"/>
        <v>1.7362954651167078E-4</v>
      </c>
      <c r="N163" s="302">
        <f t="shared" si="135"/>
        <v>0.13499999999999324</v>
      </c>
    </row>
    <row r="164" spans="1:14" x14ac:dyDescent="0.25">
      <c r="B164" s="302"/>
      <c r="C164" s="284"/>
      <c r="D164" s="302"/>
      <c r="E164" s="284"/>
      <c r="F164" s="302"/>
      <c r="G164" s="284"/>
      <c r="H164" s="302"/>
      <c r="I164" s="284"/>
    </row>
    <row r="165" spans="1:14" ht="13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5">
      <c r="A166" s="282" t="s">
        <v>364</v>
      </c>
      <c r="B166" s="302">
        <f>'Ind T6'!V63</f>
        <v>2.1682878995732122</v>
      </c>
      <c r="C166" s="299" t="str">
        <f>CONCATENATE("(",ROUND((B166/$H168)*100,1),")")</f>
        <v>(53.6)</v>
      </c>
      <c r="D166" s="302">
        <f>'Ind T6'!W63</f>
        <v>0.72223337909441887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2.8905212786676309</v>
      </c>
      <c r="I166" s="299" t="str">
        <f>CONCATENATE("(",ROUND((H166/$H168)*100,1),")")</f>
        <v>(71.4)</v>
      </c>
      <c r="K166" s="302">
        <f>B166-B156</f>
        <v>6.1204226747520796E-2</v>
      </c>
      <c r="L166" s="302">
        <f>D166-D156</f>
        <v>3.8940785344075413E-2</v>
      </c>
      <c r="M166" s="302">
        <f>F166-F156</f>
        <v>0</v>
      </c>
      <c r="N166" s="302">
        <f>SUM(K166:M166)</f>
        <v>0.10014501209159621</v>
      </c>
    </row>
    <row r="167" spans="1:14" x14ac:dyDescent="0.25">
      <c r="A167" s="282" t="s">
        <v>365</v>
      </c>
      <c r="B167" s="302">
        <f>'Ind T6'!V62</f>
        <v>0.77046165916116793</v>
      </c>
      <c r="C167" s="299" t="str">
        <f>CONCATENATE("(",ROUND((B167/$H168)*100,1),")")</f>
        <v>(19)</v>
      </c>
      <c r="D167" s="302">
        <f>'Ind T6'!W62</f>
        <v>0.37094096881956329</v>
      </c>
      <c r="E167" s="299" t="str">
        <f>CONCATENATE("(",ROUND((D167/$H168)*100,1),")")</f>
        <v>(9.2)</v>
      </c>
      <c r="F167" s="302">
        <f>'Ind T6'!X62</f>
        <v>1.6076093351630301E-2</v>
      </c>
      <c r="G167" s="299" t="str">
        <f>CONCATENATE("(",ROUND((F167/$H168)*100,1),")")</f>
        <v>(0.4)</v>
      </c>
      <c r="H167" s="302">
        <f t="shared" ref="H167" si="136">SUM(B167,D167,F167)</f>
        <v>1.1574787213323616</v>
      </c>
      <c r="I167" s="299" t="str">
        <f>CONCATENATE("(",ROUND((H167/$H168)*100,1),")")</f>
        <v>(28.6)</v>
      </c>
      <c r="K167" s="302">
        <f t="shared" ref="K167:K168" si="137">B167-B157</f>
        <v>0.11517611648562509</v>
      </c>
      <c r="L167" s="302">
        <f t="shared" ref="L167:L168" si="138">D167-D157</f>
        <v>2.9493303507438673E-2</v>
      </c>
      <c r="M167" s="302">
        <f t="shared" ref="M167:M168" si="139">F167-F157</f>
        <v>1.855679153354578E-4</v>
      </c>
      <c r="N167" s="302">
        <f t="shared" ref="N167:N168" si="140">SUM(K167:M167)</f>
        <v>0.14485498790839924</v>
      </c>
    </row>
    <row r="168" spans="1:14" x14ac:dyDescent="0.25">
      <c r="A168" s="282" t="s">
        <v>363</v>
      </c>
      <c r="B168" s="302">
        <f>SUM(B166:B167)</f>
        <v>2.9387495587343802</v>
      </c>
      <c r="C168" s="299" t="str">
        <f>CONCATENATE("(",ROUND((B168/$H168)*100,1),")")</f>
        <v>(72.6)</v>
      </c>
      <c r="D168" s="302">
        <f>SUM(D166:D167)</f>
        <v>1.0931743479139822</v>
      </c>
      <c r="E168" s="299" t="str">
        <f>CONCATENATE("(",ROUND((D168/$H168)*100,1),")")</f>
        <v>(27)</v>
      </c>
      <c r="F168" s="302">
        <f>SUM(F166:F167)</f>
        <v>1.6076093351630301E-2</v>
      </c>
      <c r="G168" s="299" t="str">
        <f>CONCATENATE("(",ROUND((F168/$H168)*100,1),")")</f>
        <v>(0.4)</v>
      </c>
      <c r="H168" s="302">
        <f>SUM(H166:H167)</f>
        <v>4.0479999999999929</v>
      </c>
      <c r="I168" s="299" t="str">
        <f>CONCATENATE("(",ROUND((H168/$H168)*100,1),")")</f>
        <v>(100)</v>
      </c>
      <c r="K168" s="302">
        <f t="shared" si="137"/>
        <v>0.17638034323314589</v>
      </c>
      <c r="L168" s="302">
        <f t="shared" si="138"/>
        <v>6.843408885151403E-2</v>
      </c>
      <c r="M168" s="302">
        <f t="shared" si="139"/>
        <v>1.855679153354578E-4</v>
      </c>
      <c r="N168" s="302">
        <f t="shared" si="140"/>
        <v>0.24499999999999539</v>
      </c>
    </row>
    <row r="169" spans="1:14" x14ac:dyDescent="0.25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ht="13" x14ac:dyDescent="0.3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ht="13" x14ac:dyDescent="0.3">
      <c r="N174" s="287" t="s">
        <v>370</v>
      </c>
    </row>
    <row r="175" spans="1:14" ht="13" x14ac:dyDescent="0.3">
      <c r="A175" s="182" t="s">
        <v>371</v>
      </c>
      <c r="B175" s="373" t="s">
        <v>369</v>
      </c>
      <c r="C175" s="373"/>
      <c r="D175" s="373" t="s">
        <v>368</v>
      </c>
      <c r="E175" s="373"/>
      <c r="F175" s="373" t="s">
        <v>367</v>
      </c>
      <c r="G175" s="373"/>
      <c r="H175" s="373" t="s">
        <v>33</v>
      </c>
      <c r="I175" s="373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ht="13" x14ac:dyDescent="0.3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5">
      <c r="A177" s="282" t="s">
        <v>364</v>
      </c>
      <c r="B177" s="302">
        <f>'Ind T6'!L72</f>
        <v>14.856909048548848</v>
      </c>
      <c r="C177" s="299" t="str">
        <f>CONCATENATE("(",ROUND((B177/$H179)*100,1),")")</f>
        <v>(40.1)</v>
      </c>
      <c r="D177" s="302">
        <f>'Ind T6'!M72</f>
        <v>0.94478226683510835</v>
      </c>
      <c r="E177" s="299" t="str">
        <f>CONCATENATE("(",ROUND((D177/$H179)*100,1),")")</f>
        <v>(2.6)</v>
      </c>
      <c r="F177" s="302">
        <f>'Ind T6'!N72</f>
        <v>16.003808914012861</v>
      </c>
      <c r="G177" s="299" t="str">
        <f>CONCATENATE("(",ROUND((F177/$H179)*100,1),")")</f>
        <v>(43.2)</v>
      </c>
      <c r="H177" s="302">
        <f>SUM(B177,D177,F177)</f>
        <v>31.80550022939682</v>
      </c>
      <c r="I177" s="299" t="str">
        <f>CONCATENATE("(",ROUND((H177/$H179)*100,1),")")</f>
        <v>(85.9)</v>
      </c>
      <c r="K177" s="302">
        <f>B182-B177</f>
        <v>-0.24216845578913926</v>
      </c>
      <c r="L177" s="302">
        <f>D182-D177</f>
        <v>1.3723492002630455E-2</v>
      </c>
      <c r="M177" s="302">
        <f>F182-F177</f>
        <v>9.9483388908840453E-2</v>
      </c>
      <c r="N177" s="302">
        <f>SUM(K177:M177)</f>
        <v>-0.12896157487766835</v>
      </c>
    </row>
    <row r="178" spans="1:14" x14ac:dyDescent="0.25">
      <c r="A178" s="282" t="s">
        <v>365</v>
      </c>
      <c r="B178" s="302">
        <f>'Ind T6'!L71</f>
        <v>2.727322096731494</v>
      </c>
      <c r="C178" s="299" t="str">
        <f>CONCATENATE("(",ROUND((B178/$H179)*100,1),")")</f>
        <v>(7.4)</v>
      </c>
      <c r="D178" s="302">
        <f>'Ind T6'!M71</f>
        <v>1.7042599367568281</v>
      </c>
      <c r="E178" s="299" t="str">
        <f>CONCATENATE("(",ROUND((D178/$H179)*100,1),")")</f>
        <v>(4.6)</v>
      </c>
      <c r="F178" s="302">
        <f>'Ind T6'!N71</f>
        <v>0.77791773711482126</v>
      </c>
      <c r="G178" s="299" t="str">
        <f>CONCATENATE("(",ROUND((F178/$H179)*100,1),")")</f>
        <v>(2.1)</v>
      </c>
      <c r="H178" s="302">
        <f t="shared" ref="H178" si="141">SUM(B178,D178,F178)</f>
        <v>5.2094997706031432</v>
      </c>
      <c r="I178" s="299" t="str">
        <f>CONCATENATE("(",ROUND((H178/$H179)*100,1),")")</f>
        <v>(14.1)</v>
      </c>
      <c r="K178" s="302">
        <f t="shared" ref="K178:K179" si="142">B183-B178</f>
        <v>1.6594091783321829E-3</v>
      </c>
      <c r="L178" s="302">
        <f t="shared" ref="L178:L179" si="143">D183-D178</f>
        <v>1.2276262753230682E-2</v>
      </c>
      <c r="M178" s="302">
        <f t="shared" ref="M178:M179" si="144">F183-F178</f>
        <v>4.0259029461390261E-3</v>
      </c>
      <c r="N178" s="302">
        <f t="shared" ref="N178:N179" si="145">SUM(K178:M178)</f>
        <v>1.7961574877701891E-2</v>
      </c>
    </row>
    <row r="179" spans="1:14" x14ac:dyDescent="0.25">
      <c r="A179" s="282" t="s">
        <v>363</v>
      </c>
      <c r="B179" s="302">
        <f>SUM(B177:B178)</f>
        <v>17.584231145280341</v>
      </c>
      <c r="C179" s="299" t="str">
        <f>CONCATENATE("(",ROUND((B179/$H179)*100,1),")")</f>
        <v>(47.5)</v>
      </c>
      <c r="D179" s="302">
        <f>SUM(D177:D178)</f>
        <v>2.6490422035919363</v>
      </c>
      <c r="E179" s="299" t="str">
        <f>CONCATENATE("(",ROUND((D179/$H179)*100,1),")")</f>
        <v>(7.2)</v>
      </c>
      <c r="F179" s="302">
        <f>SUM(F177:F178)</f>
        <v>16.781726651127684</v>
      </c>
      <c r="G179" s="299" t="str">
        <f>CONCATENATE("(",ROUND((F179/$H179)*100,1),")")</f>
        <v>(45.3)</v>
      </c>
      <c r="H179" s="302">
        <f>SUM(H177:H178)</f>
        <v>37.014999999999965</v>
      </c>
      <c r="I179" s="299" t="str">
        <f>CONCATENATE("(",ROUND((H179/$H179)*100,1),")")</f>
        <v>(100)</v>
      </c>
      <c r="K179" s="302">
        <f t="shared" si="142"/>
        <v>-0.24050904661080708</v>
      </c>
      <c r="L179" s="302">
        <f t="shared" si="143"/>
        <v>2.5999754755861471E-2</v>
      </c>
      <c r="M179" s="302">
        <f t="shared" si="144"/>
        <v>0.10350929185497648</v>
      </c>
      <c r="N179" s="302">
        <f t="shared" si="145"/>
        <v>-0.11099999999996912</v>
      </c>
    </row>
    <row r="180" spans="1:14" x14ac:dyDescent="0.25">
      <c r="B180" s="302"/>
      <c r="C180" s="284"/>
      <c r="D180" s="302"/>
      <c r="E180" s="284"/>
      <c r="F180" s="302"/>
      <c r="G180" s="284"/>
      <c r="H180" s="302"/>
      <c r="I180" s="284"/>
    </row>
    <row r="181" spans="1:14" ht="13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5">
      <c r="A182" s="282" t="s">
        <v>364</v>
      </c>
      <c r="B182" s="302">
        <f>'Ind T6'!Q72</f>
        <v>14.614740592759709</v>
      </c>
      <c r="C182" s="299" t="str">
        <f>CONCATENATE("(",ROUND((B182/$H184)*100,1),")")</f>
        <v>(39.6)</v>
      </c>
      <c r="D182" s="302">
        <f>'Ind T6'!R72</f>
        <v>0.95850575883773881</v>
      </c>
      <c r="E182" s="299" t="str">
        <f>CONCATENATE("(",ROUND((D182/$H184)*100,1),")")</f>
        <v>(2.6)</v>
      </c>
      <c r="F182" s="302">
        <f>'Ind T6'!S72</f>
        <v>16.103292302921702</v>
      </c>
      <c r="G182" s="299" t="str">
        <f>CONCATENATE("(",ROUND((F182/$H184)*100,1),")")</f>
        <v>(43.6)</v>
      </c>
      <c r="H182" s="302">
        <f>SUM(B182,D182,F182)</f>
        <v>31.676538654519149</v>
      </c>
      <c r="I182" s="299" t="str">
        <f>CONCATENATE("(",ROUND((H182/$H184)*100,1),")")</f>
        <v>(85.8)</v>
      </c>
      <c r="K182" s="302">
        <f>B187-B182</f>
        <v>-0.26885926017585682</v>
      </c>
      <c r="L182" s="302">
        <f>D187-D182</f>
        <v>4.8420116641208821E-2</v>
      </c>
      <c r="M182" s="302">
        <f>F187-F182</f>
        <v>0.58053555879783048</v>
      </c>
      <c r="N182" s="302">
        <f>SUM(K182:M182)</f>
        <v>0.36009641526318248</v>
      </c>
    </row>
    <row r="183" spans="1:14" x14ac:dyDescent="0.25">
      <c r="A183" s="282" t="s">
        <v>365</v>
      </c>
      <c r="B183" s="302">
        <f>'Ind T6'!Q71</f>
        <v>2.7289815059098261</v>
      </c>
      <c r="C183" s="299" t="str">
        <f>CONCATENATE("(",ROUND((B183/$H184)*100,1),")")</f>
        <v>(7.4)</v>
      </c>
      <c r="D183" s="302">
        <f>'Ind T6'!R71</f>
        <v>1.7165361995100588</v>
      </c>
      <c r="E183" s="299" t="str">
        <f>CONCATENATE("(",ROUND((D183/$H184)*100,1),")")</f>
        <v>(4.7)</v>
      </c>
      <c r="F183" s="302">
        <f>'Ind T6'!S71</f>
        <v>0.78194364006096029</v>
      </c>
      <c r="G183" s="299" t="str">
        <f>CONCATENATE("(",ROUND((F183/$H184)*100,1),")")</f>
        <v>(2.1)</v>
      </c>
      <c r="H183" s="302">
        <f t="shared" ref="H183" si="146">SUM(B183,D183,F183)</f>
        <v>5.2274613454808456</v>
      </c>
      <c r="I183" s="299" t="str">
        <f>CONCATENATE("(",ROUND((H183/$H184)*100,1),")")</f>
        <v>(14.2)</v>
      </c>
      <c r="K183" s="302">
        <f t="shared" ref="K183:K184" si="147">B188-B183</f>
        <v>7.5018675516936639E-2</v>
      </c>
      <c r="L183" s="302">
        <f t="shared" ref="L183:L184" si="148">D188-D183</f>
        <v>6.6788630859265563E-2</v>
      </c>
      <c r="M183" s="302">
        <f t="shared" ref="M183:M184" si="149">F188-F183</f>
        <v>4.4096278360557739E-2</v>
      </c>
      <c r="N183" s="302">
        <f t="shared" ref="N183:N184" si="150">SUM(K183:M183)</f>
        <v>0.18590358473675994</v>
      </c>
    </row>
    <row r="184" spans="1:14" x14ac:dyDescent="0.25">
      <c r="A184" s="282" t="s">
        <v>363</v>
      </c>
      <c r="B184" s="302">
        <f>SUM(B182:B183)</f>
        <v>17.343722098669534</v>
      </c>
      <c r="C184" s="299" t="str">
        <f>CONCATENATE("(",ROUND((B184/$H184)*100,1),")")</f>
        <v>(47)</v>
      </c>
      <c r="D184" s="302">
        <f>SUM(D182:D183)</f>
        <v>2.6750419583477978</v>
      </c>
      <c r="E184" s="299" t="str">
        <f>CONCATENATE("(",ROUND((D184/$H184)*100,1),")")</f>
        <v>(7.2)</v>
      </c>
      <c r="F184" s="302">
        <f>SUM(F182:F183)</f>
        <v>16.885235942982661</v>
      </c>
      <c r="G184" s="299" t="str">
        <f>CONCATENATE("(",ROUND((F184/$H184)*100,1),")")</f>
        <v>(45.8)</v>
      </c>
      <c r="H184" s="302">
        <f>SUM(H182:H183)</f>
        <v>36.903999999999996</v>
      </c>
      <c r="I184" s="299" t="str">
        <f>CONCATENATE("(",ROUND((H184/$H184)*100,1),")")</f>
        <v>(100)</v>
      </c>
      <c r="K184" s="302">
        <f t="shared" si="147"/>
        <v>-0.1938405846589184</v>
      </c>
      <c r="L184" s="302">
        <f t="shared" si="148"/>
        <v>0.11520874750047394</v>
      </c>
      <c r="M184" s="302">
        <f t="shared" si="149"/>
        <v>0.62463183715838966</v>
      </c>
      <c r="N184" s="302">
        <f t="shared" si="150"/>
        <v>0.5459999999999452</v>
      </c>
    </row>
    <row r="185" spans="1:14" x14ac:dyDescent="0.25">
      <c r="B185" s="302"/>
      <c r="C185" s="284"/>
      <c r="D185" s="302"/>
      <c r="E185" s="284"/>
      <c r="F185" s="302"/>
      <c r="G185" s="284"/>
      <c r="H185" s="302"/>
      <c r="I185" s="284"/>
    </row>
    <row r="186" spans="1:14" ht="13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5">
      <c r="A187" s="282" t="s">
        <v>364</v>
      </c>
      <c r="B187" s="302">
        <f>'Ind T6'!V72</f>
        <v>14.345881332583852</v>
      </c>
      <c r="C187" s="299" t="str">
        <f>CONCATENATE("(",ROUND((B187/$H189)*100,1),")")</f>
        <v>(38.3)</v>
      </c>
      <c r="D187" s="302">
        <f>'Ind T6'!W72</f>
        <v>1.0069258754789476</v>
      </c>
      <c r="E187" s="299" t="str">
        <f>CONCATENATE("(",ROUND((D187/$H189)*100,1),")")</f>
        <v>(2.7)</v>
      </c>
      <c r="F187" s="302">
        <f>'Ind T6'!X72</f>
        <v>16.683827861719532</v>
      </c>
      <c r="G187" s="299" t="str">
        <f>CONCATENATE("(",ROUND((F187/$H189)*100,1),")")</f>
        <v>(44.5)</v>
      </c>
      <c r="H187" s="302">
        <f>SUM(B187,D187,F187)</f>
        <v>32.036635069782335</v>
      </c>
      <c r="I187" s="299" t="str">
        <f>CONCATENATE("(",ROUND((H187/$H189)*100,1),")")</f>
        <v>(85.5)</v>
      </c>
      <c r="K187" s="302">
        <f>B187-B177</f>
        <v>-0.51102771596499608</v>
      </c>
      <c r="L187" s="302">
        <f>D187-D177</f>
        <v>6.2143608643839277E-2</v>
      </c>
      <c r="M187" s="302">
        <f>F187-F177</f>
        <v>0.68001894770667093</v>
      </c>
      <c r="N187" s="302">
        <f>SUM(K187:M187)</f>
        <v>0.23113484038551413</v>
      </c>
    </row>
    <row r="188" spans="1:14" x14ac:dyDescent="0.25">
      <c r="A188" s="282" t="s">
        <v>365</v>
      </c>
      <c r="B188" s="302">
        <f>'Ind T6'!V71</f>
        <v>2.8040001814267628</v>
      </c>
      <c r="C188" s="299" t="str">
        <f>CONCATENATE("(",ROUND((B188/$H189)*100,1),")")</f>
        <v>(7.5)</v>
      </c>
      <c r="D188" s="302">
        <f>'Ind T6'!W71</f>
        <v>1.7833248303693243</v>
      </c>
      <c r="E188" s="299" t="str">
        <f>CONCATENATE("(",ROUND((D188/$H189)*100,1),")")</f>
        <v>(4.8)</v>
      </c>
      <c r="F188" s="302">
        <f>'Ind T6'!X71</f>
        <v>0.82603991842151803</v>
      </c>
      <c r="G188" s="299" t="str">
        <f>CONCATENATE("(",ROUND((F188/$H189)*100,1),")")</f>
        <v>(2.2)</v>
      </c>
      <c r="H188" s="302">
        <f t="shared" ref="H188" si="151">SUM(B188,D188,F188)</f>
        <v>5.4133649302176057</v>
      </c>
      <c r="I188" s="299" t="str">
        <f>CONCATENATE("(",ROUND((H188/$H189)*100,1),")")</f>
        <v>(14.5)</v>
      </c>
      <c r="K188" s="302">
        <f t="shared" ref="K188:K189" si="152">B188-B178</f>
        <v>7.6678084695268822E-2</v>
      </c>
      <c r="L188" s="302">
        <f t="shared" ref="L188:L189" si="153">D188-D178</f>
        <v>7.9064893612496245E-2</v>
      </c>
      <c r="M188" s="302">
        <f t="shared" ref="M188:M189" si="154">F188-F178</f>
        <v>4.8122181306696765E-2</v>
      </c>
      <c r="N188" s="302">
        <f t="shared" ref="N188:N189" si="155">SUM(K188:M188)</f>
        <v>0.20386515961446183</v>
      </c>
    </row>
    <row r="189" spans="1:14" x14ac:dyDescent="0.25">
      <c r="A189" s="282" t="s">
        <v>363</v>
      </c>
      <c r="B189" s="302">
        <f>SUM(B187:B188)</f>
        <v>17.149881514010616</v>
      </c>
      <c r="C189" s="299" t="str">
        <f>CONCATENATE("(",ROUND((B189/$H189)*100,1),")")</f>
        <v>(45.8)</v>
      </c>
      <c r="D189" s="302">
        <f>SUM(D187:D188)</f>
        <v>2.7902507058482717</v>
      </c>
      <c r="E189" s="299" t="str">
        <f>CONCATENATE("(",ROUND((D189/$H189)*100,1),")")</f>
        <v>(7.5)</v>
      </c>
      <c r="F189" s="302">
        <f>SUM(F187:F188)</f>
        <v>17.50986778014105</v>
      </c>
      <c r="G189" s="299" t="str">
        <f>CONCATENATE("(",ROUND((F189/$H189)*100,1),")")</f>
        <v>(46.8)</v>
      </c>
      <c r="H189" s="302">
        <f>SUM(H187:H188)</f>
        <v>37.449999999999939</v>
      </c>
      <c r="I189" s="299" t="str">
        <f>CONCATENATE("(",ROUND((H189/$H189)*100,1),")")</f>
        <v>(100)</v>
      </c>
      <c r="K189" s="302">
        <f t="shared" si="152"/>
        <v>-0.43434963126972548</v>
      </c>
      <c r="L189" s="302">
        <f t="shared" si="153"/>
        <v>0.14120850225633541</v>
      </c>
      <c r="M189" s="302">
        <f t="shared" si="154"/>
        <v>0.72814112901336614</v>
      </c>
      <c r="N189" s="302">
        <f t="shared" si="155"/>
        <v>0.43499999999997607</v>
      </c>
    </row>
    <row r="190" spans="1:14" x14ac:dyDescent="0.25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ht="13" x14ac:dyDescent="0.3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ht="13" x14ac:dyDescent="0.3">
      <c r="N195" s="287" t="s">
        <v>370</v>
      </c>
    </row>
    <row r="196" spans="1:14" ht="13" x14ac:dyDescent="0.3">
      <c r="A196" s="182" t="s">
        <v>371</v>
      </c>
      <c r="B196" s="373" t="s">
        <v>369</v>
      </c>
      <c r="C196" s="373"/>
      <c r="D196" s="373" t="s">
        <v>368</v>
      </c>
      <c r="E196" s="373"/>
      <c r="F196" s="373" t="s">
        <v>367</v>
      </c>
      <c r="G196" s="373"/>
      <c r="H196" s="373" t="s">
        <v>33</v>
      </c>
      <c r="I196" s="373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ht="13" x14ac:dyDescent="0.3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5">
      <c r="A198" s="282" t="s">
        <v>364</v>
      </c>
      <c r="B198" s="302">
        <f>'Ind T6'!L81</f>
        <v>33.177553672226054</v>
      </c>
      <c r="C198" s="299" t="str">
        <f>CONCATENATE("(",ROUND((B198/$H200)*100,1),")")</f>
        <v>(38.1)</v>
      </c>
      <c r="D198" s="302">
        <f>'Ind T6'!M81</f>
        <v>11.944242187181947</v>
      </c>
      <c r="E198" s="299" t="str">
        <f>CONCATENATE("(",ROUND((D198/$H200)*100,1),")")</f>
        <v>(13.7)</v>
      </c>
      <c r="F198" s="302">
        <f>'Ind T6'!N81</f>
        <v>2.7608915698618275</v>
      </c>
      <c r="G198" s="299" t="str">
        <f>CONCATENATE("(",ROUND((F198/$H200)*100,1),")")</f>
        <v>(3.2)</v>
      </c>
      <c r="H198" s="302">
        <f>SUM(B198,D198,F198)</f>
        <v>47.882687429269829</v>
      </c>
      <c r="I198" s="299" t="str">
        <f>CONCATENATE("(",ROUND((H198/$H200)*100,1),")")</f>
        <v>(55)</v>
      </c>
      <c r="K198" s="302">
        <f>B203-B198</f>
        <v>0.56799492764904613</v>
      </c>
      <c r="L198" s="302">
        <f>D203-D198</f>
        <v>5.0587468151102044E-2</v>
      </c>
      <c r="M198" s="302">
        <f>F203-F198</f>
        <v>4.6840452208782857E-2</v>
      </c>
      <c r="N198" s="302">
        <f>SUM(K198:M198)</f>
        <v>0.66542284800893103</v>
      </c>
    </row>
    <row r="199" spans="1:14" x14ac:dyDescent="0.25">
      <c r="A199" s="282" t="s">
        <v>365</v>
      </c>
      <c r="B199" s="302">
        <f>'Ind T6'!L80</f>
        <v>16.01549415985583</v>
      </c>
      <c r="C199" s="299" t="str">
        <f>CONCATENATE("(",ROUND((B199/$H200)*100,1),")")</f>
        <v>(18.4)</v>
      </c>
      <c r="D199" s="302">
        <f>'Ind T6'!M80</f>
        <v>20.753541608585969</v>
      </c>
      <c r="E199" s="299" t="str">
        <f>CONCATENATE("(",ROUND((D199/$H200)*100,1),")")</f>
        <v>(23.8)</v>
      </c>
      <c r="F199" s="302">
        <f>'Ind T6'!N80</f>
        <v>2.4222768022884913</v>
      </c>
      <c r="G199" s="299" t="str">
        <f>CONCATENATE("(",ROUND((F199/$H200)*100,1),")")</f>
        <v>(2.8)</v>
      </c>
      <c r="H199" s="302">
        <f t="shared" ref="H199" si="156">SUM(B199,D199,F199)</f>
        <v>39.19131257073029</v>
      </c>
      <c r="I199" s="299" t="str">
        <f>CONCATENATE("(",ROUND((H199/$H200)*100,1),")")</f>
        <v>(45)</v>
      </c>
      <c r="K199" s="302">
        <f t="shared" ref="K199:K200" si="157">B204-B199</f>
        <v>0.76002050796238763</v>
      </c>
      <c r="L199" s="302">
        <f t="shared" ref="L199:L200" si="158">D204-D199</f>
        <v>-0.70132235824714328</v>
      </c>
      <c r="M199" s="302">
        <f t="shared" ref="M199:M200" si="159">F204-F199</f>
        <v>8.0879002275650258E-2</v>
      </c>
      <c r="N199" s="302">
        <f t="shared" ref="N199:N200" si="160">SUM(K199:M199)</f>
        <v>0.1395771519908946</v>
      </c>
    </row>
    <row r="200" spans="1:14" x14ac:dyDescent="0.25">
      <c r="A200" s="282" t="s">
        <v>363</v>
      </c>
      <c r="B200" s="302">
        <f>SUM(B198:B199)</f>
        <v>49.193047832081888</v>
      </c>
      <c r="C200" s="299" t="str">
        <f>CONCATENATE("(",ROUND((B200/$H200)*100,1),")")</f>
        <v>(56.5)</v>
      </c>
      <c r="D200" s="302">
        <f>SUM(D198:D199)</f>
        <v>32.697783795767918</v>
      </c>
      <c r="E200" s="299" t="str">
        <f>CONCATENATE("(",ROUND((D200/$H200)*100,1),")")</f>
        <v>(37.6)</v>
      </c>
      <c r="F200" s="302">
        <f>SUM(F198:F199)</f>
        <v>5.1831683721503188</v>
      </c>
      <c r="G200" s="299" t="str">
        <f>CONCATENATE("(",ROUND((F200/$H200)*100,1),")")</f>
        <v>(6)</v>
      </c>
      <c r="H200" s="302">
        <f>SUM(H198:H199)</f>
        <v>87.074000000000126</v>
      </c>
      <c r="I200" s="299" t="str">
        <f>CONCATENATE("(",ROUND((H200/$H200)*100,1),")")</f>
        <v>(100)</v>
      </c>
      <c r="K200" s="302">
        <f t="shared" si="157"/>
        <v>1.3280154356114338</v>
      </c>
      <c r="L200" s="302">
        <f t="shared" si="158"/>
        <v>-0.65073489009604657</v>
      </c>
      <c r="M200" s="302">
        <f t="shared" si="159"/>
        <v>0.12771945448443311</v>
      </c>
      <c r="N200" s="302">
        <f t="shared" si="160"/>
        <v>0.8049999999998203</v>
      </c>
    </row>
    <row r="201" spans="1:14" x14ac:dyDescent="0.25">
      <c r="B201" s="302"/>
      <c r="C201" s="284"/>
      <c r="D201" s="302"/>
      <c r="E201" s="284"/>
      <c r="F201" s="302"/>
      <c r="G201" s="284"/>
      <c r="H201" s="302"/>
      <c r="I201" s="284"/>
    </row>
    <row r="202" spans="1:14" ht="13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5">
      <c r="A203" s="282" t="s">
        <v>364</v>
      </c>
      <c r="B203" s="302">
        <f>'Ind T6'!Q81</f>
        <v>33.7455485998751</v>
      </c>
      <c r="C203" s="299" t="str">
        <f>CONCATENATE("(",ROUND((B203/$H205)*100,1),")")</f>
        <v>(38.4)</v>
      </c>
      <c r="D203" s="302">
        <f>'Ind T6'!R81</f>
        <v>11.994829655333049</v>
      </c>
      <c r="E203" s="299" t="str">
        <f>CONCATENATE("(",ROUND((D203/$H205)*100,1),")")</f>
        <v>(13.6)</v>
      </c>
      <c r="F203" s="302">
        <f>'Ind T6'!S81</f>
        <v>2.8077320220706103</v>
      </c>
      <c r="G203" s="299" t="str">
        <f>CONCATENATE("(",ROUND((F203/$H205)*100,1),")")</f>
        <v>(3.2)</v>
      </c>
      <c r="H203" s="302">
        <f>SUM(B203,D203,F203)</f>
        <v>48.548110277278759</v>
      </c>
      <c r="I203" s="299" t="str">
        <f>CONCATENATE("(",ROUND((H203/$H205)*100,1),")")</f>
        <v>(55.2)</v>
      </c>
      <c r="K203" s="302">
        <f>B208-B203</f>
        <v>0.48831712753008816</v>
      </c>
      <c r="L203" s="302">
        <f>D208-D203</f>
        <v>0.14721458565728263</v>
      </c>
      <c r="M203" s="302">
        <f>F208-F203</f>
        <v>6.4492604800682862E-2</v>
      </c>
      <c r="N203" s="302">
        <f>SUM(K203:M203)</f>
        <v>0.70002431798805365</v>
      </c>
    </row>
    <row r="204" spans="1:14" x14ac:dyDescent="0.25">
      <c r="A204" s="282" t="s">
        <v>365</v>
      </c>
      <c r="B204" s="302">
        <f>'Ind T6'!Q80</f>
        <v>16.775514667818218</v>
      </c>
      <c r="C204" s="299" t="str">
        <f>CONCATENATE("(",ROUND((B204/$H205)*100,1),")")</f>
        <v>(19.1)</v>
      </c>
      <c r="D204" s="302">
        <f>'Ind T6'!R80</f>
        <v>20.052219250338826</v>
      </c>
      <c r="E204" s="299" t="str">
        <f>CONCATENATE("(",ROUND((D204/$H205)*100,1),")")</f>
        <v>(22.8)</v>
      </c>
      <c r="F204" s="302">
        <f>'Ind T6'!S80</f>
        <v>2.5031558045641416</v>
      </c>
      <c r="G204" s="299" t="str">
        <f>CONCATENATE("(",ROUND((F204/$H205)*100,1),")")</f>
        <v>(2.8)</v>
      </c>
      <c r="H204" s="302">
        <f t="shared" ref="H204" si="161">SUM(B204,D204,F204)</f>
        <v>39.330889722721189</v>
      </c>
      <c r="I204" s="299" t="str">
        <f>CONCATENATE("(",ROUND((H204/$H205)*100,1),")")</f>
        <v>(44.8)</v>
      </c>
      <c r="K204" s="302">
        <f t="shared" ref="K204:K205" si="162">B209-B204</f>
        <v>1.3716062523651473</v>
      </c>
      <c r="L204" s="302">
        <f t="shared" ref="L204:L205" si="163">D209-D204</f>
        <v>-1.2846788842890469</v>
      </c>
      <c r="M204" s="302">
        <f t="shared" ref="M204:M205" si="164">F209-F204</f>
        <v>0.17704831393576059</v>
      </c>
      <c r="N204" s="302">
        <f t="shared" ref="N204:N205" si="165">SUM(K204:M204)</f>
        <v>0.26397568201186106</v>
      </c>
    </row>
    <row r="205" spans="1:14" x14ac:dyDescent="0.25">
      <c r="A205" s="282" t="s">
        <v>363</v>
      </c>
      <c r="B205" s="302">
        <f>SUM(B203:B204)</f>
        <v>50.521063267693322</v>
      </c>
      <c r="C205" s="299" t="str">
        <f>CONCATENATE("(",ROUND((B205/$H205)*100,1),")")</f>
        <v>(57.5)</v>
      </c>
      <c r="D205" s="302">
        <f>SUM(D203:D204)</f>
        <v>32.047048905671872</v>
      </c>
      <c r="E205" s="299" t="str">
        <f>CONCATENATE("(",ROUND((D205/$H205)*100,1),")")</f>
        <v>(36.5)</v>
      </c>
      <c r="F205" s="302">
        <f>SUM(F203:F204)</f>
        <v>5.3108878266347519</v>
      </c>
      <c r="G205" s="299" t="str">
        <f>CONCATENATE("(",ROUND((F205/$H205)*100,1),")")</f>
        <v>(6)</v>
      </c>
      <c r="H205" s="302">
        <f>SUM(H203:H204)</f>
        <v>87.878999999999948</v>
      </c>
      <c r="I205" s="299" t="str">
        <f>CONCATENATE("(",ROUND((H205/$H205)*100,1),")")</f>
        <v>(100)</v>
      </c>
      <c r="K205" s="302">
        <f t="shared" si="162"/>
        <v>1.8599233798952355</v>
      </c>
      <c r="L205" s="302">
        <f t="shared" si="163"/>
        <v>-1.1374642986317625</v>
      </c>
      <c r="M205" s="302">
        <f t="shared" si="164"/>
        <v>0.24154091873644301</v>
      </c>
      <c r="N205" s="302">
        <f t="shared" si="165"/>
        <v>0.96399999999991604</v>
      </c>
    </row>
    <row r="206" spans="1:14" x14ac:dyDescent="0.25">
      <c r="B206" s="302"/>
      <c r="C206" s="284"/>
      <c r="D206" s="302"/>
      <c r="E206" s="284"/>
      <c r="F206" s="302"/>
      <c r="G206" s="284"/>
      <c r="H206" s="302"/>
      <c r="I206" s="284"/>
    </row>
    <row r="207" spans="1:14" ht="13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5">
      <c r="A208" s="282" t="s">
        <v>364</v>
      </c>
      <c r="B208" s="302">
        <f>'Ind T6'!V81</f>
        <v>34.233865727405188</v>
      </c>
      <c r="C208" s="299" t="str">
        <f>CONCATENATE("(",ROUND((B208/$H210)*100,1),")")</f>
        <v>(38.5)</v>
      </c>
      <c r="D208" s="302">
        <f>'Ind T6'!W81</f>
        <v>12.142044240990332</v>
      </c>
      <c r="E208" s="299" t="str">
        <f>CONCATENATE("(",ROUND((D208/$H210)*100,1),")")</f>
        <v>(13.7)</v>
      </c>
      <c r="F208" s="302">
        <f>'Ind T6'!X81</f>
        <v>2.8722246268712932</v>
      </c>
      <c r="G208" s="299" t="str">
        <f>CONCATENATE("(",ROUND((F208/$H210)*100,1),")")</f>
        <v>(3.2)</v>
      </c>
      <c r="H208" s="302">
        <f>SUM(B208,D208,F208)</f>
        <v>49.248134595266812</v>
      </c>
      <c r="I208" s="299" t="str">
        <f>CONCATENATE("(",ROUND((H208/$H210)*100,1),")")</f>
        <v>(55.4)</v>
      </c>
      <c r="K208" s="302">
        <f>B208-B198</f>
        <v>1.0563120551791343</v>
      </c>
      <c r="L208" s="302">
        <f>D208-D198</f>
        <v>0.19780205380838467</v>
      </c>
      <c r="M208" s="302">
        <f>F208-F198</f>
        <v>0.11133305700946572</v>
      </c>
      <c r="N208" s="302">
        <f>SUM(K208:M208)</f>
        <v>1.3654471659969847</v>
      </c>
    </row>
    <row r="209" spans="1:14" x14ac:dyDescent="0.25">
      <c r="A209" s="282" t="s">
        <v>365</v>
      </c>
      <c r="B209" s="302">
        <f>'Ind T6'!V80</f>
        <v>18.147120920183365</v>
      </c>
      <c r="C209" s="299" t="str">
        <f>CONCATENATE("(",ROUND((B209/$H210)*100,1),")")</f>
        <v>(20.4)</v>
      </c>
      <c r="D209" s="302">
        <f>'Ind T6'!W80</f>
        <v>18.767540366049779</v>
      </c>
      <c r="E209" s="299" t="str">
        <f>CONCATENATE("(",ROUND((D209/$H210)*100,1),")")</f>
        <v>(21.1)</v>
      </c>
      <c r="F209" s="302">
        <f>'Ind T6'!X80</f>
        <v>2.6802041184999021</v>
      </c>
      <c r="G209" s="299" t="str">
        <f>CONCATENATE("(",ROUND((F209/$H210)*100,1),")")</f>
        <v>(3)</v>
      </c>
      <c r="H209" s="302">
        <f t="shared" ref="H209" si="166">SUM(B209,D209,F209)</f>
        <v>39.594865404733042</v>
      </c>
      <c r="I209" s="299" t="str">
        <f>CONCATENATE("(",ROUND((H209/$H210)*100,1),")")</f>
        <v>(44.6)</v>
      </c>
      <c r="K209" s="302">
        <f t="shared" ref="K209:K210" si="167">B209-B199</f>
        <v>2.131626760327535</v>
      </c>
      <c r="L209" s="302">
        <f t="shared" ref="L209:L210" si="168">D209-D199</f>
        <v>-1.9860012425361901</v>
      </c>
      <c r="M209" s="302">
        <f t="shared" ref="M209:M210" si="169">F209-F199</f>
        <v>0.25792731621141085</v>
      </c>
      <c r="N209" s="302">
        <f t="shared" ref="N209:N210" si="170">SUM(K209:M209)</f>
        <v>0.40355283400275566</v>
      </c>
    </row>
    <row r="210" spans="1:14" x14ac:dyDescent="0.25">
      <c r="A210" s="282" t="s">
        <v>363</v>
      </c>
      <c r="B210" s="302">
        <f>SUM(B208:B209)</f>
        <v>52.380986647588557</v>
      </c>
      <c r="C210" s="299" t="str">
        <f>CONCATENATE("(",ROUND((B210/$H210)*100,1),")")</f>
        <v>(59)</v>
      </c>
      <c r="D210" s="302">
        <f>SUM(D208:D209)</f>
        <v>30.909584607040109</v>
      </c>
      <c r="E210" s="299" t="str">
        <f>CONCATENATE("(",ROUND((D210/$H210)*100,1),")")</f>
        <v>(34.8)</v>
      </c>
      <c r="F210" s="302">
        <f>SUM(F208:F209)</f>
        <v>5.5524287453711949</v>
      </c>
      <c r="G210" s="299" t="str">
        <f>CONCATENATE("(",ROUND((F210/$H210)*100,1),")")</f>
        <v>(6.2)</v>
      </c>
      <c r="H210" s="302">
        <f>SUM(H208:H209)</f>
        <v>88.842999999999847</v>
      </c>
      <c r="I210" s="299" t="str">
        <f>CONCATENATE("(",ROUND((H210/$H210)*100,1),")")</f>
        <v>(100)</v>
      </c>
      <c r="K210" s="302">
        <f t="shared" si="167"/>
        <v>3.1879388155066692</v>
      </c>
      <c r="L210" s="302">
        <f t="shared" si="168"/>
        <v>-1.788199188727809</v>
      </c>
      <c r="M210" s="302">
        <f t="shared" si="169"/>
        <v>0.36926037322087613</v>
      </c>
      <c r="N210" s="302">
        <f t="shared" si="170"/>
        <v>1.7689999999997363</v>
      </c>
    </row>
    <row r="211" spans="1:14" x14ac:dyDescent="0.25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ht="13" x14ac:dyDescent="0.3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ht="13" x14ac:dyDescent="0.3">
      <c r="N216" s="287" t="s">
        <v>370</v>
      </c>
    </row>
    <row r="217" spans="1:14" ht="13" x14ac:dyDescent="0.3">
      <c r="A217" s="182" t="s">
        <v>371</v>
      </c>
      <c r="B217" s="373" t="s">
        <v>369</v>
      </c>
      <c r="C217" s="373"/>
      <c r="D217" s="373" t="s">
        <v>368</v>
      </c>
      <c r="E217" s="373"/>
      <c r="F217" s="373" t="s">
        <v>367</v>
      </c>
      <c r="G217" s="373"/>
      <c r="H217" s="373" t="s">
        <v>33</v>
      </c>
      <c r="I217" s="373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ht="13" x14ac:dyDescent="0.3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5">
      <c r="A219" s="282" t="s">
        <v>364</v>
      </c>
      <c r="B219" s="302">
        <f>'Ind T6'!L90</f>
        <v>17.726323308590771</v>
      </c>
      <c r="C219" s="299" t="str">
        <f>CONCATENATE("(",ROUND((B219/$H221)*100,1),")")</f>
        <v>(53.8)</v>
      </c>
      <c r="D219" s="302">
        <f>'Ind T6'!M90</f>
        <v>3.2812700992073967</v>
      </c>
      <c r="E219" s="299" t="str">
        <f>CONCATENATE("(",ROUND((D219/$H221)*100,1),")")</f>
        <v>(10)</v>
      </c>
      <c r="F219" s="302">
        <f>'Ind T6'!N90</f>
        <v>4.7266726285213307</v>
      </c>
      <c r="G219" s="299" t="str">
        <f>CONCATENATE("(",ROUND((F219/$H221)*100,1),")")</f>
        <v>(14.3)</v>
      </c>
      <c r="H219" s="302">
        <f>SUM(B219,D219,F219)</f>
        <v>25.7342660363195</v>
      </c>
      <c r="I219" s="299" t="str">
        <f>CONCATENATE("(",ROUND((H219/$H221)*100,1),")")</f>
        <v>(78.1)</v>
      </c>
      <c r="K219" s="302">
        <f>B224-B219</f>
        <v>1.4099522965980071</v>
      </c>
      <c r="L219" s="302">
        <f>D224-D219</f>
        <v>0.28418871610748875</v>
      </c>
      <c r="M219" s="302">
        <f>F224-F219</f>
        <v>0.39476218704273247</v>
      </c>
      <c r="N219" s="302">
        <f>SUM(K219:M219)</f>
        <v>2.0889031997482284</v>
      </c>
    </row>
    <row r="220" spans="1:14" x14ac:dyDescent="0.25">
      <c r="A220" s="282" t="s">
        <v>365</v>
      </c>
      <c r="B220" s="302">
        <f>'Ind T6'!L89</f>
        <v>4.2303370113508283</v>
      </c>
      <c r="C220" s="299" t="str">
        <f>CONCATENATE("(",ROUND((B220/$H221)*100,1),")")</f>
        <v>(12.8)</v>
      </c>
      <c r="D220" s="302">
        <f>'Ind T6'!M89</f>
        <v>2.8419969283682058</v>
      </c>
      <c r="E220" s="299" t="str">
        <f>CONCATENATE("(",ROUND((D220/$H221)*100,1),")")</f>
        <v>(8.6)</v>
      </c>
      <c r="F220" s="302">
        <f>'Ind T6'!N89</f>
        <v>0.14140002396142731</v>
      </c>
      <c r="G220" s="299" t="str">
        <f>CONCATENATE("(",ROUND((F220/$H221)*100,1),")")</f>
        <v>(0.4)</v>
      </c>
      <c r="H220" s="302">
        <f t="shared" ref="H220" si="171">SUM(B220,D220,F220)</f>
        <v>7.2137339636804612</v>
      </c>
      <c r="I220" s="299" t="str">
        <f>CONCATENATE("(",ROUND((H220/$H221)*100,1),")")</f>
        <v>(21.9)</v>
      </c>
      <c r="K220" s="302">
        <f t="shared" ref="K220:K221" si="172">B225-B220</f>
        <v>0.5226569539493946</v>
      </c>
      <c r="L220" s="302">
        <f t="shared" ref="L220:L221" si="173">D225-D220</f>
        <v>0.3974648522926314</v>
      </c>
      <c r="M220" s="302">
        <f t="shared" ref="M220:M221" si="174">F225-F220</f>
        <v>6.9749940097778573E-3</v>
      </c>
      <c r="N220" s="302">
        <f t="shared" ref="N220:N221" si="175">SUM(K220:M220)</f>
        <v>0.92709680025180385</v>
      </c>
    </row>
    <row r="221" spans="1:14" x14ac:dyDescent="0.25">
      <c r="A221" s="282" t="s">
        <v>363</v>
      </c>
      <c r="B221" s="302">
        <f>SUM(B219:B220)</f>
        <v>21.956660319941598</v>
      </c>
      <c r="C221" s="299" t="str">
        <f>CONCATENATE("(",ROUND((B221/$H221)*100,1),")")</f>
        <v>(66.6)</v>
      </c>
      <c r="D221" s="302">
        <f>SUM(D219:D220)</f>
        <v>6.1232670275756025</v>
      </c>
      <c r="E221" s="299" t="str">
        <f>CONCATENATE("(",ROUND((D221/$H221)*100,1),")")</f>
        <v>(18.6)</v>
      </c>
      <c r="F221" s="302">
        <f>SUM(F219:F220)</f>
        <v>4.8680726524827582</v>
      </c>
      <c r="G221" s="299" t="str">
        <f>CONCATENATE("(",ROUND((F221/$H221)*100,1),")")</f>
        <v>(14.8)</v>
      </c>
      <c r="H221" s="302">
        <f>SUM(H219:H220)</f>
        <v>32.947999999999965</v>
      </c>
      <c r="I221" s="299" t="str">
        <f>CONCATENATE("(",ROUND((H221/$H221)*100,1),")")</f>
        <v>(100)</v>
      </c>
      <c r="K221" s="302">
        <f t="shared" si="172"/>
        <v>1.9326092505474044</v>
      </c>
      <c r="L221" s="302">
        <f t="shared" si="173"/>
        <v>0.68165356840012059</v>
      </c>
      <c r="M221" s="302">
        <f t="shared" si="174"/>
        <v>0.40173718105251055</v>
      </c>
      <c r="N221" s="302">
        <f t="shared" si="175"/>
        <v>3.0160000000000355</v>
      </c>
    </row>
    <row r="222" spans="1:14" x14ac:dyDescent="0.25">
      <c r="B222" s="302"/>
      <c r="C222" s="284"/>
      <c r="D222" s="302"/>
      <c r="E222" s="284"/>
      <c r="F222" s="302"/>
      <c r="G222" s="284"/>
      <c r="H222" s="302"/>
      <c r="I222" s="284"/>
    </row>
    <row r="223" spans="1:14" ht="13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5">
      <c r="A224" s="282" t="s">
        <v>364</v>
      </c>
      <c r="B224" s="302">
        <f>'Ind T6'!Q90</f>
        <v>19.136275605188779</v>
      </c>
      <c r="C224" s="299" t="str">
        <f>CONCATENATE("(",ROUND((B224/$H226)*100,1),")")</f>
        <v>(53.2)</v>
      </c>
      <c r="D224" s="302">
        <f>'Ind T6'!R90</f>
        <v>3.5654588153148854</v>
      </c>
      <c r="E224" s="299" t="str">
        <f>CONCATENATE("(",ROUND((D224/$H226)*100,1),")")</f>
        <v>(9.9)</v>
      </c>
      <c r="F224" s="302">
        <f>'Ind T6'!S90</f>
        <v>5.1214348155640632</v>
      </c>
      <c r="G224" s="299" t="str">
        <f>CONCATENATE("(",ROUND((F224/$H226)*100,1),")")</f>
        <v>(14.2)</v>
      </c>
      <c r="H224" s="302">
        <f>SUM(B224,D224,F224)</f>
        <v>27.823169236067727</v>
      </c>
      <c r="I224" s="299" t="str">
        <f>CONCATENATE("(",ROUND((H224/$H226)*100,1),")")</f>
        <v>(77.4)</v>
      </c>
      <c r="K224" s="302">
        <f>B229-B224</f>
        <v>0.36647481338568255</v>
      </c>
      <c r="L224" s="302">
        <f>D229-D224</f>
        <v>0.26191461915731074</v>
      </c>
      <c r="M224" s="302">
        <f>F229-F224</f>
        <v>0.34459065145334478</v>
      </c>
      <c r="N224" s="302">
        <f>SUM(K224:M224)</f>
        <v>0.97298008399633806</v>
      </c>
    </row>
    <row r="225" spans="1:14" x14ac:dyDescent="0.25">
      <c r="A225" s="282" t="s">
        <v>365</v>
      </c>
      <c r="B225" s="302">
        <f>'Ind T6'!Q89</f>
        <v>4.7529939653002229</v>
      </c>
      <c r="C225" s="299" t="str">
        <f>CONCATENATE("(",ROUND((B225/$H226)*100,1),")")</f>
        <v>(13.2)</v>
      </c>
      <c r="D225" s="302">
        <f>'Ind T6'!R89</f>
        <v>3.2394617806608372</v>
      </c>
      <c r="E225" s="299" t="str">
        <f>CONCATENATE("(",ROUND((D225/$H226)*100,1),")")</f>
        <v>(9)</v>
      </c>
      <c r="F225" s="302">
        <f>'Ind T6'!S89</f>
        <v>0.14837501797120517</v>
      </c>
      <c r="G225" s="299" t="str">
        <f>CONCATENATE("(",ROUND((F225/$H226)*100,1),")")</f>
        <v>(0.4)</v>
      </c>
      <c r="H225" s="302">
        <f t="shared" ref="H225" si="176">SUM(B225,D225,F225)</f>
        <v>8.1408307639322643</v>
      </c>
      <c r="I225" s="299" t="str">
        <f>CONCATENATE("(",ROUND((H225/$H226)*100,1),")")</f>
        <v>(22.6)</v>
      </c>
      <c r="K225" s="302">
        <f t="shared" ref="K225:K226" si="177">B230-B225</f>
        <v>0.40741765269837416</v>
      </c>
      <c r="L225" s="302">
        <f t="shared" ref="L225:L226" si="178">D230-D225</f>
        <v>0.41474825154467609</v>
      </c>
      <c r="M225" s="302">
        <f t="shared" ref="M225:M226" si="179">F230-F225</f>
        <v>1.8540117606596074E-3</v>
      </c>
      <c r="N225" s="302">
        <f t="shared" ref="N225:N226" si="180">SUM(K225:M225)</f>
        <v>0.82401991600370983</v>
      </c>
    </row>
    <row r="226" spans="1:14" x14ac:dyDescent="0.25">
      <c r="A226" s="282" t="s">
        <v>363</v>
      </c>
      <c r="B226" s="302">
        <f>SUM(B224:B225)</f>
        <v>23.889269570489002</v>
      </c>
      <c r="C226" s="299" t="str">
        <f>CONCATENATE("(",ROUND((B226/$H226)*100,1),")")</f>
        <v>(66.4)</v>
      </c>
      <c r="D226" s="302">
        <f>SUM(D224:D225)</f>
        <v>6.8049205959757231</v>
      </c>
      <c r="E226" s="299" t="str">
        <f>CONCATENATE("(",ROUND((D226/$H226)*100,1),")")</f>
        <v>(18.9)</v>
      </c>
      <c r="F226" s="302">
        <f>SUM(F224:F225)</f>
        <v>5.2698098335352688</v>
      </c>
      <c r="G226" s="299" t="str">
        <f>CONCATENATE("(",ROUND((F226/$H226)*100,1),")")</f>
        <v>(14.7)</v>
      </c>
      <c r="H226" s="302">
        <f>SUM(H224:H225)</f>
        <v>35.963999999999992</v>
      </c>
      <c r="I226" s="299" t="str">
        <f>CONCATENATE("(",ROUND((H226/$H226)*100,1),")")</f>
        <v>(100)</v>
      </c>
      <c r="K226" s="302">
        <f t="shared" si="177"/>
        <v>0.77389246608405671</v>
      </c>
      <c r="L226" s="302">
        <f t="shared" si="178"/>
        <v>0.67666287070198639</v>
      </c>
      <c r="M226" s="302">
        <f t="shared" si="179"/>
        <v>0.34644466321400369</v>
      </c>
      <c r="N226" s="302">
        <f t="shared" si="180"/>
        <v>1.7970000000000468</v>
      </c>
    </row>
    <row r="227" spans="1:14" x14ac:dyDescent="0.25">
      <c r="B227" s="302"/>
      <c r="C227" s="284"/>
      <c r="D227" s="302"/>
      <c r="E227" s="284"/>
      <c r="F227" s="302"/>
      <c r="G227" s="284"/>
      <c r="H227" s="302"/>
      <c r="I227" s="284"/>
    </row>
    <row r="228" spans="1:14" ht="13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5">
      <c r="A229" s="282" t="s">
        <v>364</v>
      </c>
      <c r="B229" s="302">
        <f>'Ind T6'!V90</f>
        <v>19.502750418574461</v>
      </c>
      <c r="C229" s="299" t="str">
        <f>CONCATENATE("(",ROUND((B229/$H231)*100,1),")")</f>
        <v>(51.6)</v>
      </c>
      <c r="D229" s="302">
        <f>'Ind T6'!W90</f>
        <v>3.8273734344721961</v>
      </c>
      <c r="E229" s="299" t="str">
        <f>CONCATENATE("(",ROUND((D229/$H231)*100,1),")")</f>
        <v>(10.1)</v>
      </c>
      <c r="F229" s="302">
        <f>'Ind T6'!X90</f>
        <v>5.466025467017408</v>
      </c>
      <c r="G229" s="299" t="str">
        <f>CONCATENATE("(",ROUND((F229/$H231)*100,1),")")</f>
        <v>(14.5)</v>
      </c>
      <c r="H229" s="302">
        <f>SUM(B229,D229,F229)</f>
        <v>28.796149320064067</v>
      </c>
      <c r="I229" s="299" t="str">
        <f>CONCATENATE("(",ROUND((H229/$H231)*100,1),")")</f>
        <v>(76.3)</v>
      </c>
      <c r="K229" s="302">
        <f>B229-B219</f>
        <v>1.7764271099836897</v>
      </c>
      <c r="L229" s="302">
        <f>D229-D219</f>
        <v>0.54610333526479948</v>
      </c>
      <c r="M229" s="302">
        <f>F229-F219</f>
        <v>0.73935283849607725</v>
      </c>
      <c r="N229" s="302">
        <f>SUM(K229:M229)</f>
        <v>3.0618832837445664</v>
      </c>
    </row>
    <row r="230" spans="1:14" x14ac:dyDescent="0.25">
      <c r="A230" s="282" t="s">
        <v>365</v>
      </c>
      <c r="B230" s="302">
        <f>'Ind T6'!V89</f>
        <v>5.160411617998597</v>
      </c>
      <c r="C230" s="299" t="str">
        <f>CONCATENATE("(",ROUND((B230/$H231)*100,1),")")</f>
        <v>(13.7)</v>
      </c>
      <c r="D230" s="302">
        <f>'Ind T6'!W89</f>
        <v>3.6542100322055133</v>
      </c>
      <c r="E230" s="299" t="str">
        <f>CONCATENATE("(",ROUND((D230/$H231)*100,1),")")</f>
        <v>(9.7)</v>
      </c>
      <c r="F230" s="302">
        <f>'Ind T6'!X89</f>
        <v>0.15022902973186478</v>
      </c>
      <c r="G230" s="299" t="str">
        <f>CONCATENATE("(",ROUND((F230/$H231)*100,1),")")</f>
        <v>(0.4)</v>
      </c>
      <c r="H230" s="302">
        <f t="shared" ref="H230" si="181">SUM(B230,D230,F230)</f>
        <v>8.9648506799359744</v>
      </c>
      <c r="I230" s="299" t="str">
        <f>CONCATENATE("(",ROUND((H230/$H231)*100,1),")")</f>
        <v>(23.7)</v>
      </c>
      <c r="K230" s="302">
        <f t="shared" ref="K230:K231" si="182">B230-B220</f>
        <v>0.93007460664776875</v>
      </c>
      <c r="L230" s="302">
        <f t="shared" ref="L230:L231" si="183">D230-D220</f>
        <v>0.81221310383730749</v>
      </c>
      <c r="M230" s="302">
        <f t="shared" ref="M230:M231" si="184">F230-F220</f>
        <v>8.8290057704374647E-3</v>
      </c>
      <c r="N230" s="302">
        <f t="shared" ref="N230:N231" si="185">SUM(K230:M230)</f>
        <v>1.7511167162555137</v>
      </c>
    </row>
    <row r="231" spans="1:14" x14ac:dyDescent="0.25">
      <c r="A231" s="282" t="s">
        <v>363</v>
      </c>
      <c r="B231" s="302">
        <f>SUM(B229:B230)</f>
        <v>24.663162036573059</v>
      </c>
      <c r="C231" s="299" t="str">
        <f>CONCATENATE("(",ROUND((B231/$H231)*100,1),")")</f>
        <v>(65.3)</v>
      </c>
      <c r="D231" s="302">
        <f>SUM(D229:D230)</f>
        <v>7.4815834666777095</v>
      </c>
      <c r="E231" s="299" t="str">
        <f>CONCATENATE("(",ROUND((D231/$H231)*100,1),")")</f>
        <v>(19.8)</v>
      </c>
      <c r="F231" s="302">
        <f>SUM(F229:F230)</f>
        <v>5.6162544967492725</v>
      </c>
      <c r="G231" s="299" t="str">
        <f>CONCATENATE("(",ROUND((F231/$H231)*100,1),")")</f>
        <v>(14.9)</v>
      </c>
      <c r="H231" s="302">
        <f>SUM(H229:H230)</f>
        <v>37.761000000000038</v>
      </c>
      <c r="I231" s="299" t="str">
        <f>CONCATENATE("(",ROUND((H231/$H231)*100,1),")")</f>
        <v>(100)</v>
      </c>
      <c r="K231" s="302">
        <f t="shared" si="182"/>
        <v>2.7065017166314611</v>
      </c>
      <c r="L231" s="302">
        <f t="shared" si="183"/>
        <v>1.358316439102107</v>
      </c>
      <c r="M231" s="302">
        <f t="shared" si="184"/>
        <v>0.74818184426651424</v>
      </c>
      <c r="N231" s="302">
        <f t="shared" si="185"/>
        <v>4.8130000000000823</v>
      </c>
    </row>
    <row r="232" spans="1:14" x14ac:dyDescent="0.25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ht="13" x14ac:dyDescent="0.3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ht="13" x14ac:dyDescent="0.3">
      <c r="N237" s="287" t="s">
        <v>370</v>
      </c>
    </row>
    <row r="238" spans="1:14" ht="13" x14ac:dyDescent="0.3">
      <c r="A238" s="182" t="s">
        <v>371</v>
      </c>
      <c r="B238" s="373" t="s">
        <v>369</v>
      </c>
      <c r="C238" s="373"/>
      <c r="D238" s="373" t="s">
        <v>368</v>
      </c>
      <c r="E238" s="373"/>
      <c r="F238" s="373" t="s">
        <v>367</v>
      </c>
      <c r="G238" s="373"/>
      <c r="H238" s="373" t="s">
        <v>33</v>
      </c>
      <c r="I238" s="373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ht="13" x14ac:dyDescent="0.3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5">
      <c r="A240" s="282" t="s">
        <v>364</v>
      </c>
      <c r="B240" s="302">
        <f>'Ind T6'!L99</f>
        <v>5.170048077548083</v>
      </c>
      <c r="C240" s="299" t="str">
        <f>CONCATENATE("(",ROUND((B240/$H242)*100,1),")")</f>
        <v>(20.9)</v>
      </c>
      <c r="D240" s="302">
        <f>'Ind T6'!M99</f>
        <v>5.5002548305967149</v>
      </c>
      <c r="E240" s="299" t="str">
        <f>CONCATENATE("(",ROUND((D240/$H242)*100,1),")")</f>
        <v>(22.3)</v>
      </c>
      <c r="F240" s="302">
        <f>'Ind T6'!N99</f>
        <v>0.50036637846677168</v>
      </c>
      <c r="G240" s="299" t="str">
        <f>CONCATENATE("(",ROUND((F240/$H242)*100,1),")")</f>
        <v>(2)</v>
      </c>
      <c r="H240" s="302">
        <f>SUM(B240,D240,F240)</f>
        <v>11.17066928661157</v>
      </c>
      <c r="I240" s="299" t="str">
        <f>CONCATENATE("(",ROUND((H240/$H242)*100,1),")")</f>
        <v>(45.2)</v>
      </c>
      <c r="K240" s="302">
        <f>B245-B240</f>
        <v>0.31991401413052323</v>
      </c>
      <c r="L240" s="302">
        <f>D245-D240</f>
        <v>0.35566897361892291</v>
      </c>
      <c r="M240" s="302">
        <f>F245-F240</f>
        <v>1.8068205836371698E-2</v>
      </c>
      <c r="N240" s="302">
        <f>SUM(K240:M240)</f>
        <v>0.69365119358581784</v>
      </c>
    </row>
    <row r="241" spans="1:14" x14ac:dyDescent="0.25">
      <c r="A241" s="282" t="s">
        <v>365</v>
      </c>
      <c r="B241" s="302">
        <f>'Ind T6'!L98</f>
        <v>4.401093764301204</v>
      </c>
      <c r="C241" s="299" t="str">
        <f>CONCATENATE("(",ROUND((B241/$H242)*100,1),")")</f>
        <v>(17.8)</v>
      </c>
      <c r="D241" s="302">
        <f>'Ind T6'!M98</f>
        <v>8.3459116396121971</v>
      </c>
      <c r="E241" s="299" t="str">
        <f>CONCATENATE("(",ROUND((D241/$H242)*100,1),")")</f>
        <v>(33.8)</v>
      </c>
      <c r="F241" s="302">
        <f>'Ind T6'!N98</f>
        <v>0.78432530947503565</v>
      </c>
      <c r="G241" s="299" t="str">
        <f>CONCATENATE("(",ROUND((F241/$H242)*100,1),")")</f>
        <v>(3.2)</v>
      </c>
      <c r="H241" s="302">
        <f t="shared" ref="H241" si="186">SUM(B241,D241,F241)</f>
        <v>13.531330713388437</v>
      </c>
      <c r="I241" s="299" t="str">
        <f>CONCATENATE("(",ROUND((H241/$H242)*100,1),")")</f>
        <v>(54.8)</v>
      </c>
      <c r="K241" s="302">
        <f t="shared" ref="K241:K242" si="187">B246-B241</f>
        <v>0.26991333355848557</v>
      </c>
      <c r="L241" s="302">
        <f t="shared" ref="L241:L242" si="188">D246-D241</f>
        <v>0.47525415339859478</v>
      </c>
      <c r="M241" s="302">
        <f t="shared" ref="M241:M242" si="189">F246-F241</f>
        <v>2.6181319457140417E-2</v>
      </c>
      <c r="N241" s="302">
        <f t="shared" ref="N241:N242" si="190">SUM(K241:M241)</f>
        <v>0.77134880641422077</v>
      </c>
    </row>
    <row r="242" spans="1:14" x14ac:dyDescent="0.25">
      <c r="A242" s="282" t="s">
        <v>363</v>
      </c>
      <c r="B242" s="302">
        <f>SUM(B240:B241)</f>
        <v>9.5711418418492862</v>
      </c>
      <c r="C242" s="299" t="str">
        <f>CONCATENATE("(",ROUND((B242/$H242)*100,1),")")</f>
        <v>(38.7)</v>
      </c>
      <c r="D242" s="302">
        <f>SUM(D240:D241)</f>
        <v>13.846166470208912</v>
      </c>
      <c r="E242" s="299" t="str">
        <f>CONCATENATE("(",ROUND((D242/$H242)*100,1),")")</f>
        <v>(56.1)</v>
      </c>
      <c r="F242" s="302">
        <f>SUM(F240:F241)</f>
        <v>1.2846916879418073</v>
      </c>
      <c r="G242" s="299" t="str">
        <f>CONCATENATE("(",ROUND((F242/$H242)*100,1),")")</f>
        <v>(5.2)</v>
      </c>
      <c r="H242" s="302">
        <f>SUM(H240:H241)</f>
        <v>24.702000000000005</v>
      </c>
      <c r="I242" s="299" t="str">
        <f>CONCATENATE("(",ROUND((H242/$H242)*100,1),")")</f>
        <v>(100)</v>
      </c>
      <c r="K242" s="302">
        <f t="shared" si="187"/>
        <v>0.58982734768900968</v>
      </c>
      <c r="L242" s="302">
        <f t="shared" si="188"/>
        <v>0.83092312701751858</v>
      </c>
      <c r="M242" s="302">
        <f t="shared" si="189"/>
        <v>4.4249525293512226E-2</v>
      </c>
      <c r="N242" s="302">
        <f t="shared" si="190"/>
        <v>1.4650000000000405</v>
      </c>
    </row>
    <row r="243" spans="1:14" x14ac:dyDescent="0.25">
      <c r="B243" s="302"/>
      <c r="C243" s="284"/>
      <c r="D243" s="302"/>
      <c r="E243" s="284"/>
      <c r="F243" s="302"/>
      <c r="G243" s="284"/>
      <c r="H243" s="302"/>
      <c r="I243" s="284"/>
    </row>
    <row r="244" spans="1:14" ht="13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5">
      <c r="A245" s="282" t="s">
        <v>364</v>
      </c>
      <c r="B245" s="302">
        <f>'Ind T6'!Q99</f>
        <v>5.4899620916786063</v>
      </c>
      <c r="C245" s="299" t="str">
        <f>CONCATENATE("(",ROUND((B245/$H247)*100,1),")")</f>
        <v>(21)</v>
      </c>
      <c r="D245" s="302">
        <f>'Ind T6'!R99</f>
        <v>5.8559238042156379</v>
      </c>
      <c r="E245" s="299" t="str">
        <f>CONCATENATE("(",ROUND((D245/$H247)*100,1),")")</f>
        <v>(22.4)</v>
      </c>
      <c r="F245" s="302">
        <f>'Ind T6'!S99</f>
        <v>0.51843458430314338</v>
      </c>
      <c r="G245" s="299" t="str">
        <f>CONCATENATE("(",ROUND((F245/$H247)*100,1),")")</f>
        <v>(2)</v>
      </c>
      <c r="H245" s="302">
        <f>SUM(B245,D245,F245)</f>
        <v>11.864320480197389</v>
      </c>
      <c r="I245" s="299" t="str">
        <f>CONCATENATE("(",ROUND((H245/$H247)*100,1),")")</f>
        <v>(45.3)</v>
      </c>
      <c r="K245" s="302">
        <f>B250-B245</f>
        <v>0.75869053181020885</v>
      </c>
      <c r="L245" s="302">
        <f>D250-D245</f>
        <v>0.6929962147152251</v>
      </c>
      <c r="M245" s="302">
        <f>F250-F245</f>
        <v>5.8216751323875493E-2</v>
      </c>
      <c r="N245" s="302">
        <f>SUM(K245:M245)</f>
        <v>1.5099034978493093</v>
      </c>
    </row>
    <row r="246" spans="1:14" x14ac:dyDescent="0.25">
      <c r="A246" s="282" t="s">
        <v>365</v>
      </c>
      <c r="B246" s="302">
        <f>'Ind T6'!Q98</f>
        <v>4.6710070978596896</v>
      </c>
      <c r="C246" s="299" t="str">
        <f>CONCATENATE("(",ROUND((B246/$H247)*100,1),")")</f>
        <v>(17.9)</v>
      </c>
      <c r="D246" s="302">
        <f>'Ind T6'!R98</f>
        <v>8.8211657930107918</v>
      </c>
      <c r="E246" s="299" t="str">
        <f>CONCATENATE("(",ROUND((D246/$H247)*100,1),")")</f>
        <v>(33.7)</v>
      </c>
      <c r="F246" s="302">
        <f>'Ind T6'!S98</f>
        <v>0.81050662893217607</v>
      </c>
      <c r="G246" s="299" t="str">
        <f>CONCATENATE("(",ROUND((F246/$H247)*100,1),")")</f>
        <v>(3.1)</v>
      </c>
      <c r="H246" s="302">
        <f t="shared" ref="H246" si="191">SUM(B246,D246,F246)</f>
        <v>14.302679519802657</v>
      </c>
      <c r="I246" s="299" t="str">
        <f>CONCATENATE("(",ROUND((H246/$H247)*100,1),")")</f>
        <v>(54.7)</v>
      </c>
      <c r="K246" s="302">
        <f t="shared" ref="K246:K247" si="192">B251-B246</f>
        <v>0.60889682569621062</v>
      </c>
      <c r="L246" s="302">
        <f t="shared" ref="L246:L247" si="193">D251-D246</f>
        <v>0.97654271437884077</v>
      </c>
      <c r="M246" s="302">
        <f t="shared" ref="M246:M247" si="194">F251-F246</f>
        <v>8.9656962075571611E-2</v>
      </c>
      <c r="N246" s="302">
        <f t="shared" ref="N246:N247" si="195">SUM(K246:M246)</f>
        <v>1.675096502150623</v>
      </c>
    </row>
    <row r="247" spans="1:14" x14ac:dyDescent="0.25">
      <c r="A247" s="282" t="s">
        <v>363</v>
      </c>
      <c r="B247" s="302">
        <f>SUM(B245:B246)</f>
        <v>10.160969189538296</v>
      </c>
      <c r="C247" s="299" t="str">
        <f>CONCATENATE("(",ROUND((B247/$H247)*100,1),")")</f>
        <v>(38.8)</v>
      </c>
      <c r="D247" s="302">
        <f>SUM(D245:D246)</f>
        <v>14.677089597226431</v>
      </c>
      <c r="E247" s="299" t="str">
        <f>CONCATENATE("(",ROUND((D247/$H247)*100,1),")")</f>
        <v>(56.1)</v>
      </c>
      <c r="F247" s="302">
        <f>SUM(F245:F246)</f>
        <v>1.3289412132353196</v>
      </c>
      <c r="G247" s="299" t="str">
        <f>CONCATENATE("(",ROUND((F247/$H247)*100,1),")")</f>
        <v>(5.1)</v>
      </c>
      <c r="H247" s="302">
        <f>SUM(H245:H246)</f>
        <v>26.167000000000044</v>
      </c>
      <c r="I247" s="299" t="str">
        <f>CONCATENATE("(",ROUND((H247/$H247)*100,1),")")</f>
        <v>(100)</v>
      </c>
      <c r="K247" s="302">
        <f t="shared" si="192"/>
        <v>1.3675873575064195</v>
      </c>
      <c r="L247" s="302">
        <f t="shared" si="193"/>
        <v>1.6695389290940632</v>
      </c>
      <c r="M247" s="302">
        <f t="shared" si="194"/>
        <v>0.14787371339944699</v>
      </c>
      <c r="N247" s="302">
        <f t="shared" si="195"/>
        <v>3.1849999999999294</v>
      </c>
    </row>
    <row r="248" spans="1:14" x14ac:dyDescent="0.25">
      <c r="B248" s="302"/>
      <c r="C248" s="284"/>
      <c r="D248" s="302"/>
      <c r="E248" s="284"/>
      <c r="F248" s="302"/>
      <c r="G248" s="284"/>
      <c r="H248" s="302"/>
      <c r="I248" s="284"/>
    </row>
    <row r="249" spans="1:14" ht="13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5">
      <c r="A250" s="282" t="s">
        <v>364</v>
      </c>
      <c r="B250" s="302">
        <f>'Ind T6'!V99</f>
        <v>6.2486526234888151</v>
      </c>
      <c r="C250" s="299" t="str">
        <f>CONCATENATE("(",ROUND((B250/$H252)*100,1),")")</f>
        <v>(21.3)</v>
      </c>
      <c r="D250" s="302">
        <f>'Ind T6'!W99</f>
        <v>6.548920018930863</v>
      </c>
      <c r="E250" s="299" t="str">
        <f>CONCATENATE("(",ROUND((D250/$H252)*100,1),")")</f>
        <v>(22.3)</v>
      </c>
      <c r="F250" s="302">
        <f>'Ind T6'!X99</f>
        <v>0.57665133562701887</v>
      </c>
      <c r="G250" s="299" t="str">
        <f>CONCATENATE("(",ROUND((F250/$H252)*100,1),")")</f>
        <v>(2)</v>
      </c>
      <c r="H250" s="302">
        <f>SUM(B250,D250,F250)</f>
        <v>13.374223978046697</v>
      </c>
      <c r="I250" s="299" t="str">
        <f>CONCATENATE("(",ROUND((H250/$H252)*100,1),")")</f>
        <v>(45.6)</v>
      </c>
      <c r="K250" s="302">
        <f>B250-B240</f>
        <v>1.0786045459407321</v>
      </c>
      <c r="L250" s="302">
        <f>D250-D240</f>
        <v>1.048665188334148</v>
      </c>
      <c r="M250" s="302">
        <f>F250-F240</f>
        <v>7.6284957160247191E-2</v>
      </c>
      <c r="N250" s="302">
        <f>SUM(K250:M250)</f>
        <v>2.2035546914351274</v>
      </c>
    </row>
    <row r="251" spans="1:14" x14ac:dyDescent="0.25">
      <c r="A251" s="282" t="s">
        <v>365</v>
      </c>
      <c r="B251" s="302">
        <f>'Ind T6'!V98</f>
        <v>5.2799039235559002</v>
      </c>
      <c r="C251" s="299" t="str">
        <f>CONCATENATE("(",ROUND((B251/$H252)*100,1),")")</f>
        <v>(18)</v>
      </c>
      <c r="D251" s="302">
        <f>'Ind T6'!W98</f>
        <v>9.7977085073896326</v>
      </c>
      <c r="E251" s="299" t="str">
        <f>CONCATENATE("(",ROUND((D251/$H252)*100,1),")")</f>
        <v>(33.4)</v>
      </c>
      <c r="F251" s="302">
        <f>'Ind T6'!X98</f>
        <v>0.90016359100774768</v>
      </c>
      <c r="G251" s="299" t="str">
        <f>CONCATENATE("(",ROUND((F251/$H252)*100,1),")")</f>
        <v>(3.1)</v>
      </c>
      <c r="H251" s="302">
        <f t="shared" ref="H251" si="196">SUM(B251,D251,F251)</f>
        <v>15.977776021953279</v>
      </c>
      <c r="I251" s="299" t="str">
        <f>CONCATENATE("(",ROUND((H251/$H252)*100,1),")")</f>
        <v>(54.4)</v>
      </c>
      <c r="K251" s="302">
        <f t="shared" ref="K251:K252" si="197">B251-B241</f>
        <v>0.87881015925469619</v>
      </c>
      <c r="L251" s="302">
        <f t="shared" ref="L251:L252" si="198">D251-D241</f>
        <v>1.4517968677774356</v>
      </c>
      <c r="M251" s="302">
        <f t="shared" ref="M251:M252" si="199">F251-F241</f>
        <v>0.11583828153271203</v>
      </c>
      <c r="N251" s="302">
        <f t="shared" ref="N251:N252" si="200">SUM(K251:M251)</f>
        <v>2.4464453085648437</v>
      </c>
    </row>
    <row r="252" spans="1:14" x14ac:dyDescent="0.25">
      <c r="A252" s="282" t="s">
        <v>363</v>
      </c>
      <c r="B252" s="302">
        <f>SUM(B250:B251)</f>
        <v>11.528556547044715</v>
      </c>
      <c r="C252" s="299" t="str">
        <f>CONCATENATE("(",ROUND((B252/$H252)*100,1),")")</f>
        <v>(39.3)</v>
      </c>
      <c r="D252" s="302">
        <f>SUM(D250:D251)</f>
        <v>16.346628526320494</v>
      </c>
      <c r="E252" s="299" t="str">
        <f>CONCATENATE("(",ROUND((D252/$H252)*100,1),")")</f>
        <v>(55.7)</v>
      </c>
      <c r="F252" s="302">
        <f>SUM(F250:F251)</f>
        <v>1.4768149266347665</v>
      </c>
      <c r="G252" s="299" t="str">
        <f>CONCATENATE("(",ROUND((F252/$H252)*100,1),")")</f>
        <v>(5)</v>
      </c>
      <c r="H252" s="302">
        <f>SUM(H250:H251)</f>
        <v>29.351999999999975</v>
      </c>
      <c r="I252" s="299" t="str">
        <f>CONCATENATE("(",ROUND((H252/$H252)*100,1),")")</f>
        <v>(100)</v>
      </c>
      <c r="K252" s="302">
        <f t="shared" si="197"/>
        <v>1.9574147051954291</v>
      </c>
      <c r="L252" s="302">
        <f t="shared" si="198"/>
        <v>2.5004620561115818</v>
      </c>
      <c r="M252" s="302">
        <f t="shared" si="199"/>
        <v>0.19212323869295922</v>
      </c>
      <c r="N252" s="302">
        <f t="shared" si="200"/>
        <v>4.6499999999999702</v>
      </c>
    </row>
    <row r="253" spans="1:14" x14ac:dyDescent="0.25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ht="13" x14ac:dyDescent="0.3">
      <c r="C256" s="182"/>
      <c r="E256" s="182"/>
      <c r="G256" s="182"/>
      <c r="I256" s="182"/>
    </row>
    <row r="257" spans="1:14" ht="13" x14ac:dyDescent="0.3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ht="13" x14ac:dyDescent="0.3">
      <c r="N258" s="287" t="s">
        <v>370</v>
      </c>
    </row>
    <row r="259" spans="1:14" ht="13" x14ac:dyDescent="0.3">
      <c r="A259" s="182" t="s">
        <v>371</v>
      </c>
      <c r="B259" s="373" t="s">
        <v>369</v>
      </c>
      <c r="C259" s="373"/>
      <c r="D259" s="373" t="s">
        <v>368</v>
      </c>
      <c r="E259" s="373"/>
      <c r="F259" s="373" t="s">
        <v>367</v>
      </c>
      <c r="G259" s="373"/>
      <c r="H259" s="373" t="s">
        <v>33</v>
      </c>
      <c r="I259" s="373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ht="13" x14ac:dyDescent="0.3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5">
      <c r="A261" s="282" t="s">
        <v>364</v>
      </c>
      <c r="B261" s="302">
        <f>'Ind T6'!L108</f>
        <v>0.34929499188066826</v>
      </c>
      <c r="C261" s="299" t="str">
        <f>CONCATENATE("(",ROUND((B261/$H263)*100,1),")")</f>
        <v>(16.6)</v>
      </c>
      <c r="D261" s="302">
        <f>'Ind T6'!M108</f>
        <v>0.20383227175810864</v>
      </c>
      <c r="E261" s="299" t="str">
        <f>CONCATENATE("(",ROUND((D261/$H263)*100,1),")")</f>
        <v>(9.7)</v>
      </c>
      <c r="F261" s="302">
        <f>'Ind T6'!N108</f>
        <v>0.75933121021605365</v>
      </c>
      <c r="G261" s="299" t="str">
        <f>CONCATENATE("(",ROUND((F261/$H263)*100,1),")")</f>
        <v>(36)</v>
      </c>
      <c r="H261" s="302">
        <f>SUM(B261,D261,F261)</f>
        <v>1.3124584738548306</v>
      </c>
      <c r="I261" s="299" t="str">
        <f>CONCATENATE("(",ROUND((H261/$H263)*100,1),")")</f>
        <v>(62.2)</v>
      </c>
      <c r="K261" s="302">
        <f>B266-B261</f>
        <v>-9.318618435003645E-3</v>
      </c>
      <c r="L261" s="302">
        <f>D266-D261</f>
        <v>5.0895446843927661E-3</v>
      </c>
      <c r="M261" s="302">
        <f>F266-F261</f>
        <v>-1.140958426939398E-2</v>
      </c>
      <c r="N261" s="302">
        <f>SUM(K261:M261)</f>
        <v>-1.5638658020004859E-2</v>
      </c>
    </row>
    <row r="262" spans="1:14" x14ac:dyDescent="0.25">
      <c r="A262" s="282" t="s">
        <v>365</v>
      </c>
      <c r="B262" s="302">
        <f>'Ind T6'!L107</f>
        <v>0.21410952915727557</v>
      </c>
      <c r="C262" s="299" t="str">
        <f>CONCATENATE("(",ROUND((B262/$H263)*100,1),")")</f>
        <v>(10.1)</v>
      </c>
      <c r="D262" s="302">
        <f>'Ind T6'!M107</f>
        <v>0.29369239414917225</v>
      </c>
      <c r="E262" s="299" t="str">
        <f>CONCATENATE("(",ROUND((D262/$H263)*100,1),")")</f>
        <v>(13.9)</v>
      </c>
      <c r="F262" s="302">
        <f>'Ind T6'!N107</f>
        <v>0.28973960283872358</v>
      </c>
      <c r="G262" s="299" t="str">
        <f>CONCATENATE("(",ROUND((F262/$H263)*100,1),")")</f>
        <v>(13.7)</v>
      </c>
      <c r="H262" s="302">
        <f t="shared" ref="H262" si="201">SUM(B262,D262,F262)</f>
        <v>0.79754152614517138</v>
      </c>
      <c r="I262" s="299" t="str">
        <f>CONCATENATE("(",ROUND((H262/$H263)*100,1),")")</f>
        <v>(37.8)</v>
      </c>
      <c r="K262" s="302">
        <f t="shared" ref="K262:K263" si="202">B267-B262</f>
        <v>-4.7917774932630941E-3</v>
      </c>
      <c r="L262" s="302">
        <f t="shared" ref="L262:L263" si="203">D267-D262</f>
        <v>-2.2840740579819219E-3</v>
      </c>
      <c r="M262" s="302">
        <f t="shared" ref="M262:M263" si="204">F267-F262</f>
        <v>-9.2854904287504314E-3</v>
      </c>
      <c r="N262" s="302">
        <f t="shared" ref="N262:N263" si="205">SUM(K262:M262)</f>
        <v>-1.6361341979995447E-2</v>
      </c>
    </row>
    <row r="263" spans="1:14" x14ac:dyDescent="0.25">
      <c r="A263" s="282" t="s">
        <v>363</v>
      </c>
      <c r="B263" s="302">
        <f>SUM(B261:B262)</f>
        <v>0.56340452103794381</v>
      </c>
      <c r="C263" s="299" t="str">
        <f>CONCATENATE("(",ROUND((B263/$H263)*100,1),")")</f>
        <v>(26.7)</v>
      </c>
      <c r="D263" s="302">
        <f>SUM(D261:D262)</f>
        <v>0.49752466590728089</v>
      </c>
      <c r="E263" s="299" t="str">
        <f>CONCATENATE("(",ROUND((D263/$H263)*100,1),")")</f>
        <v>(23.6)</v>
      </c>
      <c r="F263" s="302">
        <f>SUM(F261:F262)</f>
        <v>1.0490708130547772</v>
      </c>
      <c r="G263" s="299" t="str">
        <f>CONCATENATE("(",ROUND((F263/$H263)*100,1),")")</f>
        <v>(49.7)</v>
      </c>
      <c r="H263" s="302">
        <f>SUM(H261:H262)</f>
        <v>2.1100000000000021</v>
      </c>
      <c r="I263" s="299" t="str">
        <f>CONCATENATE("(",ROUND((H263/$H263)*100,1),")")</f>
        <v>(100)</v>
      </c>
      <c r="K263" s="302">
        <f t="shared" si="202"/>
        <v>-1.4110395928266684E-2</v>
      </c>
      <c r="L263" s="302">
        <f t="shared" si="203"/>
        <v>2.8054706264108442E-3</v>
      </c>
      <c r="M263" s="302">
        <f t="shared" si="204"/>
        <v>-2.0695074698144467E-2</v>
      </c>
      <c r="N263" s="302">
        <f t="shared" si="205"/>
        <v>-3.2000000000000306E-2</v>
      </c>
    </row>
    <row r="264" spans="1:14" x14ac:dyDescent="0.25">
      <c r="B264" s="302"/>
      <c r="C264" s="284"/>
      <c r="D264" s="302"/>
      <c r="E264" s="284"/>
      <c r="F264" s="302"/>
      <c r="G264" s="284"/>
      <c r="H264" s="302"/>
      <c r="I264" s="284"/>
    </row>
    <row r="265" spans="1:14" ht="13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5">
      <c r="A266" s="282" t="s">
        <v>364</v>
      </c>
      <c r="B266" s="302">
        <f>'Ind T6'!Q108</f>
        <v>0.33997637344566461</v>
      </c>
      <c r="C266" s="299" t="str">
        <f>CONCATENATE("(",ROUND((B266/$H268)*100,1),")")</f>
        <v>(16.4)</v>
      </c>
      <c r="D266" s="302">
        <f>'Ind T6'!R108</f>
        <v>0.20892181644250141</v>
      </c>
      <c r="E266" s="299" t="str">
        <f>CONCATENATE("(",ROUND((D266/$H268)*100,1),")")</f>
        <v>(10.1)</v>
      </c>
      <c r="F266" s="302">
        <f>'Ind T6'!S108</f>
        <v>0.74792162594665967</v>
      </c>
      <c r="G266" s="299" t="str">
        <f>CONCATENATE("(",ROUND((F266/$H268)*100,1),")")</f>
        <v>(36)</v>
      </c>
      <c r="H266" s="302">
        <f>SUM(B266,D266,F266)</f>
        <v>1.2968198158348256</v>
      </c>
      <c r="I266" s="299" t="str">
        <f>CONCATENATE("(",ROUND((H266/$H268)*100,1),")")</f>
        <v>(62.4)</v>
      </c>
      <c r="K266" s="302">
        <f>B271-B266</f>
        <v>-3.8815286829552154E-4</v>
      </c>
      <c r="L266" s="302">
        <f>D271-D266</f>
        <v>1.6109695368631827E-2</v>
      </c>
      <c r="M266" s="302">
        <f>F271-F266</f>
        <v>1.4473022072421515E-2</v>
      </c>
      <c r="N266" s="302">
        <f>SUM(K266:M266)</f>
        <v>3.019456457275782E-2</v>
      </c>
    </row>
    <row r="267" spans="1:14" x14ac:dyDescent="0.25">
      <c r="A267" s="282" t="s">
        <v>365</v>
      </c>
      <c r="B267" s="302">
        <f>'Ind T6'!Q107</f>
        <v>0.20931775166401248</v>
      </c>
      <c r="C267" s="299" t="str">
        <f>CONCATENATE("(",ROUND((B267/$H268)*100,1),")")</f>
        <v>(10.1)</v>
      </c>
      <c r="D267" s="302">
        <f>'Ind T6'!R107</f>
        <v>0.29140832009119033</v>
      </c>
      <c r="E267" s="299" t="str">
        <f>CONCATENATE("(",ROUND((D267/$H268)*100,1),")")</f>
        <v>(14)</v>
      </c>
      <c r="F267" s="302">
        <f>'Ind T6'!S107</f>
        <v>0.28045411240997314</v>
      </c>
      <c r="G267" s="299" t="str">
        <f>CONCATENATE("(",ROUND((F267/$H268)*100,1),")")</f>
        <v>(13.5)</v>
      </c>
      <c r="H267" s="302">
        <f t="shared" ref="H267" si="206">SUM(B267,D267,F267)</f>
        <v>0.78118018416517598</v>
      </c>
      <c r="I267" s="299" t="str">
        <f>CONCATENATE("(",ROUND((H267/$H268)*100,1),")")</f>
        <v>(37.6)</v>
      </c>
      <c r="K267" s="302">
        <f t="shared" ref="K267:K268" si="207">B272-B267</f>
        <v>3.7313917630013294E-3</v>
      </c>
      <c r="L267" s="302">
        <f t="shared" ref="L267:L268" si="208">D272-D267</f>
        <v>3.5422863796480408E-3</v>
      </c>
      <c r="M267" s="302">
        <f t="shared" ref="M267:M268" si="209">F272-F267</f>
        <v>-9.4682427154105242E-3</v>
      </c>
      <c r="N267" s="302">
        <f t="shared" ref="N267:N268" si="210">SUM(K267:M267)</f>
        <v>-2.194564572761154E-3</v>
      </c>
    </row>
    <row r="268" spans="1:14" x14ac:dyDescent="0.25">
      <c r="A268" s="282" t="s">
        <v>363</v>
      </c>
      <c r="B268" s="302">
        <f>SUM(B266:B267)</f>
        <v>0.54929412510967712</v>
      </c>
      <c r="C268" s="299" t="str">
        <f>CONCATENATE("(",ROUND((B268/$H268)*100,1),")")</f>
        <v>(26.4)</v>
      </c>
      <c r="D268" s="302">
        <f>SUM(D266:D267)</f>
        <v>0.50033013653369174</v>
      </c>
      <c r="E268" s="299" t="str">
        <f>CONCATENATE("(",ROUND((D268/$H268)*100,1),")")</f>
        <v>(24.1)</v>
      </c>
      <c r="F268" s="302">
        <f>SUM(F266:F267)</f>
        <v>1.0283757383566328</v>
      </c>
      <c r="G268" s="299" t="str">
        <f>CONCATENATE("(",ROUND((F268/$H268)*100,1),")")</f>
        <v>(49.5)</v>
      </c>
      <c r="H268" s="302">
        <f>SUM(H266:H267)</f>
        <v>2.0780000000000016</v>
      </c>
      <c r="I268" s="299" t="str">
        <f>CONCATENATE("(",ROUND((H268/$H268)*100,1),")")</f>
        <v>(100)</v>
      </c>
      <c r="K268" s="302">
        <f t="shared" si="207"/>
        <v>3.3432388947057801E-3</v>
      </c>
      <c r="L268" s="302">
        <f t="shared" si="208"/>
        <v>1.9651981748279868E-2</v>
      </c>
      <c r="M268" s="302">
        <f t="shared" si="209"/>
        <v>5.0047793570109356E-3</v>
      </c>
      <c r="N268" s="302">
        <f t="shared" si="210"/>
        <v>2.7999999999996583E-2</v>
      </c>
    </row>
    <row r="269" spans="1:14" x14ac:dyDescent="0.25">
      <c r="B269" s="302"/>
      <c r="C269" s="284"/>
      <c r="D269" s="302"/>
      <c r="E269" s="284"/>
      <c r="F269" s="302"/>
      <c r="G269" s="284"/>
      <c r="H269" s="302"/>
      <c r="I269" s="284"/>
    </row>
    <row r="270" spans="1:14" ht="13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5">
      <c r="A271" s="282" t="s">
        <v>364</v>
      </c>
      <c r="B271" s="302">
        <f>'Ind T6'!V108</f>
        <v>0.33958822057736909</v>
      </c>
      <c r="C271" s="299" t="str">
        <f>CONCATENATE("(",ROUND((B271/$H273)*100,1),")")</f>
        <v>(16.1)</v>
      </c>
      <c r="D271" s="302">
        <f>'Ind T6'!W108</f>
        <v>0.22503151181113323</v>
      </c>
      <c r="E271" s="299" t="str">
        <f>CONCATENATE("(",ROUND((D271/$H273)*100,1),")")</f>
        <v>(10.7)</v>
      </c>
      <c r="F271" s="302">
        <f>'Ind T6'!X108</f>
        <v>0.76239464801908119</v>
      </c>
      <c r="G271" s="299" t="str">
        <f>CONCATENATE("(",ROUND((F271/$H273)*100,1),")")</f>
        <v>(36.2)</v>
      </c>
      <c r="H271" s="302">
        <f>SUM(B271,D271,F271)</f>
        <v>1.3270143804075833</v>
      </c>
      <c r="I271" s="299" t="str">
        <f>CONCATENATE("(",ROUND((H271/$H273)*100,1),")")</f>
        <v>(63)</v>
      </c>
      <c r="K271" s="302">
        <f>B271-B261</f>
        <v>-9.7067713032991665E-3</v>
      </c>
      <c r="L271" s="302">
        <f>D271-D261</f>
        <v>2.1199240053024593E-2</v>
      </c>
      <c r="M271" s="302">
        <f>F271-F261</f>
        <v>3.0634378030275355E-3</v>
      </c>
      <c r="N271" s="302">
        <f>SUM(K271:M271)</f>
        <v>1.4555906552752962E-2</v>
      </c>
    </row>
    <row r="272" spans="1:14" x14ac:dyDescent="0.25">
      <c r="A272" s="282" t="s">
        <v>365</v>
      </c>
      <c r="B272" s="302">
        <f>'Ind T6'!V107</f>
        <v>0.21304914342701381</v>
      </c>
      <c r="C272" s="299" t="str">
        <f>CONCATENATE("(",ROUND((B272/$H273)*100,1),")")</f>
        <v>(10.1)</v>
      </c>
      <c r="D272" s="302">
        <f>'Ind T6'!W107</f>
        <v>0.29495060647083837</v>
      </c>
      <c r="E272" s="299" t="str">
        <f>CONCATENATE("(",ROUND((D272/$H273)*100,1),")")</f>
        <v>(14)</v>
      </c>
      <c r="F272" s="302">
        <f>'Ind T6'!X107</f>
        <v>0.27098586969456262</v>
      </c>
      <c r="G272" s="299" t="str">
        <f>CONCATENATE("(",ROUND((F272/$H273)*100,1),")")</f>
        <v>(12.9)</v>
      </c>
      <c r="H272" s="302">
        <f t="shared" ref="H272" si="211">SUM(B272,D272,F272)</f>
        <v>0.77898561959241475</v>
      </c>
      <c r="I272" s="299" t="str">
        <f>CONCATENATE("(",ROUND((H272/$H273)*100,1),")")</f>
        <v>(37)</v>
      </c>
      <c r="K272" s="302">
        <f t="shared" ref="K272:K273" si="212">B272-B262</f>
        <v>-1.0603857302617647E-3</v>
      </c>
      <c r="L272" s="302">
        <f t="shared" ref="L272:L273" si="213">D272-D262</f>
        <v>1.258212321666119E-3</v>
      </c>
      <c r="M272" s="302">
        <f t="shared" ref="M272:M273" si="214">F272-F262</f>
        <v>-1.8753733144160956E-2</v>
      </c>
      <c r="N272" s="302">
        <f t="shared" ref="N272:N273" si="215">SUM(K272:M272)</f>
        <v>-1.8555906552756601E-2</v>
      </c>
    </row>
    <row r="273" spans="1:14" x14ac:dyDescent="0.25">
      <c r="A273" s="282" t="s">
        <v>363</v>
      </c>
      <c r="B273" s="302">
        <f>SUM(B271:B272)</f>
        <v>0.5526373640043829</v>
      </c>
      <c r="C273" s="299" t="str">
        <f>CONCATENATE("(",ROUND((B273/$H273)*100,1),")")</f>
        <v>(26.2)</v>
      </c>
      <c r="D273" s="302">
        <f>SUM(D271:D272)</f>
        <v>0.51998211828197161</v>
      </c>
      <c r="E273" s="299" t="str">
        <f>CONCATENATE("(",ROUND((D273/$H273)*100,1),")")</f>
        <v>(24.7)</v>
      </c>
      <c r="F273" s="302">
        <f>SUM(F271:F272)</f>
        <v>1.0333805177136437</v>
      </c>
      <c r="G273" s="299" t="str">
        <f>CONCATENATE("(",ROUND((F273/$H273)*100,1),")")</f>
        <v>(49.1)</v>
      </c>
      <c r="H273" s="302">
        <f>SUM(H271:H272)</f>
        <v>2.1059999999999981</v>
      </c>
      <c r="I273" s="299" t="str">
        <f>CONCATENATE("(",ROUND((H273/$H273)*100,1),")")</f>
        <v>(100)</v>
      </c>
      <c r="K273" s="302">
        <f t="shared" si="212"/>
        <v>-1.0767157033560903E-2</v>
      </c>
      <c r="L273" s="302">
        <f t="shared" si="213"/>
        <v>2.2457452374690712E-2</v>
      </c>
      <c r="M273" s="302">
        <f t="shared" si="214"/>
        <v>-1.5690295341133531E-2</v>
      </c>
      <c r="N273" s="302">
        <f t="shared" si="215"/>
        <v>-4.0000000000037228E-3</v>
      </c>
    </row>
    <row r="274" spans="1:14" x14ac:dyDescent="0.25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ht="13" x14ac:dyDescent="0.3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ht="13" x14ac:dyDescent="0.3">
      <c r="N279" s="287" t="s">
        <v>370</v>
      </c>
    </row>
    <row r="280" spans="1:14" ht="13" x14ac:dyDescent="0.3">
      <c r="A280" s="182" t="s">
        <v>371</v>
      </c>
      <c r="B280" s="373" t="s">
        <v>369</v>
      </c>
      <c r="C280" s="373"/>
      <c r="D280" s="373" t="s">
        <v>368</v>
      </c>
      <c r="E280" s="373"/>
      <c r="F280" s="373" t="s">
        <v>367</v>
      </c>
      <c r="G280" s="373"/>
      <c r="H280" s="373" t="s">
        <v>33</v>
      </c>
      <c r="I280" s="373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ht="13" x14ac:dyDescent="0.3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5">
      <c r="A282" s="282" t="s">
        <v>364</v>
      </c>
      <c r="B282" s="302">
        <f>'Ind T6'!L117</f>
        <v>3.7542693200458546</v>
      </c>
      <c r="C282" s="299" t="str">
        <f>CONCATENATE("(",ROUND((B282/$H284)*100,1),")")</f>
        <v>(54.6)</v>
      </c>
      <c r="D282" s="302">
        <f>'Ind T6'!M117</f>
        <v>0.19940931017216984</v>
      </c>
      <c r="E282" s="299" t="str">
        <f>CONCATENATE("(",ROUND((D282/$H284)*100,1),")")</f>
        <v>(2.9)</v>
      </c>
      <c r="F282" s="302">
        <f>'Ind T6'!N117</f>
        <v>0.94832997681654263</v>
      </c>
      <c r="G282" s="299" t="str">
        <f>CONCATENATE("(",ROUND((F282/$H284)*100,1),")")</f>
        <v>(13.8)</v>
      </c>
      <c r="H282" s="302">
        <f>SUM(B282,D282,F282)</f>
        <v>4.902008607034567</v>
      </c>
      <c r="I282" s="299" t="str">
        <f>CONCATENATE("(",ROUND((H282/$H284)*100,1),")")</f>
        <v>(71.3)</v>
      </c>
      <c r="K282" s="302">
        <f>B287-B282</f>
        <v>0.10660041736829218</v>
      </c>
      <c r="L282" s="302">
        <f>D287-D282</f>
        <v>8.6332525643965929E-3</v>
      </c>
      <c r="M282" s="302">
        <f>F287-F282</f>
        <v>5.6674181793315292E-2</v>
      </c>
      <c r="N282" s="302">
        <f>SUM(K282:M282)</f>
        <v>0.17190785172600406</v>
      </c>
    </row>
    <row r="283" spans="1:14" x14ac:dyDescent="0.25">
      <c r="A283" s="282" t="s">
        <v>365</v>
      </c>
      <c r="B283" s="302">
        <f>'Ind T6'!L116</f>
        <v>1.5035442654864724</v>
      </c>
      <c r="C283" s="299" t="str">
        <f>CONCATENATE("(",ROUND((B283/$H284)*100,1),")")</f>
        <v>(21.9)</v>
      </c>
      <c r="D283" s="302">
        <f>'Ind T6'!M116</f>
        <v>0.31888090851038681</v>
      </c>
      <c r="E283" s="299" t="str">
        <f>CONCATENATE("(",ROUND((D283/$H284)*100,1),")")</f>
        <v>(4.6)</v>
      </c>
      <c r="F283" s="302">
        <f>'Ind T6'!N116</f>
        <v>0.14856621896856104</v>
      </c>
      <c r="G283" s="299" t="str">
        <f>CONCATENATE("(",ROUND((F283/$H284)*100,1),")")</f>
        <v>(2.2)</v>
      </c>
      <c r="H283" s="302">
        <f t="shared" ref="H283" si="216">SUM(B283,D283,F283)</f>
        <v>1.9709913929654201</v>
      </c>
      <c r="I283" s="299" t="str">
        <f>CONCATENATE("(",ROUND((H283/$H284)*100,1),")")</f>
        <v>(28.7)</v>
      </c>
      <c r="K283" s="302">
        <f t="shared" ref="K283:K284" si="217">B288-B283</f>
        <v>9.0473319355926618E-2</v>
      </c>
      <c r="L283" s="302">
        <f t="shared" ref="L283:L284" si="218">D288-D283</f>
        <v>6.8699463011940298E-3</v>
      </c>
      <c r="M283" s="302">
        <f t="shared" ref="M283:M284" si="219">F288-F283</f>
        <v>7.7488826168599922E-3</v>
      </c>
      <c r="N283" s="302">
        <f t="shared" ref="N283:N284" si="220">SUM(K283:M283)</f>
        <v>0.10509214827398064</v>
      </c>
    </row>
    <row r="284" spans="1:14" x14ac:dyDescent="0.25">
      <c r="A284" s="282" t="s">
        <v>363</v>
      </c>
      <c r="B284" s="302">
        <f>SUM(B282:B283)</f>
        <v>5.2578135855323271</v>
      </c>
      <c r="C284" s="299" t="str">
        <f>CONCATENATE("(",ROUND((B284/$H284)*100,1),")")</f>
        <v>(76.5)</v>
      </c>
      <c r="D284" s="302">
        <f>SUM(D282:D283)</f>
        <v>0.51829021868255665</v>
      </c>
      <c r="E284" s="299" t="str">
        <f>CONCATENATE("(",ROUND((D284/$H284)*100,1),")")</f>
        <v>(7.5)</v>
      </c>
      <c r="F284" s="302">
        <f>SUM(F282:F283)</f>
        <v>1.0968961957851038</v>
      </c>
      <c r="G284" s="299" t="str">
        <f>CONCATENATE("(",ROUND((F284/$H284)*100,1),")")</f>
        <v>(16)</v>
      </c>
      <c r="H284" s="302">
        <f>SUM(H282:H283)</f>
        <v>6.8729999999999869</v>
      </c>
      <c r="I284" s="299" t="str">
        <f>CONCATENATE("(",ROUND((H284/$H284)*100,1),")")</f>
        <v>(100)</v>
      </c>
      <c r="K284" s="302">
        <f t="shared" si="217"/>
        <v>0.19707373672421902</v>
      </c>
      <c r="L284" s="302">
        <f t="shared" si="218"/>
        <v>1.5503198865590595E-2</v>
      </c>
      <c r="M284" s="302">
        <f t="shared" si="219"/>
        <v>6.442306441017509E-2</v>
      </c>
      <c r="N284" s="302">
        <f t="shared" si="220"/>
        <v>0.2769999999999847</v>
      </c>
    </row>
    <row r="285" spans="1:14" x14ac:dyDescent="0.25">
      <c r="B285" s="302"/>
      <c r="C285" s="284"/>
      <c r="D285" s="302"/>
      <c r="E285" s="284"/>
      <c r="F285" s="302"/>
      <c r="G285" s="284"/>
      <c r="H285" s="302"/>
      <c r="I285" s="284"/>
    </row>
    <row r="286" spans="1:14" ht="13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5">
      <c r="A287" s="282" t="s">
        <v>364</v>
      </c>
      <c r="B287" s="302">
        <f>'Ind T6'!Q117</f>
        <v>3.8608697374141467</v>
      </c>
      <c r="C287" s="299" t="str">
        <f>CONCATENATE("(",ROUND((B287/$H289)*100,1),")")</f>
        <v>(54)</v>
      </c>
      <c r="D287" s="302">
        <f>'Ind T6'!R117</f>
        <v>0.20804256273656643</v>
      </c>
      <c r="E287" s="299" t="str">
        <f>CONCATENATE("(",ROUND((D287/$H289)*100,1),")")</f>
        <v>(2.9)</v>
      </c>
      <c r="F287" s="302">
        <f>'Ind T6'!S117</f>
        <v>1.0050041586098579</v>
      </c>
      <c r="G287" s="299" t="str">
        <f>CONCATENATE("(",ROUND((F287/$H289)*100,1),")")</f>
        <v>(14.1)</v>
      </c>
      <c r="H287" s="302">
        <f>SUM(B287,D287,F287)</f>
        <v>5.0739164587605714</v>
      </c>
      <c r="I287" s="299" t="str">
        <f>CONCATENATE("(",ROUND((H287/$H289)*100,1),")")</f>
        <v>(71)</v>
      </c>
      <c r="K287" s="302">
        <f>B292-B287</f>
        <v>6.4330237625978448E-2</v>
      </c>
      <c r="L287" s="302">
        <f>D292-D287</f>
        <v>7.4991039264498682E-3</v>
      </c>
      <c r="M287" s="302">
        <f>F292-F287</f>
        <v>5.0854998094935544E-2</v>
      </c>
      <c r="N287" s="302">
        <f>SUM(K287:M287)</f>
        <v>0.12268433964736386</v>
      </c>
    </row>
    <row r="288" spans="1:14" x14ac:dyDescent="0.25">
      <c r="A288" s="282" t="s">
        <v>365</v>
      </c>
      <c r="B288" s="302">
        <f>'Ind T6'!Q116</f>
        <v>1.594017584842399</v>
      </c>
      <c r="C288" s="299" t="str">
        <f>CONCATENATE("(",ROUND((B288/$H289)*100,1),")")</f>
        <v>(22.3)</v>
      </c>
      <c r="D288" s="302">
        <f>'Ind T6'!R116</f>
        <v>0.32575085481158084</v>
      </c>
      <c r="E288" s="299" t="str">
        <f>CONCATENATE("(",ROUND((D288/$H289)*100,1),")")</f>
        <v>(4.6)</v>
      </c>
      <c r="F288" s="302">
        <f>'Ind T6'!S116</f>
        <v>0.15631510158542103</v>
      </c>
      <c r="G288" s="299" t="str">
        <f>CONCATENATE("(",ROUND((F288/$H289)*100,1),")")</f>
        <v>(2.2)</v>
      </c>
      <c r="H288" s="302">
        <f t="shared" ref="H288" si="221">SUM(B288,D288,F288)</f>
        <v>2.076083541239401</v>
      </c>
      <c r="I288" s="299" t="str">
        <f>CONCATENATE("(",ROUND((H288/$H289)*100,1),")")</f>
        <v>(29)</v>
      </c>
      <c r="K288" s="302">
        <f t="shared" ref="K288:K289" si="222">B293-B288</f>
        <v>0.11464334330430392</v>
      </c>
      <c r="L288" s="302">
        <f t="shared" ref="L288:L289" si="223">D293-D288</f>
        <v>-2.3461641975367487E-3</v>
      </c>
      <c r="M288" s="302">
        <f t="shared" ref="M288:M289" si="224">F293-F288</f>
        <v>5.0184812458881345E-3</v>
      </c>
      <c r="N288" s="302">
        <f t="shared" ref="N288:N289" si="225">SUM(K288:M288)</f>
        <v>0.11731566035265531</v>
      </c>
    </row>
    <row r="289" spans="1:14" x14ac:dyDescent="0.25">
      <c r="A289" s="282" t="s">
        <v>363</v>
      </c>
      <c r="B289" s="302">
        <f>SUM(B287:B288)</f>
        <v>5.4548873222565462</v>
      </c>
      <c r="C289" s="299" t="str">
        <f>CONCATENATE("(",ROUND((B289/$H289)*100,1),")")</f>
        <v>(76.3)</v>
      </c>
      <c r="D289" s="302">
        <f>SUM(D287:D288)</f>
        <v>0.53379341754814724</v>
      </c>
      <c r="E289" s="299" t="str">
        <f>CONCATENATE("(",ROUND((D289/$H289)*100,1),")")</f>
        <v>(7.5)</v>
      </c>
      <c r="F289" s="302">
        <f>SUM(F287:F288)</f>
        <v>1.1613192601952789</v>
      </c>
      <c r="G289" s="299" t="str">
        <f>CONCATENATE("(",ROUND((F289/$H289)*100,1),")")</f>
        <v>(16.2)</v>
      </c>
      <c r="H289" s="302">
        <f>SUM(H287:H288)</f>
        <v>7.1499999999999719</v>
      </c>
      <c r="I289" s="299" t="str">
        <f>CONCATENATE("(",ROUND((H289/$H289)*100,1),")")</f>
        <v>(100)</v>
      </c>
      <c r="K289" s="302">
        <f t="shared" si="222"/>
        <v>0.17897358093028171</v>
      </c>
      <c r="L289" s="302">
        <f t="shared" si="223"/>
        <v>5.1529397289131751E-3</v>
      </c>
      <c r="M289" s="302">
        <f t="shared" si="224"/>
        <v>5.5873479340823762E-2</v>
      </c>
      <c r="N289" s="302">
        <f t="shared" si="225"/>
        <v>0.24000000000001864</v>
      </c>
    </row>
    <row r="290" spans="1:14" x14ac:dyDescent="0.25">
      <c r="B290" s="302"/>
      <c r="C290" s="284"/>
      <c r="D290" s="302"/>
      <c r="E290" s="284"/>
      <c r="F290" s="302"/>
      <c r="G290" s="284"/>
      <c r="H290" s="302"/>
      <c r="I290" s="284"/>
    </row>
    <row r="291" spans="1:14" ht="13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5">
      <c r="A292" s="282" t="s">
        <v>364</v>
      </c>
      <c r="B292" s="302">
        <f>'Ind T6'!V117</f>
        <v>3.9251999750401252</v>
      </c>
      <c r="C292" s="299" t="str">
        <f>CONCATENATE("(",ROUND((B292/$H294)*100,1),")")</f>
        <v>(53.1)</v>
      </c>
      <c r="D292" s="302">
        <f>'Ind T6'!W117</f>
        <v>0.2155416666630163</v>
      </c>
      <c r="E292" s="299" t="str">
        <f>CONCATENATE("(",ROUND((D292/$H294)*100,1),")")</f>
        <v>(2.9)</v>
      </c>
      <c r="F292" s="302">
        <f>'Ind T6'!X117</f>
        <v>1.0558591567047935</v>
      </c>
      <c r="G292" s="299" t="str">
        <f>CONCATENATE("(",ROUND((F292/$H294)*100,1),")")</f>
        <v>(14.3)</v>
      </c>
      <c r="H292" s="302">
        <f>SUM(B292,D292,F292)</f>
        <v>5.1966007984079354</v>
      </c>
      <c r="I292" s="299" t="str">
        <f>CONCATENATE("(",ROUND((H292/$H294)*100,1),")")</f>
        <v>(70.3)</v>
      </c>
      <c r="K292" s="302">
        <f>B292-B282</f>
        <v>0.17093065499427063</v>
      </c>
      <c r="L292" s="302">
        <f>D292-D282</f>
        <v>1.6132356490846461E-2</v>
      </c>
      <c r="M292" s="302">
        <f>F292-F282</f>
        <v>0.10752917988825084</v>
      </c>
      <c r="N292" s="302">
        <f>SUM(K292:M292)</f>
        <v>0.2945921913733679</v>
      </c>
    </row>
    <row r="293" spans="1:14" x14ac:dyDescent="0.25">
      <c r="A293" s="282" t="s">
        <v>365</v>
      </c>
      <c r="B293" s="302">
        <f>'Ind T6'!V116</f>
        <v>1.7086609281467029</v>
      </c>
      <c r="C293" s="299" t="str">
        <f>CONCATENATE("(",ROUND((B293/$H294)*100,1),")")</f>
        <v>(23.1)</v>
      </c>
      <c r="D293" s="302">
        <f>'Ind T6'!W116</f>
        <v>0.32340469061404409</v>
      </c>
      <c r="E293" s="299" t="str">
        <f>CONCATENATE("(",ROUND((D293/$H294)*100,1),")")</f>
        <v>(4.4)</v>
      </c>
      <c r="F293" s="302">
        <f>'Ind T6'!X116</f>
        <v>0.16133358283130916</v>
      </c>
      <c r="G293" s="299" t="str">
        <f>CONCATENATE("(",ROUND((F293/$H294)*100,1),")")</f>
        <v>(2.2)</v>
      </c>
      <c r="H293" s="302">
        <f t="shared" ref="H293" si="226">SUM(B293,D293,F293)</f>
        <v>2.1933992015920563</v>
      </c>
      <c r="I293" s="299" t="str">
        <f>CONCATENATE("(",ROUND((H293/$H294)*100,1),")")</f>
        <v>(29.7)</v>
      </c>
      <c r="K293" s="302">
        <f t="shared" ref="K293:K294" si="227">B293-B283</f>
        <v>0.20511666266023054</v>
      </c>
      <c r="L293" s="302">
        <f t="shared" ref="L293:L294" si="228">D293-D283</f>
        <v>4.5237821036572812E-3</v>
      </c>
      <c r="M293" s="302">
        <f t="shared" ref="M293:M294" si="229">F293-F283</f>
        <v>1.2767363862748127E-2</v>
      </c>
      <c r="N293" s="302">
        <f t="shared" ref="N293:N294" si="230">SUM(K293:M293)</f>
        <v>0.22240780862663595</v>
      </c>
    </row>
    <row r="294" spans="1:14" x14ac:dyDescent="0.25">
      <c r="A294" s="282" t="s">
        <v>363</v>
      </c>
      <c r="B294" s="302">
        <f>SUM(B292:B293)</f>
        <v>5.6338609031868279</v>
      </c>
      <c r="C294" s="299" t="str">
        <f>CONCATENATE("(",ROUND((B294/$H294)*100,1),")")</f>
        <v>(76.2)</v>
      </c>
      <c r="D294" s="302">
        <f>SUM(D292:D293)</f>
        <v>0.53894635727706042</v>
      </c>
      <c r="E294" s="299" t="str">
        <f>CONCATENATE("(",ROUND((D294/$H294)*100,1),")")</f>
        <v>(7.3)</v>
      </c>
      <c r="F294" s="302">
        <f>SUM(F292:F293)</f>
        <v>1.2171927395361026</v>
      </c>
      <c r="G294" s="299" t="str">
        <f>CONCATENATE("(",ROUND((F294/$H294)*100,1),")")</f>
        <v>(16.5)</v>
      </c>
      <c r="H294" s="302">
        <f>SUM(H292:H293)</f>
        <v>7.3899999999999917</v>
      </c>
      <c r="I294" s="299" t="str">
        <f>CONCATENATE("(",ROUND((H294/$H294)*100,1),")")</f>
        <v>(100)</v>
      </c>
      <c r="K294" s="302">
        <f t="shared" si="227"/>
        <v>0.37604731765450072</v>
      </c>
      <c r="L294" s="302">
        <f t="shared" si="228"/>
        <v>2.065613859450377E-2</v>
      </c>
      <c r="M294" s="302">
        <f t="shared" si="229"/>
        <v>0.12029654375099885</v>
      </c>
      <c r="N294" s="302">
        <f t="shared" si="230"/>
        <v>0.51700000000000335</v>
      </c>
    </row>
    <row r="295" spans="1:14" x14ac:dyDescent="0.25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ht="13" x14ac:dyDescent="0.3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ht="13" x14ac:dyDescent="0.3">
      <c r="N300" s="287" t="s">
        <v>370</v>
      </c>
    </row>
    <row r="301" spans="1:14" ht="13" x14ac:dyDescent="0.3">
      <c r="A301" s="182" t="s">
        <v>371</v>
      </c>
      <c r="B301" s="373" t="s">
        <v>369</v>
      </c>
      <c r="C301" s="373"/>
      <c r="D301" s="373" t="s">
        <v>368</v>
      </c>
      <c r="E301" s="373"/>
      <c r="F301" s="373" t="s">
        <v>367</v>
      </c>
      <c r="G301" s="373"/>
      <c r="H301" s="373" t="s">
        <v>33</v>
      </c>
      <c r="I301" s="373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ht="13" x14ac:dyDescent="0.3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5">
      <c r="A303" s="282" t="s">
        <v>364</v>
      </c>
      <c r="B303" s="302">
        <f>'Ind T6'!L126</f>
        <v>4.2714794930292435</v>
      </c>
      <c r="C303" s="299" t="str">
        <f>CONCATENATE("(",ROUND((B303/$H305)*100,1),")")</f>
        <v>(40.9)</v>
      </c>
      <c r="D303" s="302">
        <f>'Ind T6'!M126</f>
        <v>0.33477445120701227</v>
      </c>
      <c r="E303" s="299" t="str">
        <f>CONCATENATE("(",ROUND((D303/$H305)*100,1),")")</f>
        <v>(3.2)</v>
      </c>
      <c r="F303" s="302">
        <f>'Ind T6'!N126</f>
        <v>0.74555334940682294</v>
      </c>
      <c r="G303" s="299" t="str">
        <f>CONCATENATE("(",ROUND((F303/$H305)*100,1),")")</f>
        <v>(7.1)</v>
      </c>
      <c r="H303" s="302">
        <f>SUM(B303,D303,F303)</f>
        <v>5.3518072936430787</v>
      </c>
      <c r="I303" s="299" t="str">
        <f>CONCATENATE("(",ROUND((H303/$H305)*100,1),")")</f>
        <v>(51.3)</v>
      </c>
      <c r="K303" s="302">
        <f>B308-B303</f>
        <v>-2.8060175925226361E-3</v>
      </c>
      <c r="L303" s="302">
        <f>D308-D303</f>
        <v>1.351945061831461E-2</v>
      </c>
      <c r="M303" s="302">
        <f>F308-F303</f>
        <v>3.7071340765975069E-2</v>
      </c>
      <c r="N303" s="302">
        <f>SUM(K303:M303)</f>
        <v>4.7784773791767043E-2</v>
      </c>
    </row>
    <row r="304" spans="1:14" x14ac:dyDescent="0.25">
      <c r="A304" s="282" t="s">
        <v>365</v>
      </c>
      <c r="B304" s="302">
        <f>'Ind T6'!L125</f>
        <v>3.4175384789241572</v>
      </c>
      <c r="C304" s="299" t="str">
        <f>CONCATENATE("(",ROUND((B304/$H305)*100,1),")")</f>
        <v>(32.7)</v>
      </c>
      <c r="D304" s="302">
        <f>'Ind T6'!M125</f>
        <v>1.5304397394025089</v>
      </c>
      <c r="E304" s="299" t="str">
        <f>CONCATENATE("(",ROUND((D304/$H305)*100,1),")")</f>
        <v>(14.7)</v>
      </c>
      <c r="F304" s="302">
        <f>'Ind T6'!N125</f>
        <v>0.14121448803024822</v>
      </c>
      <c r="G304" s="299" t="str">
        <f>CONCATENATE("(",ROUND((F304/$H305)*100,1),")")</f>
        <v>(1.4)</v>
      </c>
      <c r="H304" s="302">
        <f t="shared" ref="H304" si="231">SUM(B304,D304,F304)</f>
        <v>5.089192706356914</v>
      </c>
      <c r="I304" s="299" t="str">
        <f>CONCATENATE("(",ROUND((H304/$H305)*100,1),")")</f>
        <v>(48.7)</v>
      </c>
      <c r="K304" s="302">
        <f t="shared" ref="K304:K305" si="232">B309-B304</f>
        <v>-1.6786159330901551E-2</v>
      </c>
      <c r="L304" s="302">
        <f t="shared" ref="L304:L305" si="233">D309-D304</f>
        <v>-2.3683595228106924E-2</v>
      </c>
      <c r="M304" s="302">
        <f t="shared" ref="M304:M305" si="234">F309-F304</f>
        <v>5.6849807672408603E-3</v>
      </c>
      <c r="N304" s="302">
        <f t="shared" ref="N304:N305" si="235">SUM(K304:M304)</f>
        <v>-3.4784773791767615E-2</v>
      </c>
    </row>
    <row r="305" spans="1:14" x14ac:dyDescent="0.25">
      <c r="A305" s="282" t="s">
        <v>363</v>
      </c>
      <c r="B305" s="302">
        <f>SUM(B303:B304)</f>
        <v>7.6890179719534011</v>
      </c>
      <c r="C305" s="299" t="str">
        <f>CONCATENATE("(",ROUND((B305/$H305)*100,1),")")</f>
        <v>(73.6)</v>
      </c>
      <c r="D305" s="302">
        <f>SUM(D303:D304)</f>
        <v>1.8652141906095212</v>
      </c>
      <c r="E305" s="299" t="str">
        <f>CONCATENATE("(",ROUND((D305/$H305)*100,1),")")</f>
        <v>(17.9)</v>
      </c>
      <c r="F305" s="302">
        <f>SUM(F303:F304)</f>
        <v>0.8867678374370711</v>
      </c>
      <c r="G305" s="299" t="str">
        <f>CONCATENATE("(",ROUND((F305/$H305)*100,1),")")</f>
        <v>(8.5)</v>
      </c>
      <c r="H305" s="302">
        <f>SUM(H303:H304)</f>
        <v>10.440999999999992</v>
      </c>
      <c r="I305" s="299" t="str">
        <f>CONCATENATE("(",ROUND((H305/$H305)*100,1),")")</f>
        <v>(100)</v>
      </c>
      <c r="K305" s="302">
        <f t="shared" si="232"/>
        <v>-1.9592176923424631E-2</v>
      </c>
      <c r="L305" s="302">
        <f t="shared" si="233"/>
        <v>-1.0164144609792425E-2</v>
      </c>
      <c r="M305" s="302">
        <f t="shared" si="234"/>
        <v>4.2756321533215957E-2</v>
      </c>
      <c r="N305" s="302">
        <f t="shared" si="235"/>
        <v>1.2999999999998901E-2</v>
      </c>
    </row>
    <row r="306" spans="1:14" x14ac:dyDescent="0.25">
      <c r="B306" s="302"/>
      <c r="C306" s="284"/>
      <c r="D306" s="302"/>
      <c r="E306" s="284"/>
      <c r="F306" s="302"/>
      <c r="G306" s="284"/>
      <c r="H306" s="302"/>
      <c r="I306" s="284"/>
    </row>
    <row r="307" spans="1:14" ht="13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5">
      <c r="A308" s="282" t="s">
        <v>364</v>
      </c>
      <c r="B308" s="302">
        <f>'Ind T6'!Q126</f>
        <v>4.2686734754367208</v>
      </c>
      <c r="C308" s="299" t="str">
        <f>CONCATENATE("(",ROUND((B308/$H310)*100,1),")")</f>
        <v>(40.8)</v>
      </c>
      <c r="D308" s="302">
        <f>'Ind T6'!R126</f>
        <v>0.34829390182532688</v>
      </c>
      <c r="E308" s="299" t="str">
        <f>CONCATENATE("(",ROUND((D308/$H310)*100,1),")")</f>
        <v>(3.3)</v>
      </c>
      <c r="F308" s="302">
        <f>'Ind T6'!S126</f>
        <v>0.78262469017279801</v>
      </c>
      <c r="G308" s="299" t="str">
        <f>CONCATENATE("(",ROUND((F308/$H310)*100,1),")")</f>
        <v>(7.5)</v>
      </c>
      <c r="H308" s="302">
        <f>SUM(B308,D308,F308)</f>
        <v>5.3995920674348463</v>
      </c>
      <c r="I308" s="299" t="str">
        <f>CONCATENATE("(",ROUND((H308/$H310)*100,1),")")</f>
        <v>(51.7)</v>
      </c>
      <c r="K308" s="302">
        <f>B313-B308</f>
        <v>-0.17416301461615102</v>
      </c>
      <c r="L308" s="302">
        <f>D313-D308</f>
        <v>8.5555500749584512E-3</v>
      </c>
      <c r="M308" s="302">
        <f>F313-F308</f>
        <v>-1.8220911339404955E-3</v>
      </c>
      <c r="N308" s="302">
        <f>SUM(K308:M308)</f>
        <v>-0.16742955567513307</v>
      </c>
    </row>
    <row r="309" spans="1:14" x14ac:dyDescent="0.25">
      <c r="A309" s="282" t="s">
        <v>365</v>
      </c>
      <c r="B309" s="302">
        <f>'Ind T6'!Q125</f>
        <v>3.4007523195932556</v>
      </c>
      <c r="C309" s="299" t="str">
        <f>CONCATENATE("(",ROUND((B309/$H310)*100,1),")")</f>
        <v>(32.5)</v>
      </c>
      <c r="D309" s="302">
        <f>'Ind T6'!R125</f>
        <v>1.506756144174402</v>
      </c>
      <c r="E309" s="299" t="str">
        <f>CONCATENATE("(",ROUND((D309/$H310)*100,1),")")</f>
        <v>(14.4)</v>
      </c>
      <c r="F309" s="302">
        <f>'Ind T6'!S125</f>
        <v>0.14689946879748908</v>
      </c>
      <c r="G309" s="299" t="str">
        <f>CONCATENATE("(",ROUND((F309/$H310)*100,1),")")</f>
        <v>(1.4)</v>
      </c>
      <c r="H309" s="302">
        <f t="shared" ref="H309" si="236">SUM(B309,D309,F309)</f>
        <v>5.0544079325651463</v>
      </c>
      <c r="I309" s="299" t="str">
        <f>CONCATENATE("(",ROUND((H309/$H310)*100,1),")")</f>
        <v>(48.3)</v>
      </c>
      <c r="K309" s="302">
        <f t="shared" ref="K309:K310" si="237">B314-B309</f>
        <v>-0.14925980422724017</v>
      </c>
      <c r="L309" s="302">
        <f t="shared" ref="L309:L310" si="238">D314-D309</f>
        <v>-7.9358336549180786E-2</v>
      </c>
      <c r="M309" s="302">
        <f t="shared" ref="M309:M310" si="239">F314-F309</f>
        <v>-3.952303548436481E-3</v>
      </c>
      <c r="N309" s="302">
        <f t="shared" ref="N309:N310" si="240">SUM(K309:M309)</f>
        <v>-0.23257044432485743</v>
      </c>
    </row>
    <row r="310" spans="1:14" x14ac:dyDescent="0.25">
      <c r="A310" s="282" t="s">
        <v>363</v>
      </c>
      <c r="B310" s="302">
        <f>SUM(B308:B309)</f>
        <v>7.6694257950299765</v>
      </c>
      <c r="C310" s="299" t="str">
        <f>CONCATENATE("(",ROUND((B310/$H310)*100,1),")")</f>
        <v>(73.4)</v>
      </c>
      <c r="D310" s="302">
        <f>SUM(D308:D309)</f>
        <v>1.8550500459997288</v>
      </c>
      <c r="E310" s="299" t="str">
        <f>CONCATENATE("(",ROUND((D310/$H310)*100,1),")")</f>
        <v>(17.7)</v>
      </c>
      <c r="F310" s="302">
        <f>SUM(F308:F309)</f>
        <v>0.92952415897028706</v>
      </c>
      <c r="G310" s="299" t="str">
        <f>CONCATENATE("(",ROUND((F310/$H310)*100,1),")")</f>
        <v>(8.9)</v>
      </c>
      <c r="H310" s="302">
        <f>SUM(H308:H309)</f>
        <v>10.453999999999994</v>
      </c>
      <c r="I310" s="299" t="str">
        <f>CONCATENATE("(",ROUND((H310/$H310)*100,1),")")</f>
        <v>(100)</v>
      </c>
      <c r="K310" s="302">
        <f t="shared" si="237"/>
        <v>-0.32342281884339119</v>
      </c>
      <c r="L310" s="302">
        <f t="shared" si="238"/>
        <v>-7.0802786474222223E-2</v>
      </c>
      <c r="M310" s="302">
        <f t="shared" si="239"/>
        <v>-5.7743946823769488E-3</v>
      </c>
      <c r="N310" s="302">
        <f t="shared" si="240"/>
        <v>-0.39999999999999036</v>
      </c>
    </row>
    <row r="311" spans="1:14" x14ac:dyDescent="0.25">
      <c r="B311" s="302"/>
      <c r="C311" s="284"/>
      <c r="D311" s="302"/>
      <c r="E311" s="284"/>
      <c r="F311" s="302"/>
      <c r="G311" s="284"/>
      <c r="H311" s="302"/>
      <c r="I311" s="284"/>
    </row>
    <row r="312" spans="1:14" ht="13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5">
      <c r="A313" s="282" t="s">
        <v>364</v>
      </c>
      <c r="B313" s="302">
        <f>'Ind T6'!V126</f>
        <v>4.0945104608205698</v>
      </c>
      <c r="C313" s="299" t="str">
        <f>CONCATENATE("(",ROUND((B313/$H315)*100,1),")")</f>
        <v>(40.7)</v>
      </c>
      <c r="D313" s="302">
        <f>'Ind T6'!W126</f>
        <v>0.35684945190028533</v>
      </c>
      <c r="E313" s="299" t="str">
        <f>CONCATENATE("(",ROUND((D313/$H315)*100,1),")")</f>
        <v>(3.5)</v>
      </c>
      <c r="F313" s="302">
        <f>'Ind T6'!X126</f>
        <v>0.78080259903885751</v>
      </c>
      <c r="G313" s="299" t="str">
        <f>CONCATENATE("(",ROUND((F313/$H315)*100,1),")")</f>
        <v>(7.8)</v>
      </c>
      <c r="H313" s="302">
        <f>SUM(B313,D313,F313)</f>
        <v>5.2321625117597126</v>
      </c>
      <c r="I313" s="299" t="str">
        <f>CONCATENATE("(",ROUND((H313/$H315)*100,1),")")</f>
        <v>(52)</v>
      </c>
      <c r="K313" s="302">
        <f>B313-B303</f>
        <v>-0.17696903220867366</v>
      </c>
      <c r="L313" s="302">
        <f>D313-D303</f>
        <v>2.2075000693273061E-2</v>
      </c>
      <c r="M313" s="302">
        <f>F313-F303</f>
        <v>3.5249249632034574E-2</v>
      </c>
      <c r="N313" s="302">
        <f>SUM(K313:M313)</f>
        <v>-0.11964478188336602</v>
      </c>
    </row>
    <row r="314" spans="1:14" x14ac:dyDescent="0.25">
      <c r="A314" s="282" t="s">
        <v>365</v>
      </c>
      <c r="B314" s="302">
        <f>'Ind T6'!V125</f>
        <v>3.2514925153660155</v>
      </c>
      <c r="C314" s="299" t="str">
        <f>CONCATENATE("(",ROUND((B314/$H315)*100,1),")")</f>
        <v>(32.3)</v>
      </c>
      <c r="D314" s="302">
        <f>'Ind T6'!W125</f>
        <v>1.4273978076252212</v>
      </c>
      <c r="E314" s="299" t="str">
        <f>CONCATENATE("(",ROUND((D314/$H315)*100,1),")")</f>
        <v>(14.2)</v>
      </c>
      <c r="F314" s="302">
        <f>'Ind T6'!X125</f>
        <v>0.1429471652490526</v>
      </c>
      <c r="G314" s="299" t="str">
        <f>CONCATENATE("(",ROUND((F314/$H315)*100,1),")")</f>
        <v>(1.4)</v>
      </c>
      <c r="H314" s="302">
        <f t="shared" ref="H314" si="241">SUM(B314,D314,F314)</f>
        <v>4.8218374882402895</v>
      </c>
      <c r="I314" s="299" t="str">
        <f>CONCATENATE("(",ROUND((H314/$H315)*100,1),")")</f>
        <v>(48)</v>
      </c>
      <c r="K314" s="302">
        <f t="shared" ref="K314:K315" si="242">B314-B304</f>
        <v>-0.16604596355814172</v>
      </c>
      <c r="L314" s="302">
        <f t="shared" ref="L314:L315" si="243">D314-D304</f>
        <v>-0.10304193177728771</v>
      </c>
      <c r="M314" s="302">
        <f t="shared" ref="M314:M315" si="244">F314-F304</f>
        <v>1.7326772188043793E-3</v>
      </c>
      <c r="N314" s="302">
        <f t="shared" ref="N314:N315" si="245">SUM(K314:M314)</f>
        <v>-0.26735521811662505</v>
      </c>
    </row>
    <row r="315" spans="1:14" x14ac:dyDescent="0.25">
      <c r="A315" s="282" t="s">
        <v>363</v>
      </c>
      <c r="B315" s="302">
        <f>SUM(B313:B314)</f>
        <v>7.3460029761865853</v>
      </c>
      <c r="C315" s="299" t="str">
        <f>CONCATENATE("(",ROUND((B315/$H315)*100,1),")")</f>
        <v>(73.1)</v>
      </c>
      <c r="D315" s="302">
        <f>SUM(D313:D314)</f>
        <v>1.7842472595255066</v>
      </c>
      <c r="E315" s="299" t="str">
        <f>CONCATENATE("(",ROUND((D315/$H315)*100,1),")")</f>
        <v>(17.7)</v>
      </c>
      <c r="F315" s="302">
        <f>SUM(F313:F314)</f>
        <v>0.92374976428791011</v>
      </c>
      <c r="G315" s="299" t="str">
        <f>CONCATENATE("(",ROUND((F315/$H315)*100,1),")")</f>
        <v>(9.2)</v>
      </c>
      <c r="H315" s="302">
        <f>SUM(H313:H314)</f>
        <v>10.054000000000002</v>
      </c>
      <c r="I315" s="299" t="str">
        <f>CONCATENATE("(",ROUND((H315/$H315)*100,1),")")</f>
        <v>(100)</v>
      </c>
      <c r="K315" s="302">
        <f t="shared" si="242"/>
        <v>-0.34301499576681582</v>
      </c>
      <c r="L315" s="302">
        <f t="shared" si="243"/>
        <v>-8.0966931084014648E-2</v>
      </c>
      <c r="M315" s="302">
        <f t="shared" si="244"/>
        <v>3.6981926850839009E-2</v>
      </c>
      <c r="N315" s="302">
        <f t="shared" si="245"/>
        <v>-0.38699999999999146</v>
      </c>
    </row>
    <row r="316" spans="1:14" x14ac:dyDescent="0.25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ht="13" x14ac:dyDescent="0.3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ht="13" x14ac:dyDescent="0.3">
      <c r="N321" s="287" t="s">
        <v>370</v>
      </c>
    </row>
    <row r="322" spans="1:14" ht="13" x14ac:dyDescent="0.3">
      <c r="A322" s="182" t="s">
        <v>371</v>
      </c>
      <c r="B322" s="373" t="s">
        <v>369</v>
      </c>
      <c r="C322" s="373"/>
      <c r="D322" s="373" t="s">
        <v>368</v>
      </c>
      <c r="E322" s="373"/>
      <c r="F322" s="373" t="s">
        <v>367</v>
      </c>
      <c r="G322" s="373"/>
      <c r="H322" s="373" t="s">
        <v>33</v>
      </c>
      <c r="I322" s="373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ht="13" x14ac:dyDescent="0.3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5">
      <c r="A324" s="282" t="s">
        <v>364</v>
      </c>
      <c r="B324" s="302">
        <f>'Ind T6'!L135</f>
        <v>3.1939695092273661</v>
      </c>
      <c r="C324" s="299" t="str">
        <f>CONCATENATE("(",ROUND((B324/$H326)*100,1),")")</f>
        <v>(31.2)</v>
      </c>
      <c r="D324" s="302">
        <f>'Ind T6'!M135</f>
        <v>1.0629778695864152</v>
      </c>
      <c r="E324" s="299" t="str">
        <f>CONCATENATE("(",ROUND((D324/$H326)*100,1),")")</f>
        <v>(10.4)</v>
      </c>
      <c r="F324" s="302">
        <f>'Ind T6'!N135</f>
        <v>0.73504003146447949</v>
      </c>
      <c r="G324" s="299" t="str">
        <f>CONCATENATE("(",ROUND((F324/$H326)*100,1),")")</f>
        <v>(7.2)</v>
      </c>
      <c r="H324" s="302">
        <f>SUM(B324,D324,F324)</f>
        <v>4.9919874102782611</v>
      </c>
      <c r="I324" s="299" t="str">
        <f>CONCATENATE("(",ROUND((H324/$H326)*100,1),")")</f>
        <v>(48.7)</v>
      </c>
      <c r="K324" s="302">
        <f>B329-B324</f>
        <v>2.4388497832661393E-3</v>
      </c>
      <c r="L324" s="302">
        <f>D329-D324</f>
        <v>3.6302632914277932E-3</v>
      </c>
      <c r="M324" s="302">
        <f>F329-F324</f>
        <v>3.9195299319554899E-2</v>
      </c>
      <c r="N324" s="302">
        <f>SUM(K324:M324)</f>
        <v>4.5264412394248832E-2</v>
      </c>
    </row>
    <row r="325" spans="1:14" x14ac:dyDescent="0.25">
      <c r="A325" s="282" t="s">
        <v>365</v>
      </c>
      <c r="B325" s="302">
        <f>'Ind T6'!L134</f>
        <v>2.8005649650685482</v>
      </c>
      <c r="C325" s="299" t="str">
        <f>CONCATENATE("(",ROUND((B325/$H326)*100,1),")")</f>
        <v>(27.3)</v>
      </c>
      <c r="D325" s="302">
        <f>'Ind T6'!M134</f>
        <v>2.074790990459181</v>
      </c>
      <c r="E325" s="299" t="str">
        <f>CONCATENATE("(",ROUND((D325/$H326)*100,1),")")</f>
        <v>(20.3)</v>
      </c>
      <c r="F325" s="302">
        <f>'Ind T6'!N134</f>
        <v>0.37265663419400791</v>
      </c>
      <c r="G325" s="299" t="str">
        <f>CONCATENATE("(",ROUND((F325/$H326)*100,1),")")</f>
        <v>(3.6)</v>
      </c>
      <c r="H325" s="302">
        <f t="shared" ref="H325" si="246">SUM(B325,D325,F325)</f>
        <v>5.2480125897217365</v>
      </c>
      <c r="I325" s="299" t="str">
        <f>CONCATENATE("(",ROUND((H325/$H326)*100,1),")")</f>
        <v>(51.3)</v>
      </c>
      <c r="K325" s="302">
        <f t="shared" ref="K325:K326" si="247">B330-B325</f>
        <v>0.10427436593143069</v>
      </c>
      <c r="L325" s="302">
        <f t="shared" ref="L325:L326" si="248">D330-D325</f>
        <v>-8.7258766991107795E-2</v>
      </c>
      <c r="M325" s="302">
        <f t="shared" ref="M325:M326" si="249">F330-F325</f>
        <v>5.719988665417064E-3</v>
      </c>
      <c r="N325" s="302">
        <f t="shared" ref="N325:N326" si="250">SUM(K325:M325)</f>
        <v>2.273558760573996E-2</v>
      </c>
    </row>
    <row r="326" spans="1:14" x14ac:dyDescent="0.25">
      <c r="A326" s="282" t="s">
        <v>363</v>
      </c>
      <c r="B326" s="302">
        <f>SUM(B324:B325)</f>
        <v>5.9945344742959144</v>
      </c>
      <c r="C326" s="299" t="str">
        <f>CONCATENATE("(",ROUND((B326/$H326)*100,1),")")</f>
        <v>(58.5)</v>
      </c>
      <c r="D326" s="302">
        <f>SUM(D324:D325)</f>
        <v>3.137768860045596</v>
      </c>
      <c r="E326" s="299" t="str">
        <f>CONCATENATE("(",ROUND((D326/$H326)*100,1),")")</f>
        <v>(30.6)</v>
      </c>
      <c r="F326" s="302">
        <f>SUM(F324:F325)</f>
        <v>1.1076966656584875</v>
      </c>
      <c r="G326" s="299" t="str">
        <f>CONCATENATE("(",ROUND((F326/$H326)*100,1),")")</f>
        <v>(10.8)</v>
      </c>
      <c r="H326" s="302">
        <f>SUM(H324:H325)</f>
        <v>10.239999999999998</v>
      </c>
      <c r="I326" s="299" t="str">
        <f>CONCATENATE("(",ROUND((H326/$H326)*100,1),")")</f>
        <v>(100)</v>
      </c>
      <c r="K326" s="302">
        <f t="shared" si="247"/>
        <v>0.10671321571469683</v>
      </c>
      <c r="L326" s="302">
        <f t="shared" si="248"/>
        <v>-8.3628503699679779E-2</v>
      </c>
      <c r="M326" s="302">
        <f t="shared" si="249"/>
        <v>4.4915287984971908E-2</v>
      </c>
      <c r="N326" s="302">
        <f t="shared" si="250"/>
        <v>6.7999999999988958E-2</v>
      </c>
    </row>
    <row r="327" spans="1:14" x14ac:dyDescent="0.25">
      <c r="B327" s="302"/>
      <c r="C327" s="284"/>
      <c r="D327" s="302"/>
      <c r="E327" s="284"/>
      <c r="F327" s="302"/>
      <c r="G327" s="284"/>
      <c r="H327" s="302"/>
      <c r="I327" s="284"/>
    </row>
    <row r="328" spans="1:14" ht="13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5">
      <c r="A329" s="282" t="s">
        <v>364</v>
      </c>
      <c r="B329" s="302">
        <f>'Ind T6'!Q135</f>
        <v>3.1964083590106322</v>
      </c>
      <c r="C329" s="299" t="str">
        <f>CONCATENATE("(",ROUND((B329/$H331)*100,1),")")</f>
        <v>(31)</v>
      </c>
      <c r="D329" s="302">
        <f>'Ind T6'!R135</f>
        <v>1.066608132877843</v>
      </c>
      <c r="E329" s="299" t="str">
        <f>CONCATENATE("(",ROUND((D329/$H331)*100,1),")")</f>
        <v>(10.3)</v>
      </c>
      <c r="F329" s="302">
        <f>'Ind T6'!S135</f>
        <v>0.77423533078403439</v>
      </c>
      <c r="G329" s="299" t="str">
        <f>CONCATENATE("(",ROUND((F329/$H331)*100,1),")")</f>
        <v>(7.5)</v>
      </c>
      <c r="H329" s="302">
        <f>SUM(B329,D329,F329)</f>
        <v>5.0372518226725091</v>
      </c>
      <c r="I329" s="299" t="str">
        <f>CONCATENATE("(",ROUND((H329/$H331)*100,1),")")</f>
        <v>(48.9)</v>
      </c>
      <c r="K329" s="302">
        <f>B334-B329</f>
        <v>0.24549908878504079</v>
      </c>
      <c r="L329" s="302">
        <f>D334-D329</f>
        <v>0.1028738448997446</v>
      </c>
      <c r="M329" s="302">
        <f>F334-F329</f>
        <v>0.13162194559577867</v>
      </c>
      <c r="N329" s="302">
        <f>SUM(K329:M329)</f>
        <v>0.47999487928056406</v>
      </c>
    </row>
    <row r="330" spans="1:14" x14ac:dyDescent="0.25">
      <c r="A330" s="282" t="s">
        <v>365</v>
      </c>
      <c r="B330" s="302">
        <f>'Ind T6'!Q134</f>
        <v>2.9048393309999789</v>
      </c>
      <c r="C330" s="299" t="str">
        <f>CONCATENATE("(",ROUND((B330/$H331)*100,1),")")</f>
        <v>(28.2)</v>
      </c>
      <c r="D330" s="302">
        <f>'Ind T6'!R134</f>
        <v>1.9875322234680732</v>
      </c>
      <c r="E330" s="299" t="str">
        <f>CONCATENATE("(",ROUND((D330/$H331)*100,1),")")</f>
        <v>(19.3)</v>
      </c>
      <c r="F330" s="302">
        <f>'Ind T6'!S134</f>
        <v>0.37837662285942497</v>
      </c>
      <c r="G330" s="299" t="str">
        <f>CONCATENATE("(",ROUND((F330/$H331)*100,1),")")</f>
        <v>(3.7)</v>
      </c>
      <c r="H330" s="302">
        <f t="shared" ref="H330" si="251">SUM(B330,D330,F330)</f>
        <v>5.2707481773274774</v>
      </c>
      <c r="I330" s="299" t="str">
        <f>CONCATENATE("(",ROUND((H330/$H331)*100,1),")")</f>
        <v>(51.1)</v>
      </c>
      <c r="K330" s="302">
        <f t="shared" ref="K330:K331" si="252">B335-B330</f>
        <v>0.44562633850935285</v>
      </c>
      <c r="L330" s="302">
        <f t="shared" ref="L330:L331" si="253">D335-D330</f>
        <v>-2.7759812536331196E-2</v>
      </c>
      <c r="M330" s="302">
        <f t="shared" ref="M330:M331" si="254">F335-F330</f>
        <v>3.2138594746434934E-2</v>
      </c>
      <c r="N330" s="302">
        <f t="shared" ref="N330:N331" si="255">SUM(K330:M330)</f>
        <v>0.45000512071945659</v>
      </c>
    </row>
    <row r="331" spans="1:14" x14ac:dyDescent="0.25">
      <c r="A331" s="282" t="s">
        <v>363</v>
      </c>
      <c r="B331" s="302">
        <f>SUM(B329:B330)</f>
        <v>6.1012476900106112</v>
      </c>
      <c r="C331" s="299" t="str">
        <f>CONCATENATE("(",ROUND((B331/$H331)*100,1),")")</f>
        <v>(59.2)</v>
      </c>
      <c r="D331" s="302">
        <f>SUM(D329:D330)</f>
        <v>3.0541403563459162</v>
      </c>
      <c r="E331" s="299" t="str">
        <f>CONCATENATE("(",ROUND((D331/$H331)*100,1),")")</f>
        <v>(29.6)</v>
      </c>
      <c r="F331" s="302">
        <f>SUM(F329:F330)</f>
        <v>1.1526119536434594</v>
      </c>
      <c r="G331" s="299" t="str">
        <f>CONCATENATE("(",ROUND((F331/$H331)*100,1),")")</f>
        <v>(11.2)</v>
      </c>
      <c r="H331" s="302">
        <f>SUM(H329:H330)</f>
        <v>10.307999999999986</v>
      </c>
      <c r="I331" s="299" t="str">
        <f>CONCATENATE("(",ROUND((H331/$H331)*100,1),")")</f>
        <v>(100)</v>
      </c>
      <c r="K331" s="302">
        <f t="shared" si="252"/>
        <v>0.69112542729439319</v>
      </c>
      <c r="L331" s="302">
        <f t="shared" si="253"/>
        <v>7.5114032363413408E-2</v>
      </c>
      <c r="M331" s="302">
        <f t="shared" si="254"/>
        <v>0.16376054034221355</v>
      </c>
      <c r="N331" s="302">
        <f t="shared" si="255"/>
        <v>0.93000000000002014</v>
      </c>
    </row>
    <row r="332" spans="1:14" x14ac:dyDescent="0.25">
      <c r="B332" s="302"/>
      <c r="C332" s="284"/>
      <c r="D332" s="302"/>
      <c r="E332" s="284"/>
      <c r="F332" s="302"/>
      <c r="G332" s="284"/>
      <c r="H332" s="302"/>
      <c r="I332" s="284"/>
    </row>
    <row r="333" spans="1:14" ht="13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5">
      <c r="A334" s="282" t="s">
        <v>364</v>
      </c>
      <c r="B334" s="302">
        <f>'Ind T6'!V135</f>
        <v>3.441907447795673</v>
      </c>
      <c r="C334" s="299" t="str">
        <f>CONCATENATE("(",ROUND((B334/$H336)*100,1),")")</f>
        <v>(30.6)</v>
      </c>
      <c r="D334" s="302">
        <f>'Ind T6'!W135</f>
        <v>1.1694819777775876</v>
      </c>
      <c r="E334" s="299" t="str">
        <f>CONCATENATE("(",ROUND((D334/$H336)*100,1),")")</f>
        <v>(10.4)</v>
      </c>
      <c r="F334" s="302">
        <f>'Ind T6'!X135</f>
        <v>0.90585727637981306</v>
      </c>
      <c r="G334" s="299" t="str">
        <f>CONCATENATE("(",ROUND((F334/$H336)*100,1),")")</f>
        <v>(8.1)</v>
      </c>
      <c r="H334" s="302">
        <f>SUM(B334,D334,F334)</f>
        <v>5.5172467019530744</v>
      </c>
      <c r="I334" s="299" t="str">
        <f>CONCATENATE("(",ROUND((H334/$H336)*100,1),")")</f>
        <v>(49.1)</v>
      </c>
      <c r="K334" s="302">
        <f>B334-B324</f>
        <v>0.24793793856830693</v>
      </c>
      <c r="L334" s="302">
        <f>D334-D324</f>
        <v>0.1065041081911724</v>
      </c>
      <c r="M334" s="302">
        <f>F334-F324</f>
        <v>0.17081724491533357</v>
      </c>
      <c r="N334" s="302">
        <f>SUM(K334:M334)</f>
        <v>0.52525929167481289</v>
      </c>
    </row>
    <row r="335" spans="1:14" x14ac:dyDescent="0.25">
      <c r="A335" s="282" t="s">
        <v>365</v>
      </c>
      <c r="B335" s="302">
        <f>'Ind T6'!V134</f>
        <v>3.3504656695093318</v>
      </c>
      <c r="C335" s="299" t="str">
        <f>CONCATENATE("(",ROUND((B335/$H336)*100,1),")")</f>
        <v>(29.8)</v>
      </c>
      <c r="D335" s="302">
        <f>'Ind T6'!W134</f>
        <v>1.959772410931742</v>
      </c>
      <c r="E335" s="299" t="str">
        <f>CONCATENATE("(",ROUND((D335/$H336)*100,1),")")</f>
        <v>(17.4)</v>
      </c>
      <c r="F335" s="302">
        <f>'Ind T6'!X134</f>
        <v>0.41051521760585991</v>
      </c>
      <c r="G335" s="299" t="str">
        <f>CONCATENATE("(",ROUND((F335/$H336)*100,1),")")</f>
        <v>(3.7)</v>
      </c>
      <c r="H335" s="302">
        <f>SUM(B335,D335,F335)</f>
        <v>5.720753298046934</v>
      </c>
      <c r="I335" s="299" t="str">
        <f>CONCATENATE("(",ROUND((H335/$H336)*100,1),")")</f>
        <v>(50.9)</v>
      </c>
      <c r="K335" s="302">
        <f t="shared" ref="K335:K336" si="256">B335-B325</f>
        <v>0.54990070444078354</v>
      </c>
      <c r="L335" s="302">
        <f t="shared" ref="L335:L336" si="257">D335-D325</f>
        <v>-0.11501857952743899</v>
      </c>
      <c r="M335" s="302">
        <f t="shared" ref="M335:M336" si="258">F335-F325</f>
        <v>3.7858583411851998E-2</v>
      </c>
      <c r="N335" s="302">
        <f t="shared" ref="N335:N336" si="259">SUM(K335:M335)</f>
        <v>0.47274070832519655</v>
      </c>
    </row>
    <row r="336" spans="1:14" x14ac:dyDescent="0.25">
      <c r="A336" s="282" t="s">
        <v>363</v>
      </c>
      <c r="B336" s="302">
        <f>SUM(B334:B335)</f>
        <v>6.7923731173050044</v>
      </c>
      <c r="C336" s="299" t="str">
        <f>CONCATENATE("(",ROUND((B336/$H336)*100,1),")")</f>
        <v>(60.4)</v>
      </c>
      <c r="D336" s="302">
        <f>SUM(D334:D335)</f>
        <v>3.1292543887093296</v>
      </c>
      <c r="E336" s="299" t="str">
        <f>CONCATENATE("(",ROUND((D336/$H336)*100,1),")")</f>
        <v>(27.8)</v>
      </c>
      <c r="F336" s="302">
        <f>SUM(F334:F335)</f>
        <v>1.3163724939856729</v>
      </c>
      <c r="G336" s="299" t="str">
        <f>CONCATENATE("(",ROUND((F336/$H336)*100,1),")")</f>
        <v>(11.7)</v>
      </c>
      <c r="H336" s="302">
        <f>SUM(H334:H335)</f>
        <v>11.238000000000008</v>
      </c>
      <c r="I336" s="299" t="str">
        <f>CONCATENATE("(",ROUND((H336/$H336)*100,1),")")</f>
        <v>(100)</v>
      </c>
      <c r="K336" s="302">
        <f t="shared" si="256"/>
        <v>0.79783864300909002</v>
      </c>
      <c r="L336" s="302">
        <f t="shared" si="257"/>
        <v>-8.5144713362663715E-3</v>
      </c>
      <c r="M336" s="302">
        <f t="shared" si="258"/>
        <v>0.20867582832718545</v>
      </c>
      <c r="N336" s="302">
        <f t="shared" si="259"/>
        <v>0.9980000000000091</v>
      </c>
    </row>
    <row r="337" spans="1:14" x14ac:dyDescent="0.25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ht="13" x14ac:dyDescent="0.3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ht="13" x14ac:dyDescent="0.3">
      <c r="N342" s="287" t="s">
        <v>370</v>
      </c>
    </row>
    <row r="343" spans="1:14" ht="13" x14ac:dyDescent="0.3">
      <c r="A343" s="182" t="s">
        <v>371</v>
      </c>
      <c r="B343" s="373" t="s">
        <v>369</v>
      </c>
      <c r="C343" s="373"/>
      <c r="D343" s="373" t="s">
        <v>368</v>
      </c>
      <c r="E343" s="373"/>
      <c r="F343" s="373" t="s">
        <v>367</v>
      </c>
      <c r="G343" s="373"/>
      <c r="H343" s="373" t="s">
        <v>33</v>
      </c>
      <c r="I343" s="373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ht="13" x14ac:dyDescent="0.3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5">
      <c r="A345" s="282" t="s">
        <v>364</v>
      </c>
      <c r="B345" s="302">
        <f>'Ind T6'!L144</f>
        <v>9.372899094009842</v>
      </c>
      <c r="C345" s="299" t="str">
        <f>CONCATENATE("(",ROUND((B345/$H347)*100,1),")")</f>
        <v>(37.9)</v>
      </c>
      <c r="D345" s="302">
        <f>'Ind T6'!M144</f>
        <v>1.4432434329240442</v>
      </c>
      <c r="E345" s="299" t="str">
        <f>CONCATENATE("(",ROUND((D345/$H347)*100,1),")")</f>
        <v>(5.8)</v>
      </c>
      <c r="F345" s="302">
        <f>'Ind T6'!N144</f>
        <v>4.2525083616064165</v>
      </c>
      <c r="G345" s="299" t="str">
        <f>CONCATENATE("(",ROUND((F345/$H347)*100,1),")")</f>
        <v>(17.2)</v>
      </c>
      <c r="H345" s="302">
        <f>SUM(B345,D345,F345)</f>
        <v>15.068650888540303</v>
      </c>
      <c r="I345" s="299" t="str">
        <f>CONCATENATE("(",ROUND((H345/$H347)*100,1),")")</f>
        <v>(60.9)</v>
      </c>
      <c r="K345" s="302">
        <f>B350-B345</f>
        <v>0.16826382963606434</v>
      </c>
      <c r="L345" s="302">
        <f>D350-D345</f>
        <v>8.670313125627227E-2</v>
      </c>
      <c r="M345" s="302">
        <f>F350-F345</f>
        <v>0.13811834030947079</v>
      </c>
      <c r="N345" s="302">
        <f>SUM(K345:M345)</f>
        <v>0.3930853012018074</v>
      </c>
    </row>
    <row r="346" spans="1:14" x14ac:dyDescent="0.25">
      <c r="A346" s="282" t="s">
        <v>365</v>
      </c>
      <c r="B346" s="302">
        <f>'Ind T6'!L143</f>
        <v>4.9721707152368158</v>
      </c>
      <c r="C346" s="299" t="str">
        <f>CONCATENATE("(",ROUND((B346/$H347)*100,1),")")</f>
        <v>(20.1)</v>
      </c>
      <c r="D346" s="302">
        <f>'Ind T6'!M143</f>
        <v>3.5674229943904225</v>
      </c>
      <c r="E346" s="299" t="str">
        <f>CONCATENATE("(",ROUND((D346/$H347)*100,1),")")</f>
        <v>(14.4)</v>
      </c>
      <c r="F346" s="302">
        <f>'Ind T6'!N143</f>
        <v>1.1207554018324237</v>
      </c>
      <c r="G346" s="299" t="str">
        <f>CONCATENATE("(",ROUND((F346/$H347)*100,1),")")</f>
        <v>(4.5)</v>
      </c>
      <c r="H346" s="302">
        <f t="shared" ref="H346" si="260">SUM(B346,D346,F346)</f>
        <v>9.6603491114596629</v>
      </c>
      <c r="I346" s="299" t="str">
        <f>CONCATENATE("(",ROUND((H346/$H347)*100,1),")")</f>
        <v>(39.1)</v>
      </c>
      <c r="K346" s="302">
        <f t="shared" ref="K346:K347" si="261">B351-B346</f>
        <v>0.19965632328058458</v>
      </c>
      <c r="L346" s="302">
        <f t="shared" ref="L346:L347" si="262">D351-D346</f>
        <v>0.16871249980390557</v>
      </c>
      <c r="M346" s="302">
        <f t="shared" ref="M346:M347" si="263">F351-F346</f>
        <v>6.5545875713736379E-2</v>
      </c>
      <c r="N346" s="302">
        <f t="shared" ref="N346:N347" si="264">SUM(K346:M346)</f>
        <v>0.43391469879822653</v>
      </c>
    </row>
    <row r="347" spans="1:14" x14ac:dyDescent="0.25">
      <c r="A347" s="282" t="s">
        <v>363</v>
      </c>
      <c r="B347" s="302">
        <f>SUM(B345:B346)</f>
        <v>14.345069809246658</v>
      </c>
      <c r="C347" s="299" t="str">
        <f>CONCATENATE("(",ROUND((B347/$H347)*100,1),")")</f>
        <v>(58)</v>
      </c>
      <c r="D347" s="302">
        <f>SUM(D345:D346)</f>
        <v>5.010666427314467</v>
      </c>
      <c r="E347" s="299" t="str">
        <f>CONCATENATE("(",ROUND((D347/$H347)*100,1),")")</f>
        <v>(20.3)</v>
      </c>
      <c r="F347" s="302">
        <f>SUM(F345:F346)</f>
        <v>5.3732637634388407</v>
      </c>
      <c r="G347" s="299" t="str">
        <f>CONCATENATE("(",ROUND((F347/$H347)*100,1),")")</f>
        <v>(21.7)</v>
      </c>
      <c r="H347" s="302">
        <f>SUM(H345:H346)</f>
        <v>24.728999999999964</v>
      </c>
      <c r="I347" s="299" t="str">
        <f>CONCATENATE("(",ROUND((H347/$H347)*100,1),")")</f>
        <v>(100)</v>
      </c>
      <c r="K347" s="302">
        <f t="shared" si="261"/>
        <v>0.36792015291664804</v>
      </c>
      <c r="L347" s="302">
        <f t="shared" si="262"/>
        <v>0.25541563106017762</v>
      </c>
      <c r="M347" s="302">
        <f t="shared" si="263"/>
        <v>0.20366421602320628</v>
      </c>
      <c r="N347" s="302">
        <f t="shared" si="264"/>
        <v>0.82700000000003193</v>
      </c>
    </row>
    <row r="348" spans="1:14" x14ac:dyDescent="0.25">
      <c r="B348" s="302"/>
      <c r="C348" s="284"/>
      <c r="D348" s="302"/>
      <c r="E348" s="284"/>
      <c r="F348" s="302"/>
      <c r="G348" s="284"/>
      <c r="H348" s="302"/>
      <c r="I348" s="284"/>
    </row>
    <row r="349" spans="1:14" ht="13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5">
      <c r="A350" s="282" t="s">
        <v>364</v>
      </c>
      <c r="B350" s="302">
        <f>'Ind T6'!Q144</f>
        <v>9.5411629236459063</v>
      </c>
      <c r="C350" s="299" t="str">
        <f>CONCATENATE("(",ROUND((B350/$H352)*100,1),")")</f>
        <v>(37.3)</v>
      </c>
      <c r="D350" s="302">
        <f>'Ind T6'!R144</f>
        <v>1.5299465641803165</v>
      </c>
      <c r="E350" s="299" t="str">
        <f>CONCATENATE("(",ROUND((D350/$H352)*100,1),")")</f>
        <v>(6)</v>
      </c>
      <c r="F350" s="302">
        <f>'Ind T6'!S144</f>
        <v>4.3906267019158873</v>
      </c>
      <c r="G350" s="299" t="str">
        <f>CONCATENATE("(",ROUND((F350/$H352)*100,1),")")</f>
        <v>(17.2)</v>
      </c>
      <c r="H350" s="302">
        <f>SUM(B350,D350,F350)</f>
        <v>15.461736189742112</v>
      </c>
      <c r="I350" s="299" t="str">
        <f>CONCATENATE("(",ROUND((H350/$H352)*100,1),")")</f>
        <v>(60.5)</v>
      </c>
      <c r="K350" s="302">
        <f>B355-B350</f>
        <v>0.27424638195989637</v>
      </c>
      <c r="L350" s="302">
        <f>D355-D350</f>
        <v>0.14932617273258719</v>
      </c>
      <c r="M350" s="302">
        <f>F355-F350</f>
        <v>0.24155346827173307</v>
      </c>
      <c r="N350" s="302">
        <f>SUM(K350:M350)</f>
        <v>0.66512602296421663</v>
      </c>
    </row>
    <row r="351" spans="1:14" x14ac:dyDescent="0.25">
      <c r="A351" s="282" t="s">
        <v>365</v>
      </c>
      <c r="B351" s="302">
        <f>'Ind T6'!Q143</f>
        <v>5.1718270385174003</v>
      </c>
      <c r="C351" s="299" t="str">
        <f>CONCATENATE("(",ROUND((B351/$H352)*100,1),")")</f>
        <v>(20.2)</v>
      </c>
      <c r="D351" s="302">
        <f>'Ind T6'!R143</f>
        <v>3.7361354941943281</v>
      </c>
      <c r="E351" s="299" t="str">
        <f>CONCATENATE("(",ROUND((D351/$H352)*100,1),")")</f>
        <v>(14.6)</v>
      </c>
      <c r="F351" s="302">
        <f>'Ind T6'!S143</f>
        <v>1.1863012775461601</v>
      </c>
      <c r="G351" s="299" t="str">
        <f>CONCATENATE("(",ROUND((F351/$H352)*100,1),")")</f>
        <v>(4.6)</v>
      </c>
      <c r="H351" s="302">
        <f t="shared" ref="H351" si="265">SUM(B351,D351,F351)</f>
        <v>10.094263810257889</v>
      </c>
      <c r="I351" s="299" t="str">
        <f>CONCATENATE("(",ROUND((H351/$H352)*100,1),")")</f>
        <v>(39.5)</v>
      </c>
      <c r="K351" s="302">
        <f t="shared" ref="K351:K352" si="266">B356-B351</f>
        <v>0.30829705876180924</v>
      </c>
      <c r="L351" s="302">
        <f t="shared" ref="L351:L352" si="267">D356-D351</f>
        <v>0.24645087528558784</v>
      </c>
      <c r="M351" s="302">
        <f t="shared" ref="M351:M352" si="268">F356-F351</f>
        <v>0.11712604298843687</v>
      </c>
      <c r="N351" s="302">
        <f t="shared" ref="N351:N352" si="269">SUM(K351:M351)</f>
        <v>0.67187397703583396</v>
      </c>
    </row>
    <row r="352" spans="1:14" x14ac:dyDescent="0.25">
      <c r="A352" s="282" t="s">
        <v>363</v>
      </c>
      <c r="B352" s="302">
        <f>SUM(B350:B351)</f>
        <v>14.712989962163306</v>
      </c>
      <c r="C352" s="299" t="str">
        <f>CONCATENATE("(",ROUND((B352/$H352)*100,1),")")</f>
        <v>(57.6)</v>
      </c>
      <c r="D352" s="302">
        <f>SUM(D350:D351)</f>
        <v>5.2660820583746446</v>
      </c>
      <c r="E352" s="299" t="str">
        <f>CONCATENATE("(",ROUND((D352/$H352)*100,1),")")</f>
        <v>(20.6)</v>
      </c>
      <c r="F352" s="302">
        <f>SUM(F350:F351)</f>
        <v>5.576927979462047</v>
      </c>
      <c r="G352" s="299" t="str">
        <f>CONCATENATE("(",ROUND((F352/$H352)*100,1),")")</f>
        <v>(21.8)</v>
      </c>
      <c r="H352" s="302">
        <f>SUM(H350:H351)</f>
        <v>25.556000000000001</v>
      </c>
      <c r="I352" s="299" t="str">
        <f>CONCATENATE("(",ROUND((H352/$H352)*100,1),")")</f>
        <v>(100)</v>
      </c>
      <c r="K352" s="302">
        <f t="shared" si="266"/>
        <v>0.58254344072170738</v>
      </c>
      <c r="L352" s="302">
        <f t="shared" si="267"/>
        <v>0.39577704801817504</v>
      </c>
      <c r="M352" s="302">
        <f t="shared" si="268"/>
        <v>0.35867951126017061</v>
      </c>
      <c r="N352" s="302">
        <f t="shared" si="269"/>
        <v>1.337000000000053</v>
      </c>
    </row>
    <row r="353" spans="1:14" x14ac:dyDescent="0.25">
      <c r="B353" s="302"/>
      <c r="C353" s="284"/>
      <c r="D353" s="302"/>
      <c r="E353" s="284"/>
      <c r="F353" s="302"/>
      <c r="G353" s="284"/>
      <c r="H353" s="302"/>
      <c r="I353" s="284"/>
    </row>
    <row r="354" spans="1:14" ht="13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5">
      <c r="A355" s="282" t="s">
        <v>364</v>
      </c>
      <c r="B355" s="302">
        <f>'Ind T6'!V144</f>
        <v>9.8154093056058027</v>
      </c>
      <c r="C355" s="299" t="str">
        <f>CONCATENATE("(",ROUND((B355/$H357)*100,1),")")</f>
        <v>(36.5)</v>
      </c>
      <c r="D355" s="302">
        <f>'Ind T6'!W144</f>
        <v>1.6792727369129037</v>
      </c>
      <c r="E355" s="299" t="str">
        <f>CONCATENATE("(",ROUND((D355/$H357)*100,1),")")</f>
        <v>(6.2)</v>
      </c>
      <c r="F355" s="302">
        <f>'Ind T6'!X144</f>
        <v>4.6321801701876204</v>
      </c>
      <c r="G355" s="299" t="str">
        <f>CONCATENATE("(",ROUND((F355/$H357)*100,1),")")</f>
        <v>(17.2)</v>
      </c>
      <c r="H355" s="302">
        <f>SUM(B355,D355,F355)</f>
        <v>16.126862212706328</v>
      </c>
      <c r="I355" s="299" t="str">
        <f>CONCATENATE("(",ROUND((H355/$H357)*100,1),")")</f>
        <v>(60)</v>
      </c>
      <c r="K355" s="302">
        <f>B355-B345</f>
        <v>0.44251021159596071</v>
      </c>
      <c r="L355" s="302">
        <f>D355-D345</f>
        <v>0.23602930398885946</v>
      </c>
      <c r="M355" s="302">
        <f>F355-F345</f>
        <v>0.37967180858120386</v>
      </c>
      <c r="N355" s="302">
        <f>SUM(K355:M355)</f>
        <v>1.058211324166024</v>
      </c>
    </row>
    <row r="356" spans="1:14" x14ac:dyDescent="0.25">
      <c r="A356" s="282" t="s">
        <v>365</v>
      </c>
      <c r="B356" s="302">
        <f>'Ind T6'!V143</f>
        <v>5.4801240972792096</v>
      </c>
      <c r="C356" s="299" t="str">
        <f>CONCATENATE("(",ROUND((B356/$H357)*100,1),")")</f>
        <v>(20.4)</v>
      </c>
      <c r="D356" s="302">
        <f>'Ind T6'!W143</f>
        <v>3.982586369479916</v>
      </c>
      <c r="E356" s="299" t="str">
        <f>CONCATENATE("(",ROUND((D356/$H357)*100,1),")")</f>
        <v>(14.8)</v>
      </c>
      <c r="F356" s="302">
        <f>'Ind T6'!X143</f>
        <v>1.303427320534597</v>
      </c>
      <c r="G356" s="299" t="str">
        <f>CONCATENATE("(",ROUND((F356/$H357)*100,1),")")</f>
        <v>(4.8)</v>
      </c>
      <c r="H356" s="302">
        <f t="shared" ref="H356" si="270">SUM(B356,D356,F356)</f>
        <v>10.766137787293722</v>
      </c>
      <c r="I356" s="299" t="str">
        <f>CONCATENATE("(",ROUND((H356/$H357)*100,1),")")</f>
        <v>(40)</v>
      </c>
      <c r="K356" s="302">
        <f t="shared" ref="K356:K357" si="271">B356-B346</f>
        <v>0.50795338204239382</v>
      </c>
      <c r="L356" s="302">
        <f t="shared" ref="L356:L357" si="272">D356-D346</f>
        <v>0.41516337508949341</v>
      </c>
      <c r="M356" s="302">
        <f t="shared" ref="M356:M357" si="273">F356-F346</f>
        <v>0.18267191870217325</v>
      </c>
      <c r="N356" s="302">
        <f t="shared" ref="N356:N357" si="274">SUM(K356:M356)</f>
        <v>1.1057886758340605</v>
      </c>
    </row>
    <row r="357" spans="1:14" x14ac:dyDescent="0.25">
      <c r="A357" s="282" t="s">
        <v>363</v>
      </c>
      <c r="B357" s="302">
        <f>SUM(B355:B356)</f>
        <v>15.295533402885013</v>
      </c>
      <c r="C357" s="299" t="str">
        <f>CONCATENATE("(",ROUND((B357/$H357)*100,1),")")</f>
        <v>(56.9)</v>
      </c>
      <c r="D357" s="302">
        <f>SUM(D355:D356)</f>
        <v>5.6618591063928196</v>
      </c>
      <c r="E357" s="299" t="str">
        <f>CONCATENATE("(",ROUND((D357/$H357)*100,1),")")</f>
        <v>(21.1)</v>
      </c>
      <c r="F357" s="302">
        <f>SUM(F355:F356)</f>
        <v>5.9356074907222176</v>
      </c>
      <c r="G357" s="299" t="str">
        <f>CONCATENATE("(",ROUND((F357/$H357)*100,1),")")</f>
        <v>(22.1)</v>
      </c>
      <c r="H357" s="302">
        <f>SUM(H355:H356)</f>
        <v>26.89300000000005</v>
      </c>
      <c r="I357" s="299" t="str">
        <f>CONCATENATE("(",ROUND((H357/$H357)*100,1),")")</f>
        <v>(100)</v>
      </c>
      <c r="K357" s="302">
        <f t="shared" si="271"/>
        <v>0.95046359363835542</v>
      </c>
      <c r="L357" s="302">
        <f t="shared" si="272"/>
        <v>0.65119267907835265</v>
      </c>
      <c r="M357" s="302">
        <f t="shared" si="273"/>
        <v>0.56234372728337689</v>
      </c>
      <c r="N357" s="302">
        <f t="shared" si="274"/>
        <v>2.164000000000085</v>
      </c>
    </row>
    <row r="358" spans="1:14" x14ac:dyDescent="0.25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ht="13" x14ac:dyDescent="0.3">
      <c r="C361" s="182"/>
      <c r="E361" s="182"/>
      <c r="G361" s="182"/>
      <c r="I361" s="182"/>
    </row>
    <row r="362" spans="1:14" ht="13" x14ac:dyDescent="0.3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ht="13" x14ac:dyDescent="0.3">
      <c r="N363" s="287" t="s">
        <v>370</v>
      </c>
    </row>
    <row r="364" spans="1:14" ht="13" x14ac:dyDescent="0.3">
      <c r="A364" s="182" t="s">
        <v>371</v>
      </c>
      <c r="B364" s="373" t="s">
        <v>369</v>
      </c>
      <c r="C364" s="373"/>
      <c r="D364" s="373" t="s">
        <v>368</v>
      </c>
      <c r="E364" s="373"/>
      <c r="F364" s="373" t="s">
        <v>367</v>
      </c>
      <c r="G364" s="373"/>
      <c r="H364" s="373" t="s">
        <v>33</v>
      </c>
      <c r="I364" s="373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ht="13" x14ac:dyDescent="0.3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5">
      <c r="A366" s="282" t="s">
        <v>364</v>
      </c>
      <c r="B366" s="302">
        <f>'Ind T6'!L153</f>
        <v>12.581782399296857</v>
      </c>
      <c r="C366" s="299" t="str">
        <f>CONCATENATE("(",ROUND((B366/$H368)*100,1),")")</f>
        <v>(39.1)</v>
      </c>
      <c r="D366" s="302">
        <f>'Ind T6'!M153</f>
        <v>4.4323517995482824</v>
      </c>
      <c r="E366" s="299" t="str">
        <f>CONCATENATE("(",ROUND((D366/$H368)*100,1),")")</f>
        <v>(13.8)</v>
      </c>
      <c r="F366" s="302">
        <f>'Ind T6'!N153</f>
        <v>1.2129583032019806</v>
      </c>
      <c r="G366" s="299" t="str">
        <f>CONCATENATE("(",ROUND((F366/$H368)*100,1),")")</f>
        <v>(3.8)</v>
      </c>
      <c r="H366" s="302">
        <f>SUM(B366,D366,F366)</f>
        <v>18.227092502047121</v>
      </c>
      <c r="I366" s="299" t="str">
        <f>CONCATENATE("(",ROUND((H366/$H368)*100,1),")")</f>
        <v>(56.7)</v>
      </c>
      <c r="K366" s="302">
        <f>B371-B366</f>
        <v>0.68034042552097418</v>
      </c>
      <c r="L366" s="302">
        <f>D371-D366</f>
        <v>0.23016660633294528</v>
      </c>
      <c r="M366" s="302">
        <f>F371-F366</f>
        <v>4.564851300360373E-2</v>
      </c>
      <c r="N366" s="302">
        <f>SUM(K366:M366)</f>
        <v>0.95615554485752319</v>
      </c>
    </row>
    <row r="367" spans="1:14" x14ac:dyDescent="0.25">
      <c r="A367" s="282" t="s">
        <v>365</v>
      </c>
      <c r="B367" s="302">
        <f>'Ind T6'!L152</f>
        <v>6.4415799888387504</v>
      </c>
      <c r="C367" s="299" t="str">
        <f>CONCATENATE("(",ROUND((B367/$H368)*100,1),")")</f>
        <v>(20)</v>
      </c>
      <c r="D367" s="302">
        <f>'Ind T6'!M152</f>
        <v>6.0683825109222838</v>
      </c>
      <c r="E367" s="299" t="str">
        <f>CONCATENATE("(",ROUND((D367/$H368)*100,1),")")</f>
        <v>(18.9)</v>
      </c>
      <c r="F367" s="302">
        <f>'Ind T6'!N152</f>
        <v>1.4309449981918625</v>
      </c>
      <c r="G367" s="299" t="str">
        <f>CONCATENATE("(",ROUND((F367/$H368)*100,1),")")</f>
        <v>(4.4)</v>
      </c>
      <c r="H367" s="302">
        <f t="shared" ref="H367" si="275">SUM(B367,D367,F367)</f>
        <v>13.940907497952896</v>
      </c>
      <c r="I367" s="299" t="str">
        <f>CONCATENATE("(",ROUND((H367/$H368)*100,1),")")</f>
        <v>(43.3)</v>
      </c>
      <c r="K367" s="302">
        <f t="shared" ref="K367:K368" si="276">B372-B367</f>
        <v>0.47064557154286302</v>
      </c>
      <c r="L367" s="302">
        <f t="shared" ref="L367:L368" si="277">D372-D367</f>
        <v>0.20797345381098342</v>
      </c>
      <c r="M367" s="302">
        <f t="shared" ref="M367:M368" si="278">F372-F367</f>
        <v>5.2225429788655964E-2</v>
      </c>
      <c r="N367" s="302">
        <f t="shared" ref="N367:N368" si="279">SUM(K367:M367)</f>
        <v>0.7308444551425024</v>
      </c>
    </row>
    <row r="368" spans="1:14" x14ac:dyDescent="0.25">
      <c r="A368" s="282" t="s">
        <v>363</v>
      </c>
      <c r="B368" s="302">
        <f>SUM(B366:B367)</f>
        <v>19.02336238813561</v>
      </c>
      <c r="C368" s="299" t="str">
        <f>CONCATENATE("(",ROUND((B368/$H368)*100,1),")")</f>
        <v>(59.1)</v>
      </c>
      <c r="D368" s="302">
        <f>SUM(D366:D367)</f>
        <v>10.500734310470566</v>
      </c>
      <c r="E368" s="299" t="str">
        <f>CONCATENATE("(",ROUND((D368/$H368)*100,1),")")</f>
        <v>(32.6)</v>
      </c>
      <c r="F368" s="302">
        <f>SUM(F366:F367)</f>
        <v>2.6439033013938431</v>
      </c>
      <c r="G368" s="299" t="str">
        <f>CONCATENATE("(",ROUND((F368/$H368)*100,1),")")</f>
        <v>(8.2)</v>
      </c>
      <c r="H368" s="302">
        <f>SUM(H366:H367)</f>
        <v>32.168000000000021</v>
      </c>
      <c r="I368" s="299" t="str">
        <f>CONCATENATE("(",ROUND((H368/$H368)*100,1),")")</f>
        <v>(100)</v>
      </c>
      <c r="K368" s="302">
        <f t="shared" si="276"/>
        <v>1.1509859970638345</v>
      </c>
      <c r="L368" s="302">
        <f t="shared" si="277"/>
        <v>0.43814006014392959</v>
      </c>
      <c r="M368" s="302">
        <f t="shared" si="278"/>
        <v>9.7873942792259694E-2</v>
      </c>
      <c r="N368" s="302">
        <f t="shared" si="279"/>
        <v>1.6870000000000238</v>
      </c>
    </row>
    <row r="369" spans="1:14" x14ac:dyDescent="0.25">
      <c r="B369" s="302"/>
      <c r="C369" s="284"/>
      <c r="D369" s="302"/>
      <c r="E369" s="284"/>
      <c r="F369" s="302"/>
      <c r="G369" s="284"/>
      <c r="H369" s="302"/>
      <c r="I369" s="284"/>
    </row>
    <row r="370" spans="1:14" ht="13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5">
      <c r="A371" s="282" t="s">
        <v>364</v>
      </c>
      <c r="B371" s="302">
        <f>'Ind T6'!Q153</f>
        <v>13.262122824817832</v>
      </c>
      <c r="C371" s="299" t="str">
        <f>CONCATENATE("(",ROUND((B371/$H373)*100,1),")")</f>
        <v>(39.2)</v>
      </c>
      <c r="D371" s="302">
        <f>'Ind T6'!R153</f>
        <v>4.6625184058812277</v>
      </c>
      <c r="E371" s="299" t="str">
        <f>CONCATENATE("(",ROUND((D371/$H373)*100,1),")")</f>
        <v>(13.8)</v>
      </c>
      <c r="F371" s="302">
        <f>'Ind T6'!S153</f>
        <v>1.2586068162055843</v>
      </c>
      <c r="G371" s="299" t="str">
        <f>CONCATENATE("(",ROUND((F371/$H373)*100,1),")")</f>
        <v>(3.7)</v>
      </c>
      <c r="H371" s="302">
        <f>SUM(B371,D371,F371)</f>
        <v>19.183248046904644</v>
      </c>
      <c r="I371" s="299" t="str">
        <f>CONCATENATE("(",ROUND((H371/$H373)*100,1),")")</f>
        <v>(56.7)</v>
      </c>
      <c r="K371" s="302">
        <f>B376-B371</f>
        <v>0.75166323260710044</v>
      </c>
      <c r="L371" s="302">
        <f>D376-D371</f>
        <v>0.21913779187430915</v>
      </c>
      <c r="M371" s="302">
        <f>F376-F371</f>
        <v>7.5247216373542036E-2</v>
      </c>
      <c r="N371" s="302">
        <f>SUM(K371:M371)</f>
        <v>1.0460482408549516</v>
      </c>
    </row>
    <row r="372" spans="1:14" x14ac:dyDescent="0.25">
      <c r="A372" s="282" t="s">
        <v>365</v>
      </c>
      <c r="B372" s="302">
        <f>'Ind T6'!Q152</f>
        <v>6.9122255603816134</v>
      </c>
      <c r="C372" s="299" t="str">
        <f>CONCATENATE("(",ROUND((B372/$H373)*100,1),")")</f>
        <v>(20.4)</v>
      </c>
      <c r="D372" s="302">
        <f>'Ind T6'!R152</f>
        <v>6.2763559647332672</v>
      </c>
      <c r="E372" s="299" t="str">
        <f>CONCATENATE("(",ROUND((D372/$H373)*100,1),")")</f>
        <v>(18.5)</v>
      </c>
      <c r="F372" s="302">
        <f>'Ind T6'!S152</f>
        <v>1.4831704279805185</v>
      </c>
      <c r="G372" s="299" t="str">
        <f>CONCATENATE("(",ROUND((F372/$H373)*100,1),")")</f>
        <v>(4.4)</v>
      </c>
      <c r="H372" s="302">
        <f t="shared" ref="H372" si="280">SUM(B372,D372,F372)</f>
        <v>14.671751953095399</v>
      </c>
      <c r="I372" s="299" t="str">
        <f>CONCATENATE("(",ROUND((H372/$H373)*100,1),")")</f>
        <v>(43.3)</v>
      </c>
      <c r="K372" s="302">
        <f t="shared" ref="K372:K373" si="281">B377-B372</f>
        <v>0.55473142750364612</v>
      </c>
      <c r="L372" s="302">
        <f t="shared" ref="L372:L373" si="282">D377-D372</f>
        <v>0.12905494204136403</v>
      </c>
      <c r="M372" s="302">
        <f t="shared" ref="M372:M373" si="283">F377-F372</f>
        <v>9.8165389599984998E-2</v>
      </c>
      <c r="N372" s="302">
        <f t="shared" ref="N372:N373" si="284">SUM(K372:M372)</f>
        <v>0.78195175914499515</v>
      </c>
    </row>
    <row r="373" spans="1:14" x14ac:dyDescent="0.25">
      <c r="A373" s="282" t="s">
        <v>363</v>
      </c>
      <c r="B373" s="302">
        <f>SUM(B371:B372)</f>
        <v>20.174348385199444</v>
      </c>
      <c r="C373" s="299" t="str">
        <f>CONCATENATE("(",ROUND((B373/$H373)*100,1),")")</f>
        <v>(59.6)</v>
      </c>
      <c r="D373" s="302">
        <f>SUM(D371:D372)</f>
        <v>10.938874370614496</v>
      </c>
      <c r="E373" s="299" t="str">
        <f>CONCATENATE("(",ROUND((D373/$H373)*100,1),")")</f>
        <v>(32.3)</v>
      </c>
      <c r="F373" s="302">
        <f>SUM(F371:F372)</f>
        <v>2.7417772441861028</v>
      </c>
      <c r="G373" s="299" t="str">
        <f>CONCATENATE("(",ROUND((F373/$H373)*100,1),")")</f>
        <v>(8.1)</v>
      </c>
      <c r="H373" s="302">
        <f>SUM(H371:H372)</f>
        <v>33.855000000000047</v>
      </c>
      <c r="I373" s="299" t="str">
        <f>CONCATENATE("(",ROUND((H373/$H373)*100,1),")")</f>
        <v>(100)</v>
      </c>
      <c r="K373" s="302">
        <f t="shared" si="281"/>
        <v>1.3063946601107475</v>
      </c>
      <c r="L373" s="302">
        <f t="shared" si="282"/>
        <v>0.34819273391567229</v>
      </c>
      <c r="M373" s="302">
        <f t="shared" si="283"/>
        <v>0.17341260597352681</v>
      </c>
      <c r="N373" s="302">
        <f t="shared" si="284"/>
        <v>1.8279999999999466</v>
      </c>
    </row>
    <row r="374" spans="1:14" x14ac:dyDescent="0.25">
      <c r="B374" s="302"/>
      <c r="C374" s="284"/>
      <c r="D374" s="302"/>
      <c r="E374" s="284"/>
      <c r="F374" s="302"/>
      <c r="G374" s="284"/>
      <c r="H374" s="302"/>
      <c r="I374" s="284"/>
    </row>
    <row r="375" spans="1:14" ht="13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5">
      <c r="A376" s="282" t="s">
        <v>364</v>
      </c>
      <c r="B376" s="302">
        <f>'Ind T6'!V153</f>
        <v>14.013786057424932</v>
      </c>
      <c r="C376" s="299" t="str">
        <f>CONCATENATE("(",ROUND((B376/$H378)*100,1),")")</f>
        <v>(39.3)</v>
      </c>
      <c r="D376" s="302">
        <f>'Ind T6'!W153</f>
        <v>4.8816561977555368</v>
      </c>
      <c r="E376" s="299" t="str">
        <f>CONCATENATE("(",ROUND((D376/$H378)*100,1),")")</f>
        <v>(13.7)</v>
      </c>
      <c r="F376" s="302">
        <f>'Ind T6'!X153</f>
        <v>1.3338540325791264</v>
      </c>
      <c r="G376" s="299" t="str">
        <f>CONCATENATE("(",ROUND((F376/$H378)*100,1),")")</f>
        <v>(3.7)</v>
      </c>
      <c r="H376" s="302">
        <f>SUM(B376,D376,F376)</f>
        <v>20.229296287759595</v>
      </c>
      <c r="I376" s="299" t="str">
        <f>CONCATENATE("(",ROUND((H376/$H378)*100,1),")")</f>
        <v>(56.7)</v>
      </c>
      <c r="K376" s="302">
        <f>B376-B366</f>
        <v>1.4320036581280746</v>
      </c>
      <c r="L376" s="302">
        <f>D376-D366</f>
        <v>0.44930439820725443</v>
      </c>
      <c r="M376" s="302">
        <f>F376-F366</f>
        <v>0.12089572937714577</v>
      </c>
      <c r="N376" s="302">
        <f>SUM(K376:M376)</f>
        <v>2.0022037857124748</v>
      </c>
    </row>
    <row r="377" spans="1:14" x14ac:dyDescent="0.25">
      <c r="A377" s="282" t="s">
        <v>365</v>
      </c>
      <c r="B377" s="302">
        <f>'Ind T6'!V152</f>
        <v>7.4669569878852595</v>
      </c>
      <c r="C377" s="299" t="str">
        <f>CONCATENATE("(",ROUND((B377/$H378)*100,1),")")</f>
        <v>(20.9)</v>
      </c>
      <c r="D377" s="302">
        <f>'Ind T6'!W152</f>
        <v>6.4054109067746312</v>
      </c>
      <c r="E377" s="299" t="str">
        <f>CONCATENATE("(",ROUND((D377/$H378)*100,1),")")</f>
        <v>(18)</v>
      </c>
      <c r="F377" s="302">
        <f>'Ind T6'!X152</f>
        <v>1.5813358175805035</v>
      </c>
      <c r="G377" s="299" t="str">
        <f>CONCATENATE("(",ROUND((F377/$H378)*100,1),")")</f>
        <v>(4.4)</v>
      </c>
      <c r="H377" s="302">
        <f t="shared" ref="H377" si="285">SUM(B377,D377,F377)</f>
        <v>15.453703712240396</v>
      </c>
      <c r="I377" s="299" t="str">
        <f>CONCATENATE("(",ROUND((H377/$H378)*100,1),")")</f>
        <v>(43.3)</v>
      </c>
      <c r="K377" s="302">
        <f t="shared" ref="K377:K378" si="286">B377-B367</f>
        <v>1.0253769990465091</v>
      </c>
      <c r="L377" s="302">
        <f t="shared" ref="L377:L378" si="287">D377-D367</f>
        <v>0.33702839585234745</v>
      </c>
      <c r="M377" s="302">
        <f t="shared" ref="M377:M378" si="288">F377-F367</f>
        <v>0.15039081938864096</v>
      </c>
      <c r="N377" s="302">
        <f t="shared" ref="N377:N378" si="289">SUM(K377:M377)</f>
        <v>1.5127962142874976</v>
      </c>
    </row>
    <row r="378" spans="1:14" x14ac:dyDescent="0.25">
      <c r="A378" s="282" t="s">
        <v>363</v>
      </c>
      <c r="B378" s="302">
        <f>SUM(B376:B377)</f>
        <v>21.480743045310192</v>
      </c>
      <c r="C378" s="299" t="str">
        <f>CONCATENATE("(",ROUND((B378/$H378)*100,1),")")</f>
        <v>(60.2)</v>
      </c>
      <c r="D378" s="302">
        <f>SUM(D376:D377)</f>
        <v>11.287067104530168</v>
      </c>
      <c r="E378" s="299" t="str">
        <f>CONCATENATE("(",ROUND((D378/$H378)*100,1),")")</f>
        <v>(31.6)</v>
      </c>
      <c r="F378" s="302">
        <f>SUM(F376:F377)</f>
        <v>2.9151898501596296</v>
      </c>
      <c r="G378" s="299" t="str">
        <f>CONCATENATE("(",ROUND((F378/$H378)*100,1),")")</f>
        <v>(8.2)</v>
      </c>
      <c r="H378" s="302">
        <f>SUM(H376:H377)</f>
        <v>35.682999999999993</v>
      </c>
      <c r="I378" s="299" t="str">
        <f>CONCATENATE("(",ROUND((H378/$H378)*100,1),")")</f>
        <v>(100)</v>
      </c>
      <c r="K378" s="302">
        <f t="shared" si="286"/>
        <v>2.457380657174582</v>
      </c>
      <c r="L378" s="302">
        <f t="shared" si="287"/>
        <v>0.78633279405960188</v>
      </c>
      <c r="M378" s="302">
        <f t="shared" si="288"/>
        <v>0.27128654876578651</v>
      </c>
      <c r="N378" s="302">
        <f t="shared" si="289"/>
        <v>3.5149999999999704</v>
      </c>
    </row>
    <row r="379" spans="1:14" x14ac:dyDescent="0.25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ht="13" x14ac:dyDescent="0.3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ht="13" x14ac:dyDescent="0.3">
      <c r="N384" s="287" t="s">
        <v>370</v>
      </c>
    </row>
    <row r="385" spans="1:14" ht="13" x14ac:dyDescent="0.3">
      <c r="A385" s="182" t="s">
        <v>371</v>
      </c>
      <c r="B385" s="373" t="s">
        <v>369</v>
      </c>
      <c r="C385" s="373"/>
      <c r="D385" s="373" t="s">
        <v>368</v>
      </c>
      <c r="E385" s="373"/>
      <c r="F385" s="373" t="s">
        <v>367</v>
      </c>
      <c r="G385" s="373"/>
      <c r="H385" s="373" t="s">
        <v>33</v>
      </c>
      <c r="I385" s="373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ht="13" x14ac:dyDescent="0.3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5">
      <c r="A387" s="282" t="s">
        <v>364</v>
      </c>
      <c r="B387" s="302">
        <f>'Ind T6'!L162</f>
        <v>5.37831749659306</v>
      </c>
      <c r="C387" s="299" t="str">
        <f>CONCATENATE("(",ROUND((B387/$H389)*100,1),")")</f>
        <v>(35.2)</v>
      </c>
      <c r="D387" s="302">
        <f>'Ind T6'!M162</f>
        <v>0.75960737922340005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6.1379248758164602</v>
      </c>
      <c r="I387" s="299" t="str">
        <f>CONCATENATE("(",ROUND((H387/$H389)*100,1),")")</f>
        <v>(40.2)</v>
      </c>
      <c r="K387" s="302">
        <f>B392-B387</f>
        <v>6.3145922555634115E-3</v>
      </c>
      <c r="L387" s="302">
        <f>D392-D387</f>
        <v>5.8389724564652856E-2</v>
      </c>
      <c r="M387" s="302">
        <f>F392-F387</f>
        <v>0</v>
      </c>
      <c r="N387" s="302">
        <f>SUM(K387:M387)</f>
        <v>6.4704316820216268E-2</v>
      </c>
    </row>
    <row r="388" spans="1:14" x14ac:dyDescent="0.25">
      <c r="A388" s="282" t="s">
        <v>365</v>
      </c>
      <c r="B388" s="302">
        <f>'Ind T6'!L161</f>
        <v>4.732441209408921</v>
      </c>
      <c r="C388" s="299" t="str">
        <f>CONCATENATE("(",ROUND((B388/$H389)*100,1),")")</f>
        <v>(31)</v>
      </c>
      <c r="D388" s="302">
        <f>'Ind T6'!M161</f>
        <v>4.1334143778165151</v>
      </c>
      <c r="E388" s="299" t="str">
        <f>CONCATENATE("(",ROUND((D388/$H389)*100,1),")")</f>
        <v>(27)</v>
      </c>
      <c r="F388" s="302">
        <f>'Ind T6'!N161</f>
        <v>0.27721953695810336</v>
      </c>
      <c r="G388" s="299" t="str">
        <f>CONCATENATE("(",ROUND((F388/$H389)*100,1),")")</f>
        <v>(1.8)</v>
      </c>
      <c r="H388" s="302">
        <f t="shared" ref="H388" si="290">SUM(B388,D388,F388)</f>
        <v>9.1430751241835395</v>
      </c>
      <c r="I388" s="299" t="str">
        <f>CONCATENATE("(",ROUND((H388/$H389)*100,1),")")</f>
        <v>(59.8)</v>
      </c>
      <c r="K388" s="302">
        <f t="shared" ref="K388:K389" si="291">B393-B388</f>
        <v>0.10321124477229215</v>
      </c>
      <c r="L388" s="302">
        <f t="shared" ref="L388:L389" si="292">D393-D388</f>
        <v>9.8693577538261579E-2</v>
      </c>
      <c r="M388" s="302">
        <f t="shared" ref="M388:M389" si="293">F393-F388</f>
        <v>6.3908608692236912E-3</v>
      </c>
      <c r="N388" s="302">
        <f t="shared" ref="N388:N389" si="294">SUM(K388:M388)</f>
        <v>0.20829568317977742</v>
      </c>
    </row>
    <row r="389" spans="1:14" x14ac:dyDescent="0.25">
      <c r="A389" s="282" t="s">
        <v>363</v>
      </c>
      <c r="B389" s="302">
        <f>SUM(B387:B388)</f>
        <v>10.110758706001981</v>
      </c>
      <c r="C389" s="299" t="str">
        <f>CONCATENATE("(",ROUND((B389/$H389)*100,1),")")</f>
        <v>(66.2)</v>
      </c>
      <c r="D389" s="302">
        <f>SUM(D387:D388)</f>
        <v>4.8930217570399153</v>
      </c>
      <c r="E389" s="299" t="str">
        <f>CONCATENATE("(",ROUND((D389/$H389)*100,1),")")</f>
        <v>(32)</v>
      </c>
      <c r="F389" s="302">
        <f>SUM(F387:F388)</f>
        <v>0.27721953695810336</v>
      </c>
      <c r="G389" s="299" t="str">
        <f>CONCATENATE("(",ROUND((F389/$H389)*100,1),")")</f>
        <v>(1.8)</v>
      </c>
      <c r="H389" s="302">
        <f>SUM(H387:H388)</f>
        <v>15.280999999999999</v>
      </c>
      <c r="I389" s="299" t="str">
        <f>CONCATENATE("(",ROUND((H389/$H389)*100,1),")")</f>
        <v>(100)</v>
      </c>
      <c r="K389" s="302">
        <f t="shared" si="291"/>
        <v>0.10952583702785645</v>
      </c>
      <c r="L389" s="302">
        <f t="shared" si="292"/>
        <v>0.15708330210291432</v>
      </c>
      <c r="M389" s="302">
        <f t="shared" si="293"/>
        <v>6.3908608692236912E-3</v>
      </c>
      <c r="N389" s="302">
        <f t="shared" si="294"/>
        <v>0.27299999999999447</v>
      </c>
    </row>
    <row r="390" spans="1:14" x14ac:dyDescent="0.25">
      <c r="B390" s="302"/>
      <c r="C390" s="284"/>
      <c r="D390" s="302"/>
      <c r="E390" s="284"/>
      <c r="F390" s="302"/>
      <c r="G390" s="284"/>
      <c r="H390" s="302"/>
      <c r="I390" s="284"/>
    </row>
    <row r="391" spans="1:14" ht="13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5">
      <c r="A392" s="282" t="s">
        <v>364</v>
      </c>
      <c r="B392" s="302">
        <f>'Ind T6'!Q162</f>
        <v>5.3846320888486234</v>
      </c>
      <c r="C392" s="299" t="str">
        <f>CONCATENATE("(",ROUND((B392/$H394)*100,1),")")</f>
        <v>(34.6)</v>
      </c>
      <c r="D392" s="302">
        <f>'Ind T6'!R162</f>
        <v>0.8179971037880529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6.2026291926366763</v>
      </c>
      <c r="I392" s="299" t="str">
        <f>CONCATENATE("(",ROUND((H392/$H394)*100,1),")")</f>
        <v>(39.9)</v>
      </c>
      <c r="K392" s="302">
        <f>B397-B392</f>
        <v>4.9043796222045799E-2</v>
      </c>
      <c r="L392" s="302">
        <f>D397-D392</f>
        <v>0.13131689599920848</v>
      </c>
      <c r="M392" s="302">
        <f>F397-F392</f>
        <v>0</v>
      </c>
      <c r="N392" s="302">
        <f>SUM(K392:M392)</f>
        <v>0.18036069222125428</v>
      </c>
    </row>
    <row r="393" spans="1:14" x14ac:dyDescent="0.25">
      <c r="A393" s="282" t="s">
        <v>365</v>
      </c>
      <c r="B393" s="302">
        <f>'Ind T6'!Q161</f>
        <v>4.8356524541812131</v>
      </c>
      <c r="C393" s="299" t="str">
        <f>CONCATENATE("(",ROUND((B393/$H394)*100,1),")")</f>
        <v>(31.1)</v>
      </c>
      <c r="D393" s="302">
        <f>'Ind T6'!R161</f>
        <v>4.2321079553547767</v>
      </c>
      <c r="E393" s="299" t="str">
        <f>CONCATENATE("(",ROUND((D393/$H394)*100,1),")")</f>
        <v>(27.2)</v>
      </c>
      <c r="F393" s="302">
        <f>'Ind T6'!S161</f>
        <v>0.28361039782732705</v>
      </c>
      <c r="G393" s="299" t="str">
        <f>CONCATENATE("(",ROUND((F393/$H394)*100,1),")")</f>
        <v>(1.8)</v>
      </c>
      <c r="H393" s="302">
        <f t="shared" ref="H393" si="295">SUM(B393,D393,F393)</f>
        <v>9.3513708073633168</v>
      </c>
      <c r="I393" s="299" t="str">
        <f>CONCATENATE("(",ROUND((H393/$H394)*100,1),")")</f>
        <v>(60.1)</v>
      </c>
      <c r="K393" s="302">
        <f t="shared" ref="K393:K394" si="296">B398-B393</f>
        <v>0.25137541630809412</v>
      </c>
      <c r="L393" s="302">
        <f t="shared" ref="L393:L394" si="297">D398-D393</f>
        <v>0.22193810076778764</v>
      </c>
      <c r="M393" s="302">
        <f t="shared" ref="M393:M394" si="298">F398-F393</f>
        <v>1.7325790702840127E-2</v>
      </c>
      <c r="N393" s="302">
        <f t="shared" ref="N393:N394" si="299">SUM(K393:M393)</f>
        <v>0.49063930777872189</v>
      </c>
    </row>
    <row r="394" spans="1:14" x14ac:dyDescent="0.25">
      <c r="A394" s="282" t="s">
        <v>363</v>
      </c>
      <c r="B394" s="302">
        <f>SUM(B392:B393)</f>
        <v>10.220284543029837</v>
      </c>
      <c r="C394" s="299" t="str">
        <f>CONCATENATE("(",ROUND((B394/$H394)*100,1),")")</f>
        <v>(65.7)</v>
      </c>
      <c r="D394" s="302">
        <f>SUM(D392:D393)</f>
        <v>5.0501050591428296</v>
      </c>
      <c r="E394" s="299" t="str">
        <f>CONCATENATE("(",ROUND((D394/$H394)*100,1),")")</f>
        <v>(32.5)</v>
      </c>
      <c r="F394" s="302">
        <f>SUM(F392:F393)</f>
        <v>0.28361039782732705</v>
      </c>
      <c r="G394" s="299" t="str">
        <f>CONCATENATE("(",ROUND((F394/$H394)*100,1),")")</f>
        <v>(1.8)</v>
      </c>
      <c r="H394" s="302">
        <f>SUM(H392:H393)</f>
        <v>15.553999999999993</v>
      </c>
      <c r="I394" s="299" t="str">
        <f>CONCATENATE("(",ROUND((H394/$H394)*100,1),")")</f>
        <v>(100)</v>
      </c>
      <c r="K394" s="302">
        <f t="shared" si="296"/>
        <v>0.30041921253013903</v>
      </c>
      <c r="L394" s="302">
        <f t="shared" si="297"/>
        <v>0.35325499676699579</v>
      </c>
      <c r="M394" s="302">
        <f t="shared" si="298"/>
        <v>1.7325790702840127E-2</v>
      </c>
      <c r="N394" s="302">
        <f t="shared" si="299"/>
        <v>0.67099999999997495</v>
      </c>
    </row>
    <row r="395" spans="1:14" x14ac:dyDescent="0.25">
      <c r="B395" s="302"/>
      <c r="C395" s="284"/>
      <c r="D395" s="302"/>
      <c r="E395" s="284"/>
      <c r="F395" s="302"/>
      <c r="G395" s="284"/>
      <c r="H395" s="302"/>
      <c r="I395" s="284"/>
    </row>
    <row r="396" spans="1:14" ht="13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5">
      <c r="A397" s="282" t="s">
        <v>364</v>
      </c>
      <c r="B397" s="302">
        <f>'Ind T6'!V162</f>
        <v>5.4336758850706692</v>
      </c>
      <c r="C397" s="299" t="str">
        <f>CONCATENATE("(",ROUND((B397/$H399)*100,1),")")</f>
        <v>(33.5)</v>
      </c>
      <c r="D397" s="302">
        <f>'Ind T6'!W162</f>
        <v>0.94931399978726139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6.3829898848579303</v>
      </c>
      <c r="I397" s="299" t="str">
        <f>CONCATENATE("(",ROUND((H397/$H399)*100,1),")")</f>
        <v>(39.3)</v>
      </c>
      <c r="K397" s="302">
        <f>B397-B387</f>
        <v>5.5358388477609211E-2</v>
      </c>
      <c r="L397" s="302">
        <f>D397-D387</f>
        <v>0.18970662056386134</v>
      </c>
      <c r="M397" s="302">
        <f>F397-F387</f>
        <v>0</v>
      </c>
      <c r="N397" s="302">
        <f>SUM(K397:M397)</f>
        <v>0.24506500904147055</v>
      </c>
    </row>
    <row r="398" spans="1:14" x14ac:dyDescent="0.25">
      <c r="A398" s="282" t="s">
        <v>365</v>
      </c>
      <c r="B398" s="302">
        <f>'Ind T6'!V161</f>
        <v>5.0870278704893073</v>
      </c>
      <c r="C398" s="299" t="str">
        <f>CONCATENATE("(",ROUND((B398/$H399)*100,1),")")</f>
        <v>(31.4)</v>
      </c>
      <c r="D398" s="302">
        <f>'Ind T6'!W161</f>
        <v>4.4540460561225643</v>
      </c>
      <c r="E398" s="299" t="str">
        <f>CONCATENATE("(",ROUND((D398/$H399)*100,1),")")</f>
        <v>(27.5)</v>
      </c>
      <c r="F398" s="302">
        <f>'Ind T6'!X161</f>
        <v>0.30093618853016718</v>
      </c>
      <c r="G398" s="299" t="str">
        <f>CONCATENATE("(",ROUND((F398/$H399)*100,1),")")</f>
        <v>(1.9)</v>
      </c>
      <c r="H398" s="302">
        <f t="shared" ref="H398" si="300">SUM(B398,D398,F398)</f>
        <v>9.84201011514204</v>
      </c>
      <c r="I398" s="299" t="str">
        <f>CONCATENATE("(",ROUND((H398/$H399)*100,1),")")</f>
        <v>(60.7)</v>
      </c>
      <c r="K398" s="302">
        <f t="shared" ref="K398:K399" si="301">B398-B388</f>
        <v>0.35458666108038628</v>
      </c>
      <c r="L398" s="302">
        <f t="shared" ref="L398:L399" si="302">D398-D388</f>
        <v>0.32063167830604922</v>
      </c>
      <c r="M398" s="302">
        <f t="shared" ref="M398:M399" si="303">F398-F388</f>
        <v>2.3716651572063818E-2</v>
      </c>
      <c r="N398" s="302">
        <f t="shared" ref="N398:N399" si="304">SUM(K398:M398)</f>
        <v>0.69893499095849931</v>
      </c>
    </row>
    <row r="399" spans="1:14" x14ac:dyDescent="0.25">
      <c r="A399" s="282" t="s">
        <v>363</v>
      </c>
      <c r="B399" s="302">
        <f>SUM(B397:B398)</f>
        <v>10.520703755559976</v>
      </c>
      <c r="C399" s="299" t="str">
        <f>CONCATENATE("(",ROUND((B399/$H399)*100,1),")")</f>
        <v>(64.8)</v>
      </c>
      <c r="D399" s="302">
        <f>SUM(D397:D398)</f>
        <v>5.4033600559098254</v>
      </c>
      <c r="E399" s="299" t="str">
        <f>CONCATENATE("(",ROUND((D399/$H399)*100,1),")")</f>
        <v>(33.3)</v>
      </c>
      <c r="F399" s="302">
        <f>SUM(F397:F398)</f>
        <v>0.30093618853016718</v>
      </c>
      <c r="G399" s="299" t="str">
        <f>CONCATENATE("(",ROUND((F399/$H399)*100,1),")")</f>
        <v>(1.9)</v>
      </c>
      <c r="H399" s="302">
        <f>SUM(H397:H398)</f>
        <v>16.224999999999969</v>
      </c>
      <c r="I399" s="299" t="str">
        <f>CONCATENATE("(",ROUND((H399/$H399)*100,1),")")</f>
        <v>(100)</v>
      </c>
      <c r="K399" s="302">
        <f t="shared" si="301"/>
        <v>0.40994504955799549</v>
      </c>
      <c r="L399" s="302">
        <f t="shared" si="302"/>
        <v>0.51033829886991011</v>
      </c>
      <c r="M399" s="302">
        <f t="shared" si="303"/>
        <v>2.3716651572063818E-2</v>
      </c>
      <c r="N399" s="302">
        <f t="shared" si="304"/>
        <v>0.94399999999996942</v>
      </c>
    </row>
    <row r="400" spans="1:14" x14ac:dyDescent="0.25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ht="13" x14ac:dyDescent="0.3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ht="13" x14ac:dyDescent="0.3">
      <c r="N405" s="287" t="s">
        <v>370</v>
      </c>
    </row>
    <row r="406" spans="1:14" ht="13" x14ac:dyDescent="0.3">
      <c r="A406" s="182" t="s">
        <v>371</v>
      </c>
      <c r="B406" s="373" t="s">
        <v>369</v>
      </c>
      <c r="C406" s="373"/>
      <c r="D406" s="373" t="s">
        <v>368</v>
      </c>
      <c r="E406" s="373"/>
      <c r="F406" s="373" t="s">
        <v>367</v>
      </c>
      <c r="G406" s="373"/>
      <c r="H406" s="373" t="s">
        <v>33</v>
      </c>
      <c r="I406" s="373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ht="13" x14ac:dyDescent="0.3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5">
      <c r="A408" s="282" t="s">
        <v>364</v>
      </c>
      <c r="B408" s="302">
        <f>'Ind T6'!L171</f>
        <v>8.7368096280798593</v>
      </c>
      <c r="C408" s="299" t="str">
        <f>CONCATENATE("(",ROUND((B408/$H410)*100,1),")")</f>
        <v>(19.4)</v>
      </c>
      <c r="D408" s="302">
        <f>'Ind T6'!M171</f>
        <v>2.5570220676497093</v>
      </c>
      <c r="E408" s="299" t="str">
        <f>CONCATENATE("(",ROUND((D408/$H410)*100,1),")")</f>
        <v>(5.7)</v>
      </c>
      <c r="F408" s="302">
        <f>'Ind T6'!N171</f>
        <v>1.4019979060206686</v>
      </c>
      <c r="G408" s="299" t="str">
        <f>CONCATENATE("(",ROUND((F408/$H410)*100,1),")")</f>
        <v>(3.1)</v>
      </c>
      <c r="H408" s="302">
        <f>SUM(B408,D408,F408)</f>
        <v>12.695829601750237</v>
      </c>
      <c r="I408" s="299" t="str">
        <f>CONCATENATE("(",ROUND((H408/$H410)*100,1),")")</f>
        <v>(28.2)</v>
      </c>
      <c r="K408" s="302">
        <f>B413-B408</f>
        <v>0.13327330108301538</v>
      </c>
      <c r="L408" s="302">
        <f>D413-D408</f>
        <v>0.10867948027396945</v>
      </c>
      <c r="M408" s="302">
        <f>F413-F408</f>
        <v>6.8071423323773361E-2</v>
      </c>
      <c r="N408" s="302">
        <f>SUM(K408:M408)</f>
        <v>0.3100242046807582</v>
      </c>
    </row>
    <row r="409" spans="1:14" x14ac:dyDescent="0.25">
      <c r="A409" s="282" t="s">
        <v>365</v>
      </c>
      <c r="B409" s="302">
        <f>'Ind T6'!L170</f>
        <v>14.084943498681369</v>
      </c>
      <c r="C409" s="299" t="str">
        <f>CONCATENATE("(",ROUND((B409/$H410)*100,1),")")</f>
        <v>(31.3)</v>
      </c>
      <c r="D409" s="302">
        <f>'Ind T6'!M170</f>
        <v>16.524920696941948</v>
      </c>
      <c r="E409" s="299" t="str">
        <f>CONCATENATE("(",ROUND((D409/$H410)*100,1),")")</f>
        <v>(36.7)</v>
      </c>
      <c r="F409" s="302">
        <f>'Ind T6'!N170</f>
        <v>1.7573062026264166</v>
      </c>
      <c r="G409" s="299" t="str">
        <f>CONCATENATE("(",ROUND((F409/$H410)*100,1),")")</f>
        <v>(3.9)</v>
      </c>
      <c r="H409" s="302">
        <f t="shared" ref="H409" si="305">SUM(B409,D409,F409)</f>
        <v>32.367170398249733</v>
      </c>
      <c r="I409" s="299" t="str">
        <f>CONCATENATE("(",ROUND((H409/$H410)*100,1),")")</f>
        <v>(71.8)</v>
      </c>
      <c r="K409" s="302">
        <f t="shared" ref="K409:K410" si="306">B414-B409</f>
        <v>0.72614094135468044</v>
      </c>
      <c r="L409" s="302">
        <f t="shared" ref="L409:L410" si="307">D414-D409</f>
        <v>0.10825213975307335</v>
      </c>
      <c r="M409" s="302">
        <f t="shared" ref="M409:M410" si="308">F414-F409</f>
        <v>7.058271421152873E-2</v>
      </c>
      <c r="N409" s="302">
        <f t="shared" ref="N409:N410" si="309">SUM(K409:M409)</f>
        <v>0.90497579531928252</v>
      </c>
    </row>
    <row r="410" spans="1:14" x14ac:dyDescent="0.25">
      <c r="A410" s="282" t="s">
        <v>363</v>
      </c>
      <c r="B410" s="302">
        <f>SUM(B408:B409)</f>
        <v>22.82175312676123</v>
      </c>
      <c r="C410" s="299" t="str">
        <f>CONCATENATE("(",ROUND((B410/$H410)*100,1),")")</f>
        <v>(50.6)</v>
      </c>
      <c r="D410" s="302">
        <f>SUM(D408:D409)</f>
        <v>19.081942764591656</v>
      </c>
      <c r="E410" s="299" t="str">
        <f>CONCATENATE("(",ROUND((D410/$H410)*100,1),")")</f>
        <v>(42.3)</v>
      </c>
      <c r="F410" s="302">
        <f>SUM(F408:F409)</f>
        <v>3.1593041086470852</v>
      </c>
      <c r="G410" s="299" t="str">
        <f>CONCATENATE("(",ROUND((F410/$H410)*100,1),")")</f>
        <v>(7)</v>
      </c>
      <c r="H410" s="302">
        <f>SUM(H408:H409)</f>
        <v>45.062999999999974</v>
      </c>
      <c r="I410" s="299" t="str">
        <f>CONCATENATE("(",ROUND((H410/$H410)*100,1),")")</f>
        <v>(100)</v>
      </c>
      <c r="K410" s="302">
        <f t="shared" si="306"/>
        <v>0.85941424243769404</v>
      </c>
      <c r="L410" s="302">
        <f t="shared" si="307"/>
        <v>0.21693162002704369</v>
      </c>
      <c r="M410" s="302">
        <f t="shared" si="308"/>
        <v>0.13865413753530209</v>
      </c>
      <c r="N410" s="302">
        <f t="shared" si="309"/>
        <v>1.2150000000000398</v>
      </c>
    </row>
    <row r="411" spans="1:14" x14ac:dyDescent="0.25">
      <c r="B411" s="302"/>
      <c r="C411" s="284"/>
      <c r="D411" s="302"/>
      <c r="E411" s="284"/>
      <c r="F411" s="302"/>
      <c r="G411" s="284"/>
      <c r="H411" s="302"/>
      <c r="I411" s="284"/>
    </row>
    <row r="412" spans="1:14" ht="13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5">
      <c r="A413" s="282" t="s">
        <v>364</v>
      </c>
      <c r="B413" s="302">
        <f>'Ind T6'!Q171</f>
        <v>8.8700829291628747</v>
      </c>
      <c r="C413" s="299" t="str">
        <f>CONCATENATE("(",ROUND((B413/$H415)*100,1),")")</f>
        <v>(19.2)</v>
      </c>
      <c r="D413" s="302">
        <f>'Ind T6'!R171</f>
        <v>2.6657015479236787</v>
      </c>
      <c r="E413" s="299" t="str">
        <f>CONCATENATE("(",ROUND((D413/$H415)*100,1),")")</f>
        <v>(5.8)</v>
      </c>
      <c r="F413" s="302">
        <f>'Ind T6'!S171</f>
        <v>1.470069329344442</v>
      </c>
      <c r="G413" s="299" t="str">
        <f>CONCATENATE("(",ROUND((F413/$H415)*100,1),")")</f>
        <v>(3.2)</v>
      </c>
      <c r="H413" s="302">
        <f>SUM(B413,D413,F413)</f>
        <v>13.005853806430995</v>
      </c>
      <c r="I413" s="299" t="str">
        <f>CONCATENATE("(",ROUND((H413/$H415)*100,1),")")</f>
        <v>(28.1)</v>
      </c>
      <c r="K413" s="302">
        <f>B418-B413</f>
        <v>0.34597539715730541</v>
      </c>
      <c r="L413" s="302">
        <f>D418-D413</f>
        <v>0.23725017820928107</v>
      </c>
      <c r="M413" s="302">
        <f>F418-F413</f>
        <v>0.14517205479689976</v>
      </c>
      <c r="N413" s="302">
        <f>SUM(K413:M413)</f>
        <v>0.72839763016348624</v>
      </c>
    </row>
    <row r="414" spans="1:14" x14ac:dyDescent="0.25">
      <c r="A414" s="282" t="s">
        <v>365</v>
      </c>
      <c r="B414" s="302">
        <f>'Ind T6'!Q170</f>
        <v>14.81108444003605</v>
      </c>
      <c r="C414" s="299" t="str">
        <f>CONCATENATE("(",ROUND((B414/$H415)*100,1),")")</f>
        <v>(32)</v>
      </c>
      <c r="D414" s="302">
        <f>'Ind T6'!R170</f>
        <v>16.633172836695021</v>
      </c>
      <c r="E414" s="299" t="str">
        <f>CONCATENATE("(",ROUND((D414/$H415)*100,1),")")</f>
        <v>(35.9)</v>
      </c>
      <c r="F414" s="302">
        <f>'Ind T6'!S170</f>
        <v>1.8278889168379453</v>
      </c>
      <c r="G414" s="299" t="str">
        <f>CONCATENATE("(",ROUND((F414/$H415)*100,1),")")</f>
        <v>(3.9)</v>
      </c>
      <c r="H414" s="302">
        <f t="shared" ref="H414" si="310">SUM(B414,D414,F414)</f>
        <v>33.272146193569014</v>
      </c>
      <c r="I414" s="299" t="str">
        <f>CONCATENATE("(",ROUND((H414/$H415)*100,1),")")</f>
        <v>(71.9)</v>
      </c>
      <c r="K414" s="302">
        <f t="shared" ref="K414:K415" si="311">B419-B414</f>
        <v>1.7086269017580715</v>
      </c>
      <c r="L414" s="302">
        <f t="shared" ref="L414:L415" si="312">D419-D414</f>
        <v>0.32577715366788951</v>
      </c>
      <c r="M414" s="302">
        <f t="shared" ref="M414:M415" si="313">F419-F414</f>
        <v>0.12319831441046669</v>
      </c>
      <c r="N414" s="302">
        <f t="shared" ref="N414:N415" si="314">SUM(K414:M414)</f>
        <v>2.1576023698364279</v>
      </c>
    </row>
    <row r="415" spans="1:14" x14ac:dyDescent="0.25">
      <c r="A415" s="282" t="s">
        <v>363</v>
      </c>
      <c r="B415" s="302">
        <f>SUM(B413:B414)</f>
        <v>23.681167369198924</v>
      </c>
      <c r="C415" s="299" t="str">
        <f>CONCATENATE("(",ROUND((B415/$H415)*100,1),")")</f>
        <v>(51.2)</v>
      </c>
      <c r="D415" s="302">
        <f>SUM(D413:D414)</f>
        <v>19.298874384618699</v>
      </c>
      <c r="E415" s="299" t="str">
        <f>CONCATENATE("(",ROUND((D415/$H415)*100,1),")")</f>
        <v>(41.7)</v>
      </c>
      <c r="F415" s="302">
        <f>SUM(F413:F414)</f>
        <v>3.2979582461823873</v>
      </c>
      <c r="G415" s="299" t="str">
        <f>CONCATENATE("(",ROUND((F415/$H415)*100,1),")")</f>
        <v>(7.1)</v>
      </c>
      <c r="H415" s="302">
        <f>SUM(H413:H414)</f>
        <v>46.278000000000006</v>
      </c>
      <c r="I415" s="299" t="str">
        <f>CONCATENATE("(",ROUND((H415/$H415)*100,1),")")</f>
        <v>(100)</v>
      </c>
      <c r="K415" s="302">
        <f t="shared" si="311"/>
        <v>2.0546022989153769</v>
      </c>
      <c r="L415" s="302">
        <f t="shared" si="312"/>
        <v>0.5630273318771728</v>
      </c>
      <c r="M415" s="302">
        <f t="shared" si="313"/>
        <v>0.26837036920736645</v>
      </c>
      <c r="N415" s="302">
        <f t="shared" si="314"/>
        <v>2.8859999999999162</v>
      </c>
    </row>
    <row r="416" spans="1:14" x14ac:dyDescent="0.25">
      <c r="B416" s="302"/>
      <c r="C416" s="284"/>
      <c r="D416" s="302"/>
      <c r="E416" s="284"/>
      <c r="F416" s="302"/>
      <c r="G416" s="284"/>
      <c r="H416" s="302"/>
      <c r="I416" s="284"/>
    </row>
    <row r="417" spans="1:14" ht="13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5">
      <c r="A418" s="282" t="s">
        <v>364</v>
      </c>
      <c r="B418" s="302">
        <f>'Ind T6'!V171</f>
        <v>9.2160583263201801</v>
      </c>
      <c r="C418" s="299" t="str">
        <f>CONCATENATE("(",ROUND((B418/$H420)*100,1),")")</f>
        <v>(18.7)</v>
      </c>
      <c r="D418" s="302">
        <f>'Ind T6'!W171</f>
        <v>2.9029517261329598</v>
      </c>
      <c r="E418" s="299" t="str">
        <f>CONCATENATE("(",ROUND((D418/$H420)*100,1),")")</f>
        <v>(5.9)</v>
      </c>
      <c r="F418" s="302">
        <f>'Ind T6'!X171</f>
        <v>1.6152413841413418</v>
      </c>
      <c r="G418" s="299" t="str">
        <f>CONCATENATE("(",ROUND((F418/$H420)*100,1),")")</f>
        <v>(3.3)</v>
      </c>
      <c r="H418" s="302">
        <f>SUM(B418,D418,F418)</f>
        <v>13.734251436594482</v>
      </c>
      <c r="I418" s="299" t="str">
        <f>CONCATENATE("(",ROUND((H418/$H420)*100,1),")")</f>
        <v>(27.9)</v>
      </c>
      <c r="K418" s="302">
        <f>B418-B408</f>
        <v>0.47924869824032079</v>
      </c>
      <c r="L418" s="302">
        <f>D418-D408</f>
        <v>0.34592965848325052</v>
      </c>
      <c r="M418" s="302">
        <f>F418-F408</f>
        <v>0.21324347812067312</v>
      </c>
      <c r="N418" s="302">
        <f>SUM(K418:M418)</f>
        <v>1.0384218348442444</v>
      </c>
    </row>
    <row r="419" spans="1:14" x14ac:dyDescent="0.25">
      <c r="A419" s="282" t="s">
        <v>365</v>
      </c>
      <c r="B419" s="302">
        <f>'Ind T6'!V170</f>
        <v>16.519711341794121</v>
      </c>
      <c r="C419" s="299" t="str">
        <f>CONCATENATE("(",ROUND((B419/$H420)*100,1),")")</f>
        <v>(33.6)</v>
      </c>
      <c r="D419" s="302">
        <f>'Ind T6'!W170</f>
        <v>16.95894999036291</v>
      </c>
      <c r="E419" s="299" t="str">
        <f>CONCATENATE("(",ROUND((D419/$H420)*100,1),")")</f>
        <v>(34.5)</v>
      </c>
      <c r="F419" s="302">
        <f>'Ind T6'!X170</f>
        <v>1.951087231248412</v>
      </c>
      <c r="G419" s="299" t="str">
        <f>CONCATENATE("(",ROUND((F419/$H420)*100,1),")")</f>
        <v>(4)</v>
      </c>
      <c r="H419" s="302">
        <f t="shared" ref="H419" si="315">SUM(B419,D419,F419)</f>
        <v>35.429748563405447</v>
      </c>
      <c r="I419" s="299" t="str">
        <f>CONCATENATE("(",ROUND((H419/$H420)*100,1),")")</f>
        <v>(72.1)</v>
      </c>
      <c r="K419" s="302">
        <f t="shared" ref="K419:K420" si="316">B419-B409</f>
        <v>2.434767843112752</v>
      </c>
      <c r="L419" s="302">
        <f t="shared" ref="L419:L420" si="317">D419-D409</f>
        <v>0.43402929342096286</v>
      </c>
      <c r="M419" s="302">
        <f t="shared" ref="M419:M420" si="318">F419-F409</f>
        <v>0.19378102862199542</v>
      </c>
      <c r="N419" s="302">
        <f t="shared" ref="N419:N420" si="319">SUM(K419:M419)</f>
        <v>3.0625781651557102</v>
      </c>
    </row>
    <row r="420" spans="1:14" x14ac:dyDescent="0.25">
      <c r="A420" s="282" t="s">
        <v>363</v>
      </c>
      <c r="B420" s="302">
        <f>SUM(B418:B419)</f>
        <v>25.735769668114301</v>
      </c>
      <c r="C420" s="299" t="str">
        <f>CONCATENATE("(",ROUND((B420/$H420)*100,1),")")</f>
        <v>(52.3)</v>
      </c>
      <c r="D420" s="302">
        <f>SUM(D418:D419)</f>
        <v>19.861901716495872</v>
      </c>
      <c r="E420" s="299" t="str">
        <f>CONCATENATE("(",ROUND((D420/$H420)*100,1),")")</f>
        <v>(40.4)</v>
      </c>
      <c r="F420" s="302">
        <f>SUM(F418:F419)</f>
        <v>3.5663286153897538</v>
      </c>
      <c r="G420" s="299" t="str">
        <f>CONCATENATE("(",ROUND((F420/$H420)*100,1),")")</f>
        <v>(7.3)</v>
      </c>
      <c r="H420" s="302">
        <f>SUM(H418:H419)</f>
        <v>49.16399999999993</v>
      </c>
      <c r="I420" s="299" t="str">
        <f>CONCATENATE("(",ROUND((H420/$H420)*100,1),")")</f>
        <v>(100)</v>
      </c>
      <c r="K420" s="302">
        <f t="shared" si="316"/>
        <v>2.914016541353071</v>
      </c>
      <c r="L420" s="302">
        <f t="shared" si="317"/>
        <v>0.77995895190421649</v>
      </c>
      <c r="M420" s="302">
        <f t="shared" si="318"/>
        <v>0.40702450674266855</v>
      </c>
      <c r="N420" s="302">
        <f t="shared" si="319"/>
        <v>4.1009999999999565</v>
      </c>
    </row>
    <row r="421" spans="1:14" x14ac:dyDescent="0.25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ht="13" x14ac:dyDescent="0.3">
      <c r="C424" s="182"/>
      <c r="E424" s="182"/>
      <c r="G424" s="182"/>
      <c r="I424" s="182"/>
    </row>
    <row r="425" spans="1:14" ht="13" x14ac:dyDescent="0.3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ht="13" x14ac:dyDescent="0.3">
      <c r="N426" s="287" t="s">
        <v>370</v>
      </c>
    </row>
    <row r="427" spans="1:14" ht="13" x14ac:dyDescent="0.3">
      <c r="A427" s="182" t="s">
        <v>371</v>
      </c>
      <c r="B427" s="373" t="s">
        <v>369</v>
      </c>
      <c r="C427" s="373"/>
      <c r="D427" s="373" t="s">
        <v>368</v>
      </c>
      <c r="E427" s="373"/>
      <c r="F427" s="373" t="s">
        <v>367</v>
      </c>
      <c r="G427" s="373"/>
      <c r="H427" s="373" t="s">
        <v>33</v>
      </c>
      <c r="I427" s="373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ht="13" x14ac:dyDescent="0.3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5">
      <c r="A429" s="282" t="s">
        <v>364</v>
      </c>
      <c r="B429" s="302">
        <f>'Ind T6'!L180</f>
        <v>9.6901075714728844</v>
      </c>
      <c r="C429" s="299" t="str">
        <f>CONCATENATE("(",ROUND((B429/$H431)*100,1),")")</f>
        <v>(13.5)</v>
      </c>
      <c r="D429" s="302">
        <f>'Ind T6'!M180</f>
        <v>2.9097972017943849</v>
      </c>
      <c r="E429" s="299" t="str">
        <f>CONCATENATE("(",ROUND((D429/$H431)*100,1),")")</f>
        <v>(4.1)</v>
      </c>
      <c r="F429" s="302">
        <f>'Ind T6'!N180</f>
        <v>2.5419835701530942</v>
      </c>
      <c r="G429" s="299" t="str">
        <f>CONCATENATE("(",ROUND((F429/$H431)*100,1),")")</f>
        <v>(3.5)</v>
      </c>
      <c r="H429" s="302">
        <f>SUM(B429,D429,F429)</f>
        <v>15.141888343420364</v>
      </c>
      <c r="I429" s="299" t="str">
        <f>CONCATENATE("(",ROUND((H429/$H431)*100,1),")")</f>
        <v>(21.1)</v>
      </c>
      <c r="K429" s="302">
        <f>B434-B429</f>
        <v>0.63004696856046394</v>
      </c>
      <c r="L429" s="302">
        <f>D434-D429</f>
        <v>0.2644131336568436</v>
      </c>
      <c r="M429" s="302">
        <f>F434-F429</f>
        <v>2.9034636621757315E-2</v>
      </c>
      <c r="N429" s="302">
        <f>SUM(K429:M429)</f>
        <v>0.92349473883906485</v>
      </c>
    </row>
    <row r="430" spans="1:14" x14ac:dyDescent="0.25">
      <c r="A430" s="282" t="s">
        <v>365</v>
      </c>
      <c r="B430" s="302">
        <f>'Ind T6'!L179</f>
        <v>28.946679698156814</v>
      </c>
      <c r="C430" s="299" t="str">
        <f>CONCATENATE("(",ROUND((B430/$H431)*100,1),")")</f>
        <v>(40.3)</v>
      </c>
      <c r="D430" s="302">
        <f>'Ind T6'!M179</f>
        <v>25.353827852907315</v>
      </c>
      <c r="E430" s="299" t="str">
        <f>CONCATENATE("(",ROUND((D430/$H431)*100,1),")")</f>
        <v>(35.3)</v>
      </c>
      <c r="F430" s="302">
        <f>'Ind T6'!N179</f>
        <v>2.3276041055154866</v>
      </c>
      <c r="G430" s="299" t="str">
        <f>CONCATENATE("(",ROUND((F430/$H431)*100,1),")")</f>
        <v>(3.2)</v>
      </c>
      <c r="H430" s="302">
        <f t="shared" ref="H430" si="320">SUM(B430,D430,F430)</f>
        <v>56.628111656579613</v>
      </c>
      <c r="I430" s="299" t="str">
        <f>CONCATENATE("(",ROUND((H430/$H431)*100,1),")")</f>
        <v>(78.9)</v>
      </c>
      <c r="K430" s="302">
        <f t="shared" ref="K430:K431" si="321">B435-B430</f>
        <v>2.7277704430837098</v>
      </c>
      <c r="L430" s="302">
        <f t="shared" ref="L430:L431" si="322">D435-D430</f>
        <v>0.79874739789023508</v>
      </c>
      <c r="M430" s="302">
        <f t="shared" ref="M430:M431" si="323">F435-F430</f>
        <v>0.29498742018702373</v>
      </c>
      <c r="N430" s="302">
        <f t="shared" ref="N430:N431" si="324">SUM(K430:M430)</f>
        <v>3.8215052611609686</v>
      </c>
    </row>
    <row r="431" spans="1:14" x14ac:dyDescent="0.25">
      <c r="A431" s="282" t="s">
        <v>363</v>
      </c>
      <c r="B431" s="302">
        <f>SUM(B429:B430)</f>
        <v>38.6367872696297</v>
      </c>
      <c r="C431" s="299" t="str">
        <f>CONCATENATE("(",ROUND((B431/$H431)*100,1),")")</f>
        <v>(53.8)</v>
      </c>
      <c r="D431" s="302">
        <f>SUM(D429:D430)</f>
        <v>28.263625054701699</v>
      </c>
      <c r="E431" s="299" t="str">
        <f>CONCATENATE("(",ROUND((D431/$H431)*100,1),")")</f>
        <v>(39.4)</v>
      </c>
      <c r="F431" s="302">
        <f>SUM(F429:F430)</f>
        <v>4.8695876756685808</v>
      </c>
      <c r="G431" s="299" t="str">
        <f>CONCATENATE("(",ROUND((F431/$H431)*100,1),")")</f>
        <v>(6.8)</v>
      </c>
      <c r="H431" s="302">
        <f>SUM(H429:H430)</f>
        <v>71.769999999999982</v>
      </c>
      <c r="I431" s="299" t="str">
        <f>CONCATENATE("(",ROUND((H431/$H431)*100,1),")")</f>
        <v>(100)</v>
      </c>
      <c r="K431" s="302">
        <f t="shared" si="321"/>
        <v>3.3578174116441701</v>
      </c>
      <c r="L431" s="302">
        <f t="shared" si="322"/>
        <v>1.06316053154708</v>
      </c>
      <c r="M431" s="302">
        <f t="shared" si="323"/>
        <v>0.32402205680878104</v>
      </c>
      <c r="N431" s="302">
        <f t="shared" si="324"/>
        <v>4.7450000000000312</v>
      </c>
    </row>
    <row r="432" spans="1:14" x14ac:dyDescent="0.25">
      <c r="B432" s="302"/>
      <c r="C432" s="284"/>
      <c r="D432" s="302"/>
      <c r="E432" s="284"/>
      <c r="F432" s="302"/>
      <c r="G432" s="284"/>
      <c r="H432" s="302"/>
      <c r="I432" s="284"/>
    </row>
    <row r="433" spans="1:14" ht="13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5">
      <c r="A434" s="282" t="s">
        <v>364</v>
      </c>
      <c r="B434" s="302">
        <f>'Ind T6'!Q180</f>
        <v>10.320154540033348</v>
      </c>
      <c r="C434" s="299" t="str">
        <f>CONCATENATE("(",ROUND((B434/$H436)*100,1),")")</f>
        <v>(13.5)</v>
      </c>
      <c r="D434" s="302">
        <f>'Ind T6'!R180</f>
        <v>3.1742103354512285</v>
      </c>
      <c r="E434" s="299" t="str">
        <f>CONCATENATE("(",ROUND((D434/$H436)*100,1),")")</f>
        <v>(4.1)</v>
      </c>
      <c r="F434" s="302">
        <f>'Ind T6'!S180</f>
        <v>2.5710182067748515</v>
      </c>
      <c r="G434" s="299" t="str">
        <f>CONCATENATE("(",ROUND((F434/$H436)*100,1),")")</f>
        <v>(3.4)</v>
      </c>
      <c r="H434" s="302">
        <f>SUM(B434,D434,F434)</f>
        <v>16.065383082259427</v>
      </c>
      <c r="I434" s="299" t="str">
        <f>CONCATENATE("(",ROUND((H434/$H436)*100,1),")")</f>
        <v>(21)</v>
      </c>
      <c r="K434" s="302">
        <f>B439-B434</f>
        <v>0.65263174992261597</v>
      </c>
      <c r="L434" s="302">
        <f>D439-D434</f>
        <v>0.32937622884460804</v>
      </c>
      <c r="M434" s="302">
        <f>F439-F434</f>
        <v>-0.11858655673406382</v>
      </c>
      <c r="N434" s="302">
        <f>SUM(K434:M434)</f>
        <v>0.86342142203316019</v>
      </c>
    </row>
    <row r="435" spans="1:14" x14ac:dyDescent="0.25">
      <c r="A435" s="282" t="s">
        <v>365</v>
      </c>
      <c r="B435" s="302">
        <f>'Ind T6'!Q179</f>
        <v>31.674450141240523</v>
      </c>
      <c r="C435" s="299" t="str">
        <f>CONCATENATE("(",ROUND((B435/$H436)*100,1),")")</f>
        <v>(41.4)</v>
      </c>
      <c r="D435" s="302">
        <f>'Ind T6'!R179</f>
        <v>26.15257525079755</v>
      </c>
      <c r="E435" s="299" t="str">
        <f>CONCATENATE("(",ROUND((D435/$H436)*100,1),")")</f>
        <v>(34.2)</v>
      </c>
      <c r="F435" s="302">
        <f>'Ind T6'!S179</f>
        <v>2.6225915257025103</v>
      </c>
      <c r="G435" s="299" t="str">
        <f>CONCATENATE("(",ROUND((F435/$H436)*100,1),")")</f>
        <v>(3.4)</v>
      </c>
      <c r="H435" s="302">
        <f t="shared" ref="H435" si="325">SUM(B435,D435,F435)</f>
        <v>60.449616917740585</v>
      </c>
      <c r="I435" s="299" t="str">
        <f>CONCATENATE("(",ROUND((H435/$H436)*100,1),")")</f>
        <v>(79)</v>
      </c>
      <c r="K435" s="302">
        <f t="shared" ref="K435:K436" si="326">B440-B435</f>
        <v>3.798771733267106</v>
      </c>
      <c r="L435" s="302">
        <f t="shared" ref="L435:L436" si="327">D440-D435</f>
        <v>-0.36730705449640055</v>
      </c>
      <c r="M435" s="302">
        <f t="shared" ref="M435:M436" si="328">F440-F435</f>
        <v>0.39311389919617312</v>
      </c>
      <c r="N435" s="302">
        <f t="shared" ref="N435:N436" si="329">SUM(K435:M435)</f>
        <v>3.8245785779668786</v>
      </c>
    </row>
    <row r="436" spans="1:14" x14ac:dyDescent="0.25">
      <c r="A436" s="282" t="s">
        <v>363</v>
      </c>
      <c r="B436" s="302">
        <f>SUM(B434:B435)</f>
        <v>41.99460468127387</v>
      </c>
      <c r="C436" s="299" t="str">
        <f>CONCATENATE("(",ROUND((B436/$H436)*100,1),")")</f>
        <v>(54.9)</v>
      </c>
      <c r="D436" s="302">
        <f>SUM(D434:D435)</f>
        <v>29.326785586248779</v>
      </c>
      <c r="E436" s="299" t="str">
        <f>CONCATENATE("(",ROUND((D436/$H436)*100,1),")")</f>
        <v>(38.3)</v>
      </c>
      <c r="F436" s="302">
        <f>SUM(F434:F435)</f>
        <v>5.1936097324773618</v>
      </c>
      <c r="G436" s="299" t="str">
        <f>CONCATENATE("(",ROUND((F436/$H436)*100,1),")")</f>
        <v>(6.8)</v>
      </c>
      <c r="H436" s="302">
        <f>SUM(H434:H435)</f>
        <v>76.515000000000015</v>
      </c>
      <c r="I436" s="299" t="str">
        <f>CONCATENATE("(",ROUND((H436/$H436)*100,1),")")</f>
        <v>(100)</v>
      </c>
      <c r="K436" s="302">
        <f t="shared" si="326"/>
        <v>4.451403483189722</v>
      </c>
      <c r="L436" s="302">
        <f t="shared" si="327"/>
        <v>-3.7930825651791622E-2</v>
      </c>
      <c r="M436" s="302">
        <f t="shared" si="328"/>
        <v>0.2745273424621093</v>
      </c>
      <c r="N436" s="302">
        <f t="shared" si="329"/>
        <v>4.6880000000000397</v>
      </c>
    </row>
    <row r="437" spans="1:14" x14ac:dyDescent="0.25">
      <c r="B437" s="302"/>
      <c r="C437" s="284"/>
      <c r="D437" s="302"/>
      <c r="E437" s="284"/>
      <c r="F437" s="302"/>
      <c r="G437" s="284"/>
      <c r="H437" s="302"/>
      <c r="I437" s="284"/>
    </row>
    <row r="438" spans="1:14" ht="13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5">
      <c r="A439" s="282" t="s">
        <v>364</v>
      </c>
      <c r="B439" s="302">
        <f>'Ind T6'!V180</f>
        <v>10.972786289955964</v>
      </c>
      <c r="C439" s="299" t="str">
        <f>CONCATENATE("(",ROUND((B439/$H441)*100,1),")")</f>
        <v>(13.5)</v>
      </c>
      <c r="D439" s="302">
        <f>'Ind T6'!W180</f>
        <v>3.5035865642958366</v>
      </c>
      <c r="E439" s="299" t="str">
        <f>CONCATENATE("(",ROUND((D439/$H441)*100,1),")")</f>
        <v>(4.3)</v>
      </c>
      <c r="F439" s="302">
        <f>'Ind T6'!X180</f>
        <v>2.4524316500407877</v>
      </c>
      <c r="G439" s="299" t="str">
        <f>CONCATENATE("(",ROUND((F439/$H441)*100,1),")")</f>
        <v>(3)</v>
      </c>
      <c r="H439" s="302">
        <f>SUM(B439,D439,F439)</f>
        <v>16.928804504292589</v>
      </c>
      <c r="I439" s="299" t="str">
        <f>CONCATENATE("(",ROUND((H439/$H441)*100,1),")")</f>
        <v>(20.8)</v>
      </c>
      <c r="K439" s="302">
        <f>B439-B429</f>
        <v>1.2826787184830799</v>
      </c>
      <c r="L439" s="302">
        <f>D439-D429</f>
        <v>0.59378936250145165</v>
      </c>
      <c r="M439" s="302">
        <f>F439-F429</f>
        <v>-8.9551920112306505E-2</v>
      </c>
      <c r="N439" s="302">
        <f>SUM(K439:M439)</f>
        <v>1.786916160872225</v>
      </c>
    </row>
    <row r="440" spans="1:14" x14ac:dyDescent="0.25">
      <c r="A440" s="282" t="s">
        <v>365</v>
      </c>
      <c r="B440" s="302">
        <f>'Ind T6'!V179</f>
        <v>35.47322187450763</v>
      </c>
      <c r="C440" s="299" t="str">
        <f>CONCATENATE("(",ROUND((B440/$H441)*100,1),")")</f>
        <v>(43.7)</v>
      </c>
      <c r="D440" s="302">
        <f>'Ind T6'!W179</f>
        <v>25.78526819630115</v>
      </c>
      <c r="E440" s="299" t="str">
        <f>CONCATENATE("(",ROUND((D440/$H441)*100,1),")")</f>
        <v>(31.8)</v>
      </c>
      <c r="F440" s="302">
        <f>'Ind T6'!X179</f>
        <v>3.0157054248986834</v>
      </c>
      <c r="G440" s="299" t="str">
        <f>CONCATENATE("(",ROUND((F440/$H441)*100,1),")")</f>
        <v>(3.7)</v>
      </c>
      <c r="H440" s="302">
        <f t="shared" ref="H440" si="330">SUM(B440,D440,F440)</f>
        <v>64.27419549570746</v>
      </c>
      <c r="I440" s="299" t="str">
        <f>CONCATENATE("(",ROUND((H440/$H441)*100,1),")")</f>
        <v>(79.2)</v>
      </c>
      <c r="K440" s="302">
        <f t="shared" ref="K440:K441" si="331">B440-B430</f>
        <v>6.5265421763508158</v>
      </c>
      <c r="L440" s="302">
        <f t="shared" ref="L440:L441" si="332">D440-D430</f>
        <v>0.43144034339383452</v>
      </c>
      <c r="M440" s="302">
        <f t="shared" ref="M440:M441" si="333">F440-F430</f>
        <v>0.68810131938319685</v>
      </c>
      <c r="N440" s="302">
        <f t="shared" ref="N440:N441" si="334">SUM(K440:M440)</f>
        <v>7.6460838391278472</v>
      </c>
    </row>
    <row r="441" spans="1:14" x14ac:dyDescent="0.25">
      <c r="A441" s="282" t="s">
        <v>363</v>
      </c>
      <c r="B441" s="302">
        <f>SUM(B439:B440)</f>
        <v>46.446008164463592</v>
      </c>
      <c r="C441" s="299" t="str">
        <f>CONCATENATE("(",ROUND((B441/$H441)*100,1),")")</f>
        <v>(57.2)</v>
      </c>
      <c r="D441" s="302">
        <f>SUM(D439:D440)</f>
        <v>29.288854760596987</v>
      </c>
      <c r="E441" s="299" t="str">
        <f>CONCATENATE("(",ROUND((D441/$H441)*100,1),")")</f>
        <v>(36.1)</v>
      </c>
      <c r="F441" s="302">
        <f>SUM(F439:F440)</f>
        <v>5.4681370749394711</v>
      </c>
      <c r="G441" s="299" t="str">
        <f>CONCATENATE("(",ROUND((F441/$H441)*100,1),")")</f>
        <v>(6.7)</v>
      </c>
      <c r="H441" s="302">
        <f>SUM(H439:H440)</f>
        <v>81.203000000000046</v>
      </c>
      <c r="I441" s="299" t="str">
        <f>CONCATENATE("(",ROUND((H441/$H441)*100,1),")")</f>
        <v>(100)</v>
      </c>
      <c r="K441" s="302">
        <f t="shared" si="331"/>
        <v>7.8092208948338921</v>
      </c>
      <c r="L441" s="302">
        <f t="shared" si="332"/>
        <v>1.0252297058952884</v>
      </c>
      <c r="M441" s="302">
        <f t="shared" si="333"/>
        <v>0.59854939927089035</v>
      </c>
      <c r="N441" s="302">
        <f t="shared" si="334"/>
        <v>9.4330000000000709</v>
      </c>
    </row>
    <row r="442" spans="1:14" x14ac:dyDescent="0.25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ht="13" x14ac:dyDescent="0.3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ht="13" x14ac:dyDescent="0.3">
      <c r="N447" s="287" t="s">
        <v>370</v>
      </c>
    </row>
    <row r="448" spans="1:14" ht="13" x14ac:dyDescent="0.3">
      <c r="A448" s="182" t="s">
        <v>371</v>
      </c>
      <c r="B448" s="373" t="s">
        <v>369</v>
      </c>
      <c r="C448" s="373"/>
      <c r="D448" s="373" t="s">
        <v>368</v>
      </c>
      <c r="E448" s="373"/>
      <c r="F448" s="373" t="s">
        <v>367</v>
      </c>
      <c r="G448" s="373"/>
      <c r="H448" s="373" t="s">
        <v>33</v>
      </c>
      <c r="I448" s="373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ht="13" x14ac:dyDescent="0.3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5">
      <c r="A450" s="282" t="s">
        <v>364</v>
      </c>
      <c r="B450" s="302">
        <f>'Ind T6'!L189</f>
        <v>2.2125572259793849</v>
      </c>
      <c r="C450" s="299" t="str">
        <f>CONCATENATE("(",ROUND((B450/$H452)*100,1),")")</f>
        <v>(18.6)</v>
      </c>
      <c r="D450" s="302">
        <f>'Ind T6'!M189</f>
        <v>1.69537930939642</v>
      </c>
      <c r="E450" s="299" t="str">
        <f>CONCATENATE("(",ROUND((D450/$H452)*100,1),")")</f>
        <v>(14.2)</v>
      </c>
      <c r="F450" s="302">
        <f>'Ind T6'!N189</f>
        <v>2.0774343849673809</v>
      </c>
      <c r="G450" s="299" t="str">
        <f>CONCATENATE("(",ROUND((F450/$H452)*100,1),")")</f>
        <v>(17.4)</v>
      </c>
      <c r="H450" s="302">
        <f>SUM(B450,D450,F450)</f>
        <v>5.9853709203431862</v>
      </c>
      <c r="I450" s="299" t="str">
        <f>CONCATENATE("(",ROUND((H450/$H452)*100,1),")")</f>
        <v>(50.3)</v>
      </c>
      <c r="K450" s="302">
        <f>B455-B450</f>
        <v>-3.7273303764736809E-2</v>
      </c>
      <c r="L450" s="302">
        <f>D455-D450</f>
        <v>2.6391654703051159E-2</v>
      </c>
      <c r="M450" s="302">
        <f>F455-F450</f>
        <v>-0.24341252158468052</v>
      </c>
      <c r="N450" s="302">
        <f>SUM(K450:M450)</f>
        <v>-0.25429417064636617</v>
      </c>
    </row>
    <row r="451" spans="1:14" x14ac:dyDescent="0.25">
      <c r="A451" s="282" t="s">
        <v>365</v>
      </c>
      <c r="B451" s="302">
        <f>'Ind T6'!L188</f>
        <v>2.0005158661247031</v>
      </c>
      <c r="C451" s="299" t="str">
        <f>CONCATENATE("(",ROUND((B451/$H452)*100,1),")")</f>
        <v>(16.8)</v>
      </c>
      <c r="D451" s="302">
        <f>'Ind T6'!M188</f>
        <v>2.9623938372715197</v>
      </c>
      <c r="E451" s="299" t="str">
        <f>CONCATENATE("(",ROUND((D451/$H452)*100,1),")")</f>
        <v>(24.9)</v>
      </c>
      <c r="F451" s="302">
        <f>'Ind T6'!N188</f>
        <v>0.96171937626058857</v>
      </c>
      <c r="G451" s="299" t="str">
        <f>CONCATENATE("(",ROUND((F451/$H452)*100,1),")")</f>
        <v>(8.1)</v>
      </c>
      <c r="H451" s="302">
        <f t="shared" ref="H451" si="335">SUM(B451,D451,F451)</f>
        <v>5.9246290796568113</v>
      </c>
      <c r="I451" s="299" t="str">
        <f>CONCATENATE("(",ROUND((H451/$H452)*100,1),")")</f>
        <v>(49.7)</v>
      </c>
      <c r="K451" s="302">
        <f t="shared" ref="K451:K452" si="336">B456-B451</f>
        <v>-0.16214568973481547</v>
      </c>
      <c r="L451" s="302">
        <f t="shared" ref="L451:L452" si="337">D456-D451</f>
        <v>-5.3533379525070313E-2</v>
      </c>
      <c r="M451" s="302">
        <f t="shared" ref="M451:M452" si="338">F456-F451</f>
        <v>-0.15502676009373728</v>
      </c>
      <c r="N451" s="302">
        <f t="shared" ref="N451:N452" si="339">SUM(K451:M451)</f>
        <v>-0.37070582935362306</v>
      </c>
    </row>
    <row r="452" spans="1:14" x14ac:dyDescent="0.25">
      <c r="A452" s="282" t="s">
        <v>363</v>
      </c>
      <c r="B452" s="302">
        <f>SUM(B450:B451)</f>
        <v>4.2130730921040875</v>
      </c>
      <c r="C452" s="299" t="str">
        <f>CONCATENATE("(",ROUND((B452/$H452)*100,1),")")</f>
        <v>(35.4)</v>
      </c>
      <c r="D452" s="302">
        <f>SUM(D450:D451)</f>
        <v>4.6577731466679397</v>
      </c>
      <c r="E452" s="299" t="str">
        <f>CONCATENATE("(",ROUND((D452/$H452)*100,1),")")</f>
        <v>(39.1)</v>
      </c>
      <c r="F452" s="302">
        <f>SUM(F450:F451)</f>
        <v>3.0391537612279693</v>
      </c>
      <c r="G452" s="299" t="str">
        <f>CONCATENATE("(",ROUND((F452/$H452)*100,1),")")</f>
        <v>(25.5)</v>
      </c>
      <c r="H452" s="302">
        <f>SUM(H450:H451)</f>
        <v>11.909999999999997</v>
      </c>
      <c r="I452" s="299" t="str">
        <f>CONCATENATE("(",ROUND((H452/$H452)*100,1),")")</f>
        <v>(100)</v>
      </c>
      <c r="K452" s="302">
        <f t="shared" si="336"/>
        <v>-0.19941899349955161</v>
      </c>
      <c r="L452" s="302">
        <f t="shared" si="337"/>
        <v>-2.7141724822018709E-2</v>
      </c>
      <c r="M452" s="302">
        <f t="shared" si="338"/>
        <v>-0.39843928167841769</v>
      </c>
      <c r="N452" s="302">
        <f t="shared" si="339"/>
        <v>-0.62499999999998801</v>
      </c>
    </row>
    <row r="453" spans="1:14" x14ac:dyDescent="0.25">
      <c r="B453" s="302"/>
      <c r="C453" s="284"/>
      <c r="D453" s="302"/>
      <c r="E453" s="284"/>
      <c r="F453" s="302"/>
      <c r="G453" s="284"/>
      <c r="H453" s="302"/>
      <c r="I453" s="284"/>
    </row>
    <row r="454" spans="1:14" ht="13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5">
      <c r="A455" s="282" t="s">
        <v>364</v>
      </c>
      <c r="B455" s="302">
        <f>'Ind T6'!Q189</f>
        <v>2.1752839222146481</v>
      </c>
      <c r="C455" s="299" t="str">
        <f>CONCATENATE("(",ROUND((B455/$H457)*100,1),")")</f>
        <v>(19.3)</v>
      </c>
      <c r="D455" s="302">
        <f>'Ind T6'!R189</f>
        <v>1.7217709640994712</v>
      </c>
      <c r="E455" s="299" t="str">
        <f>CONCATENATE("(",ROUND((D455/$H457)*100,1),")")</f>
        <v>(15.3)</v>
      </c>
      <c r="F455" s="302">
        <f>'Ind T6'!S189</f>
        <v>1.8340218633827003</v>
      </c>
      <c r="G455" s="299" t="str">
        <f>CONCATENATE("(",ROUND((F455/$H457)*100,1),")")</f>
        <v>(16.3)</v>
      </c>
      <c r="H455" s="302">
        <f>SUM(B455,D455,F455)</f>
        <v>5.73107674969682</v>
      </c>
      <c r="I455" s="299" t="str">
        <f>CONCATENATE("(",ROUND((H455/$H457)*100,1),")")</f>
        <v>(50.8)</v>
      </c>
      <c r="K455" s="302">
        <f>B460-B455</f>
        <v>0.1474065682537149</v>
      </c>
      <c r="L455" s="302">
        <f>D460-D455</f>
        <v>0.18039803412859245</v>
      </c>
      <c r="M455" s="302">
        <f>F460-F455</f>
        <v>0.11510244027990546</v>
      </c>
      <c r="N455" s="302">
        <f>SUM(K455:M455)</f>
        <v>0.44290704266221281</v>
      </c>
    </row>
    <row r="456" spans="1:14" x14ac:dyDescent="0.25">
      <c r="A456" s="282" t="s">
        <v>365</v>
      </c>
      <c r="B456" s="302">
        <f>'Ind T6'!Q188</f>
        <v>1.8383701763898876</v>
      </c>
      <c r="C456" s="299" t="str">
        <f>CONCATENATE("(",ROUND((B456/$H457)*100,1),")")</f>
        <v>(16.3)</v>
      </c>
      <c r="D456" s="302">
        <f>'Ind T6'!R188</f>
        <v>2.9088604577464494</v>
      </c>
      <c r="E456" s="299" t="str">
        <f>CONCATENATE("(",ROUND((D456/$H457)*100,1),")")</f>
        <v>(25.8)</v>
      </c>
      <c r="F456" s="302">
        <f>'Ind T6'!S188</f>
        <v>0.80669261616685128</v>
      </c>
      <c r="G456" s="299" t="str">
        <f>CONCATENATE("(",ROUND((F456/$H457)*100,1),")")</f>
        <v>(7.1)</v>
      </c>
      <c r="H456" s="302">
        <f t="shared" ref="H456" si="340">SUM(B456,D456,F456)</f>
        <v>5.553923250303189</v>
      </c>
      <c r="I456" s="299" t="str">
        <f>CONCATENATE("(",ROUND((H456/$H457)*100,1),")")</f>
        <v>(49.2)</v>
      </c>
      <c r="K456" s="302">
        <f t="shared" ref="K456:K457" si="341">B461-B456</f>
        <v>-1.0467222125182918E-2</v>
      </c>
      <c r="L456" s="302">
        <f t="shared" ref="L456:L457" si="342">D461-D456</f>
        <v>0.16271923782872921</v>
      </c>
      <c r="M456" s="302">
        <f t="shared" ref="M456:M457" si="343">F461-F456</f>
        <v>7.2840941634228606E-2</v>
      </c>
      <c r="N456" s="302">
        <f t="shared" ref="N456:N457" si="344">SUM(K456:M456)</f>
        <v>0.2250929573377749</v>
      </c>
    </row>
    <row r="457" spans="1:14" x14ac:dyDescent="0.25">
      <c r="A457" s="282" t="s">
        <v>363</v>
      </c>
      <c r="B457" s="302">
        <f>SUM(B455:B456)</f>
        <v>4.0136540986045359</v>
      </c>
      <c r="C457" s="299" t="str">
        <f>CONCATENATE("(",ROUND((B457/$H457)*100,1),")")</f>
        <v>(35.6)</v>
      </c>
      <c r="D457" s="302">
        <f>SUM(D455:D456)</f>
        <v>4.630631421845921</v>
      </c>
      <c r="E457" s="299" t="str">
        <f>CONCATENATE("(",ROUND((D457/$H457)*100,1),")")</f>
        <v>(41)</v>
      </c>
      <c r="F457" s="302">
        <f>SUM(F455:F456)</f>
        <v>2.6407144795495516</v>
      </c>
      <c r="G457" s="299" t="str">
        <f>CONCATENATE("(",ROUND((F457/$H457)*100,1),")")</f>
        <v>(23.4)</v>
      </c>
      <c r="H457" s="302">
        <f>SUM(H455:H456)</f>
        <v>11.285000000000009</v>
      </c>
      <c r="I457" s="299" t="str">
        <f>CONCATENATE("(",ROUND((H457/$H457)*100,1),")")</f>
        <v>(100)</v>
      </c>
      <c r="K457" s="302">
        <f t="shared" si="341"/>
        <v>0.13693934612853198</v>
      </c>
      <c r="L457" s="302">
        <f t="shared" si="342"/>
        <v>0.343117271957321</v>
      </c>
      <c r="M457" s="302">
        <f t="shared" si="343"/>
        <v>0.18794338191413429</v>
      </c>
      <c r="N457" s="302">
        <f t="shared" si="344"/>
        <v>0.66799999999998727</v>
      </c>
    </row>
    <row r="458" spans="1:14" x14ac:dyDescent="0.25">
      <c r="B458" s="302"/>
      <c r="C458" s="284"/>
      <c r="D458" s="302"/>
      <c r="E458" s="284"/>
      <c r="F458" s="302"/>
      <c r="G458" s="284"/>
      <c r="H458" s="302"/>
      <c r="I458" s="284"/>
    </row>
    <row r="459" spans="1:14" ht="13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5">
      <c r="A460" s="282" t="s">
        <v>364</v>
      </c>
      <c r="B460" s="302">
        <f>'Ind T6'!V189</f>
        <v>2.322690490468363</v>
      </c>
      <c r="C460" s="299" t="str">
        <f>CONCATENATE("(",ROUND((B460/$H462)*100,1),")")</f>
        <v>(19.4)</v>
      </c>
      <c r="D460" s="302">
        <f>'Ind T6'!W189</f>
        <v>1.9021689982280636</v>
      </c>
      <c r="E460" s="299" t="str">
        <f>CONCATENATE("(",ROUND((D460/$H462)*100,1),")")</f>
        <v>(15.9)</v>
      </c>
      <c r="F460" s="302">
        <f>'Ind T6'!X189</f>
        <v>1.9491243036626058</v>
      </c>
      <c r="G460" s="299" t="str">
        <f>CONCATENATE("(",ROUND((F460/$H462)*100,1),")")</f>
        <v>(16.3)</v>
      </c>
      <c r="H460" s="302">
        <f>SUM(B460,D460,F460)</f>
        <v>6.1739837923590324</v>
      </c>
      <c r="I460" s="299" t="str">
        <f>CONCATENATE("(",ROUND((H460/$H462)*100,1),")")</f>
        <v>(51.7)</v>
      </c>
      <c r="K460" s="302">
        <f>B460-B450</f>
        <v>0.11013326448897809</v>
      </c>
      <c r="L460" s="302">
        <f>D460-D450</f>
        <v>0.20678968883164361</v>
      </c>
      <c r="M460" s="302">
        <f>F460-F450</f>
        <v>-0.12831008130477506</v>
      </c>
      <c r="N460" s="302">
        <f>SUM(K460:M460)</f>
        <v>0.18861287201584664</v>
      </c>
    </row>
    <row r="461" spans="1:14" x14ac:dyDescent="0.25">
      <c r="A461" s="282" t="s">
        <v>365</v>
      </c>
      <c r="B461" s="302">
        <f>'Ind T6'!V188</f>
        <v>1.8279029542647047</v>
      </c>
      <c r="C461" s="299" t="str">
        <f>CONCATENATE("(",ROUND((B461/$H462)*100,1),")")</f>
        <v>(15.3)</v>
      </c>
      <c r="D461" s="302">
        <f>'Ind T6'!W188</f>
        <v>3.0715796955751786</v>
      </c>
      <c r="E461" s="299" t="str">
        <f>CONCATENATE("(",ROUND((D461/$H462)*100,1),")")</f>
        <v>(25.7)</v>
      </c>
      <c r="F461" s="302">
        <f>'Ind T6'!X188</f>
        <v>0.87953355780107989</v>
      </c>
      <c r="G461" s="299" t="str">
        <f>CONCATENATE("(",ROUND((F461/$H462)*100,1),")")</f>
        <v>(7.4)</v>
      </c>
      <c r="H461" s="302">
        <f t="shared" ref="H461" si="345">SUM(B461,D461,F461)</f>
        <v>5.7790162076409626</v>
      </c>
      <c r="I461" s="299" t="str">
        <f>CONCATENATE("(",ROUND((H461/$H462)*100,1),")")</f>
        <v>(48.3)</v>
      </c>
      <c r="K461" s="302">
        <f t="shared" ref="K461:K462" si="346">B461-B451</f>
        <v>-0.17261291185999839</v>
      </c>
      <c r="L461" s="302">
        <f t="shared" ref="L461:L462" si="347">D461-D451</f>
        <v>0.1091858583036589</v>
      </c>
      <c r="M461" s="302">
        <f t="shared" ref="M461:M462" si="348">F461-F451</f>
        <v>-8.2185818459508675E-2</v>
      </c>
      <c r="N461" s="302">
        <f t="shared" ref="N461:N462" si="349">SUM(K461:M461)</f>
        <v>-0.14561287201584816</v>
      </c>
    </row>
    <row r="462" spans="1:14" x14ac:dyDescent="0.25">
      <c r="A462" s="282" t="s">
        <v>363</v>
      </c>
      <c r="B462" s="302">
        <f>SUM(B460:B461)</f>
        <v>4.1505934447330679</v>
      </c>
      <c r="C462" s="299" t="str">
        <f>CONCATENATE("(",ROUND((B462/$H462)*100,1),")")</f>
        <v>(34.7)</v>
      </c>
      <c r="D462" s="302">
        <f>SUM(D460:D461)</f>
        <v>4.973748693803242</v>
      </c>
      <c r="E462" s="299" t="str">
        <f>CONCATENATE("(",ROUND((D462/$H462)*100,1),")")</f>
        <v>(41.6)</v>
      </c>
      <c r="F462" s="302">
        <f>SUM(F460:F461)</f>
        <v>2.8286578614636859</v>
      </c>
      <c r="G462" s="299" t="str">
        <f>CONCATENATE("(",ROUND((F462/$H462)*100,1),")")</f>
        <v>(23.7)</v>
      </c>
      <c r="H462" s="302">
        <f>SUM(H460:H461)</f>
        <v>11.952999999999996</v>
      </c>
      <c r="I462" s="299" t="str">
        <f>CONCATENATE("(",ROUND((H462/$H462)*100,1),")")</f>
        <v>(100)</v>
      </c>
      <c r="K462" s="302">
        <f t="shared" si="346"/>
        <v>-6.2479647371019631E-2</v>
      </c>
      <c r="L462" s="302">
        <f t="shared" si="347"/>
        <v>0.31597554713530229</v>
      </c>
      <c r="M462" s="302">
        <f t="shared" si="348"/>
        <v>-0.2104958997642834</v>
      </c>
      <c r="N462" s="302">
        <f t="shared" si="349"/>
        <v>4.2999999999999261E-2</v>
      </c>
    </row>
    <row r="463" spans="1:14" x14ac:dyDescent="0.25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ht="13" x14ac:dyDescent="0.3">
      <c r="C466" s="182"/>
      <c r="E466" s="182"/>
      <c r="G466" s="182"/>
      <c r="I466" s="182"/>
    </row>
    <row r="467" spans="1:14" ht="13" x14ac:dyDescent="0.3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ht="13" x14ac:dyDescent="0.3">
      <c r="N468" s="287" t="s">
        <v>370</v>
      </c>
    </row>
    <row r="469" spans="1:14" ht="13" x14ac:dyDescent="0.3">
      <c r="A469" s="182" t="s">
        <v>371</v>
      </c>
      <c r="B469" s="373" t="s">
        <v>369</v>
      </c>
      <c r="C469" s="373"/>
      <c r="D469" s="373" t="s">
        <v>368</v>
      </c>
      <c r="E469" s="373"/>
      <c r="F469" s="373" t="s">
        <v>367</v>
      </c>
      <c r="G469" s="373"/>
      <c r="H469" s="373" t="s">
        <v>33</v>
      </c>
      <c r="I469" s="373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ht="13" x14ac:dyDescent="0.3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5">
      <c r="A471" s="282" t="s">
        <v>364</v>
      </c>
      <c r="B471" s="302">
        <f>'Ind T6'!L198</f>
        <v>2.6398258980854208</v>
      </c>
      <c r="C471" s="299" t="str">
        <f>CONCATENATE("(",ROUND((B471/$H473)*100,1),")")</f>
        <v>(20.4)</v>
      </c>
      <c r="D471" s="302">
        <f>'Ind T6'!M198</f>
        <v>1.138433289367377</v>
      </c>
      <c r="E471" s="299" t="str">
        <f>CONCATENATE("(",ROUND((D471/$H473)*100,1),")")</f>
        <v>(8.8)</v>
      </c>
      <c r="F471" s="302">
        <f>'Ind T6'!N198</f>
        <v>0.67870714047960645</v>
      </c>
      <c r="G471" s="299" t="str">
        <f>CONCATENATE("(",ROUND((F471/$H473)*100,1),")")</f>
        <v>(5.2)</v>
      </c>
      <c r="H471" s="302">
        <f>SUM(B471,D471,F471)</f>
        <v>4.4569663279324043</v>
      </c>
      <c r="I471" s="299" t="str">
        <f>CONCATENATE("(",ROUND((H471/$H473)*100,1),")")</f>
        <v>(34.4)</v>
      </c>
      <c r="K471" s="302">
        <f>B476-B471</f>
        <v>1.7674168183122951E-2</v>
      </c>
      <c r="L471" s="302">
        <f>D476-D471</f>
        <v>-3.2839767160400379E-2</v>
      </c>
      <c r="M471" s="302">
        <f>F476-F471</f>
        <v>3.7909909676131504E-3</v>
      </c>
      <c r="N471" s="302">
        <f>SUM(K471:M471)</f>
        <v>-1.1374608009664278E-2</v>
      </c>
    </row>
    <row r="472" spans="1:14" x14ac:dyDescent="0.25">
      <c r="A472" s="282" t="s">
        <v>365</v>
      </c>
      <c r="B472" s="302">
        <f>'Ind T6'!L197</f>
        <v>2.9862109679900359</v>
      </c>
      <c r="C472" s="299" t="str">
        <f>CONCATENATE("(",ROUND((B472/$H473)*100,1),")")</f>
        <v>(23.1)</v>
      </c>
      <c r="D472" s="302">
        <f>'Ind T6'!M197</f>
        <v>2.5062274032067062</v>
      </c>
      <c r="E472" s="299" t="str">
        <f>CONCATENATE("(",ROUND((D472/$H473)*100,1),")")</f>
        <v>(19.4)</v>
      </c>
      <c r="F472" s="302">
        <f>'Ind T6'!N197</f>
        <v>2.9975953008708669</v>
      </c>
      <c r="G472" s="299" t="str">
        <f>CONCATENATE("(",ROUND((F472/$H473)*100,1),")")</f>
        <v>(23.2)</v>
      </c>
      <c r="H472" s="302">
        <f t="shared" ref="H472" si="350">SUM(B472,D472,F472)</f>
        <v>8.4900336720676091</v>
      </c>
      <c r="I472" s="299" t="str">
        <f>CONCATENATE("(",ROUND((H472/$H473)*100,1),")")</f>
        <v>(65.6)</v>
      </c>
      <c r="K472" s="302">
        <f t="shared" ref="K472:K473" si="351">B477-B472</f>
        <v>-0.16652155134651547</v>
      </c>
      <c r="L472" s="302">
        <f t="shared" ref="L472:L473" si="352">D477-D472</f>
        <v>-9.8275111901577894E-2</v>
      </c>
      <c r="M472" s="302">
        <f t="shared" ref="M472:M473" si="353">F477-F472</f>
        <v>-6.682872874225243E-2</v>
      </c>
      <c r="N472" s="302">
        <f t="shared" ref="N472:N473" si="354">SUM(K472:M472)</f>
        <v>-0.3316253919903458</v>
      </c>
    </row>
    <row r="473" spans="1:14" x14ac:dyDescent="0.25">
      <c r="A473" s="282" t="s">
        <v>363</v>
      </c>
      <c r="B473" s="302">
        <f>SUM(B471:B472)</f>
        <v>5.6260368660754567</v>
      </c>
      <c r="C473" s="299" t="str">
        <f>CONCATENATE("(",ROUND((B473/$H473)*100,1),")")</f>
        <v>(43.5)</v>
      </c>
      <c r="D473" s="302">
        <f>SUM(D471:D472)</f>
        <v>3.6446606925740834</v>
      </c>
      <c r="E473" s="299" t="str">
        <f>CONCATENATE("(",ROUND((D473/$H473)*100,1),")")</f>
        <v>(28.2)</v>
      </c>
      <c r="F473" s="302">
        <f>SUM(F471:F472)</f>
        <v>3.6763024413504732</v>
      </c>
      <c r="G473" s="299" t="str">
        <f>CONCATENATE("(",ROUND((F473/$H473)*100,1),")")</f>
        <v>(28.4)</v>
      </c>
      <c r="H473" s="302">
        <f>SUM(H471:H472)</f>
        <v>12.947000000000013</v>
      </c>
      <c r="I473" s="299" t="str">
        <f>CONCATENATE("(",ROUND((H473/$H473)*100,1),")")</f>
        <v>(100)</v>
      </c>
      <c r="K473" s="302">
        <f t="shared" si="351"/>
        <v>-0.14884738316339252</v>
      </c>
      <c r="L473" s="302">
        <f t="shared" si="352"/>
        <v>-0.1311148790619785</v>
      </c>
      <c r="M473" s="302">
        <f t="shared" si="353"/>
        <v>-6.3037737774639169E-2</v>
      </c>
      <c r="N473" s="302">
        <f t="shared" si="354"/>
        <v>-0.34300000000001019</v>
      </c>
    </row>
    <row r="474" spans="1:14" x14ac:dyDescent="0.25">
      <c r="B474" s="302"/>
      <c r="C474" s="284"/>
      <c r="D474" s="302"/>
      <c r="E474" s="284"/>
      <c r="F474" s="302"/>
      <c r="G474" s="284"/>
      <c r="H474" s="302"/>
      <c r="I474" s="284"/>
    </row>
    <row r="475" spans="1:14" ht="13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5">
      <c r="A476" s="282" t="s">
        <v>364</v>
      </c>
      <c r="B476" s="302">
        <f>'Ind T6'!Q198</f>
        <v>2.6575000662685437</v>
      </c>
      <c r="C476" s="299" t="str">
        <f>CONCATENATE("(",ROUND((B476/$H478)*100,1),")")</f>
        <v>(21.1)</v>
      </c>
      <c r="D476" s="302">
        <f>'Ind T6'!R198</f>
        <v>1.1055935222069766</v>
      </c>
      <c r="E476" s="299" t="str">
        <f>CONCATENATE("(",ROUND((D476/$H478)*100,1),")")</f>
        <v>(8.8)</v>
      </c>
      <c r="F476" s="302">
        <f>'Ind T6'!S198</f>
        <v>0.6824981314472196</v>
      </c>
      <c r="G476" s="299" t="str">
        <f>CONCATENATE("(",ROUND((F476/$H478)*100,1),")")</f>
        <v>(5.4)</v>
      </c>
      <c r="H476" s="302">
        <f>SUM(B476,D476,F476)</f>
        <v>4.4455917199227404</v>
      </c>
      <c r="I476" s="299" t="str">
        <f>CONCATENATE("(",ROUND((H476/$H478)*100,1),")")</f>
        <v>(35.3)</v>
      </c>
      <c r="K476" s="302">
        <f>B481-B476</f>
        <v>0.14500682789793817</v>
      </c>
      <c r="L476" s="302">
        <f>D481-D476</f>
        <v>1.086724727497046E-2</v>
      </c>
      <c r="M476" s="302">
        <f>F481-F476</f>
        <v>3.4367869699439835E-2</v>
      </c>
      <c r="N476" s="302">
        <f>SUM(K476:M476)</f>
        <v>0.19024194487234847</v>
      </c>
    </row>
    <row r="477" spans="1:14" x14ac:dyDescent="0.25">
      <c r="A477" s="282" t="s">
        <v>365</v>
      </c>
      <c r="B477" s="302">
        <f>'Ind T6'!Q197</f>
        <v>2.8196894166435205</v>
      </c>
      <c r="C477" s="299" t="str">
        <f>CONCATENATE("(",ROUND((B477/$H478)*100,1),")")</f>
        <v>(22.4)</v>
      </c>
      <c r="D477" s="302">
        <f>'Ind T6'!R197</f>
        <v>2.4079522913051283</v>
      </c>
      <c r="E477" s="299" t="str">
        <f>CONCATENATE("(",ROUND((D477/$H478)*100,1),")")</f>
        <v>(19.1)</v>
      </c>
      <c r="F477" s="302">
        <f>'Ind T6'!S197</f>
        <v>2.9307665721286145</v>
      </c>
      <c r="G477" s="299" t="str">
        <f>CONCATENATE("(",ROUND((F477/$H478)*100,1),")")</f>
        <v>(23.3)</v>
      </c>
      <c r="H477" s="302">
        <f t="shared" ref="H477" si="355">SUM(B477,D477,F477)</f>
        <v>8.1584082800772642</v>
      </c>
      <c r="I477" s="299" t="str">
        <f>CONCATENATE("(",ROUND((H477/$H478)*100,1),")")</f>
        <v>(64.7)</v>
      </c>
      <c r="K477" s="302">
        <f t="shared" ref="K477:K478" si="356">B482-B477</f>
        <v>-0.11052705881603408</v>
      </c>
      <c r="L477" s="302">
        <f t="shared" ref="L477:L478" si="357">D482-D477</f>
        <v>-6.1815017706559505E-2</v>
      </c>
      <c r="M477" s="302">
        <f t="shared" ref="M477:M478" si="358">F482-F477</f>
        <v>-2.6899868349774092E-2</v>
      </c>
      <c r="N477" s="302">
        <f t="shared" ref="N477:N478" si="359">SUM(K477:M477)</f>
        <v>-0.19924194487236768</v>
      </c>
    </row>
    <row r="478" spans="1:14" x14ac:dyDescent="0.25">
      <c r="A478" s="282" t="s">
        <v>363</v>
      </c>
      <c r="B478" s="302">
        <f>SUM(B476:B477)</f>
        <v>5.4771894829120642</v>
      </c>
      <c r="C478" s="299" t="str">
        <f>CONCATENATE("(",ROUND((B478/$H478)*100,1),")")</f>
        <v>(43.5)</v>
      </c>
      <c r="D478" s="302">
        <f>SUM(D476:D477)</f>
        <v>3.5135458135121049</v>
      </c>
      <c r="E478" s="299" t="str">
        <f>CONCATENATE("(",ROUND((D478/$H478)*100,1),")")</f>
        <v>(27.9)</v>
      </c>
      <c r="F478" s="302">
        <f>SUM(F476:F477)</f>
        <v>3.6132647035758341</v>
      </c>
      <c r="G478" s="299" t="str">
        <f>CONCATENATE("(",ROUND((F478/$H478)*100,1),")")</f>
        <v>(28.7)</v>
      </c>
      <c r="H478" s="302">
        <f>SUM(H476:H477)</f>
        <v>12.604000000000005</v>
      </c>
      <c r="I478" s="299" t="str">
        <f>CONCATENATE("(",ROUND((H478/$H478)*100,1),")")</f>
        <v>(100)</v>
      </c>
      <c r="K478" s="302">
        <f t="shared" si="356"/>
        <v>3.4479769081904088E-2</v>
      </c>
      <c r="L478" s="302">
        <f t="shared" si="357"/>
        <v>-5.0947770431589046E-2</v>
      </c>
      <c r="M478" s="302">
        <f t="shared" si="358"/>
        <v>7.4680013496655206E-3</v>
      </c>
      <c r="N478" s="302">
        <f t="shared" si="359"/>
        <v>-9.0000000000194369E-3</v>
      </c>
    </row>
    <row r="479" spans="1:14" x14ac:dyDescent="0.25">
      <c r="B479" s="302"/>
      <c r="C479" s="284"/>
      <c r="D479" s="302"/>
      <c r="E479" s="284"/>
      <c r="F479" s="302"/>
      <c r="G479" s="284"/>
      <c r="H479" s="302"/>
      <c r="I479" s="284"/>
    </row>
    <row r="480" spans="1:14" ht="13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5">
      <c r="A481" s="282" t="s">
        <v>364</v>
      </c>
      <c r="B481" s="302">
        <f>'Ind T6'!V198</f>
        <v>2.8025068941664819</v>
      </c>
      <c r="C481" s="299" t="str">
        <f>CONCATENATE("(",ROUND((B481/$H483)*100,1),")")</f>
        <v>(22.3)</v>
      </c>
      <c r="D481" s="302">
        <f>'Ind T6'!W198</f>
        <v>1.1164607694819471</v>
      </c>
      <c r="E481" s="299" t="str">
        <f>CONCATENATE("(",ROUND((D481/$H483)*100,1),")")</f>
        <v>(8.9)</v>
      </c>
      <c r="F481" s="302">
        <f>'Ind T6'!X198</f>
        <v>0.71686600114665944</v>
      </c>
      <c r="G481" s="299" t="str">
        <f>CONCATENATE("(",ROUND((F481/$H483)*100,1),")")</f>
        <v>(5.7)</v>
      </c>
      <c r="H481" s="302">
        <f>SUM(B481,D481,F481)</f>
        <v>4.6358336647950882</v>
      </c>
      <c r="I481" s="299" t="str">
        <f>CONCATENATE("(",ROUND((H481/$H483)*100,1),")")</f>
        <v>(36.8)</v>
      </c>
      <c r="K481" s="302">
        <f>B481-B471</f>
        <v>0.16268099608106112</v>
      </c>
      <c r="L481" s="302">
        <f>D481-D471</f>
        <v>-2.197251988542992E-2</v>
      </c>
      <c r="M481" s="302">
        <f>F481-F471</f>
        <v>3.8158860667052985E-2</v>
      </c>
      <c r="N481" s="302">
        <f>SUM(K481:M481)</f>
        <v>0.17886733686268419</v>
      </c>
    </row>
    <row r="482" spans="1:14" x14ac:dyDescent="0.25">
      <c r="A482" s="282" t="s">
        <v>365</v>
      </c>
      <c r="B482" s="302">
        <f>'Ind T6'!V197</f>
        <v>2.7091623578274864</v>
      </c>
      <c r="C482" s="299" t="str">
        <f>CONCATENATE("(",ROUND((B482/$H483)*100,1),")")</f>
        <v>(21.5)</v>
      </c>
      <c r="D482" s="302">
        <f>'Ind T6'!W197</f>
        <v>2.3461372735985688</v>
      </c>
      <c r="E482" s="299" t="str">
        <f>CONCATENATE("(",ROUND((D482/$H483)*100,1),")")</f>
        <v>(18.6)</v>
      </c>
      <c r="F482" s="302">
        <f>'Ind T6'!X197</f>
        <v>2.9038667037788404</v>
      </c>
      <c r="G482" s="299" t="str">
        <f>CONCATENATE("(",ROUND((F482/$H483)*100,1),")")</f>
        <v>(23.1)</v>
      </c>
      <c r="H482" s="302">
        <f t="shared" ref="H482" si="360">SUM(B482,D482,F482)</f>
        <v>7.9591663352048956</v>
      </c>
      <c r="I482" s="299" t="str">
        <f>CONCATENATE("(",ROUND((H482/$H483)*100,1),")")</f>
        <v>(63.2)</v>
      </c>
      <c r="K482" s="302">
        <f t="shared" ref="K482:K483" si="361">B482-B472</f>
        <v>-0.27704861016254956</v>
      </c>
      <c r="L482" s="302">
        <f t="shared" ref="L482:L483" si="362">D482-D472</f>
        <v>-0.1600901296081374</v>
      </c>
      <c r="M482" s="302">
        <f t="shared" ref="M482:M483" si="363">F482-F472</f>
        <v>-9.3728597092026522E-2</v>
      </c>
      <c r="N482" s="302">
        <f t="shared" ref="N482:N483" si="364">SUM(K482:M482)</f>
        <v>-0.53086733686271348</v>
      </c>
    </row>
    <row r="483" spans="1:14" x14ac:dyDescent="0.25">
      <c r="A483" s="282" t="s">
        <v>363</v>
      </c>
      <c r="B483" s="302">
        <f>SUM(B481:B482)</f>
        <v>5.5116692519939683</v>
      </c>
      <c r="C483" s="299" t="str">
        <f>CONCATENATE("(",ROUND((B483/$H483)*100,1),")")</f>
        <v>(43.8)</v>
      </c>
      <c r="D483" s="302">
        <f>SUM(D481:D482)</f>
        <v>3.4625980430805159</v>
      </c>
      <c r="E483" s="299" t="str">
        <f>CONCATENATE("(",ROUND((D483/$H483)*100,1),")")</f>
        <v>(27.5)</v>
      </c>
      <c r="F483" s="302">
        <f>SUM(F481:F482)</f>
        <v>3.6207327049254996</v>
      </c>
      <c r="G483" s="299" t="str">
        <f>CONCATENATE("(",ROUND((F483/$H483)*100,1),")")</f>
        <v>(28.7)</v>
      </c>
      <c r="H483" s="302">
        <f>SUM(H481:H482)</f>
        <v>12.594999999999985</v>
      </c>
      <c r="I483" s="299" t="str">
        <f>CONCATENATE("(",ROUND((H483/$H483)*100,1),")")</f>
        <v>(100)</v>
      </c>
      <c r="K483" s="302">
        <f t="shared" si="361"/>
        <v>-0.11436761408148843</v>
      </c>
      <c r="L483" s="302">
        <f t="shared" si="362"/>
        <v>-0.18206264949356754</v>
      </c>
      <c r="M483" s="302">
        <f t="shared" si="363"/>
        <v>-5.5569736424973648E-2</v>
      </c>
      <c r="N483" s="302">
        <f t="shared" si="364"/>
        <v>-0.35200000000002962</v>
      </c>
    </row>
    <row r="484" spans="1:14" x14ac:dyDescent="0.25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ht="13" x14ac:dyDescent="0.3">
      <c r="A488" s="182"/>
      <c r="B488" s="285"/>
      <c r="C488" s="182"/>
      <c r="D488" s="285"/>
      <c r="E488" s="182"/>
      <c r="F488" s="285"/>
      <c r="G488" s="182"/>
      <c r="I488" s="182"/>
    </row>
    <row r="489" spans="1:14" ht="13" x14ac:dyDescent="0.3">
      <c r="N489" s="287"/>
    </row>
    <row r="490" spans="1:14" ht="13" x14ac:dyDescent="0.3">
      <c r="A490" s="182"/>
      <c r="B490" s="373"/>
      <c r="C490" s="373"/>
      <c r="D490" s="373"/>
      <c r="E490" s="373"/>
      <c r="F490" s="373"/>
      <c r="G490" s="373"/>
      <c r="H490" s="373"/>
      <c r="I490" s="373"/>
      <c r="J490" s="182"/>
      <c r="K490" s="287"/>
      <c r="L490" s="287"/>
      <c r="M490" s="287"/>
      <c r="N490" s="287"/>
    </row>
    <row r="491" spans="1:14" ht="13" x14ac:dyDescent="0.3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5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5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5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5">
      <c r="B495" s="249"/>
      <c r="C495" s="284"/>
      <c r="D495" s="249"/>
      <c r="E495" s="284"/>
      <c r="F495" s="249"/>
      <c r="G495" s="284"/>
      <c r="H495" s="249"/>
      <c r="I495" s="284"/>
    </row>
    <row r="496" spans="1:14" ht="13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5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5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5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5">
      <c r="B500" s="249"/>
      <c r="C500" s="284"/>
      <c r="D500" s="249"/>
      <c r="E500" s="284"/>
      <c r="F500" s="249"/>
      <c r="G500" s="284"/>
      <c r="H500" s="249"/>
      <c r="I500" s="284"/>
    </row>
    <row r="501" spans="1:14" ht="13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5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5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5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ht="13" x14ac:dyDescent="0.3">
      <c r="A509" s="182"/>
      <c r="B509" s="285"/>
      <c r="C509" s="182"/>
      <c r="D509" s="285"/>
      <c r="E509" s="182"/>
      <c r="F509" s="285"/>
      <c r="G509" s="182"/>
      <c r="I509" s="182"/>
    </row>
    <row r="510" spans="1:14" ht="13" x14ac:dyDescent="0.3">
      <c r="N510" s="287"/>
    </row>
    <row r="511" spans="1:14" ht="13" x14ac:dyDescent="0.3">
      <c r="A511" s="182"/>
      <c r="B511" s="373"/>
      <c r="C511" s="373"/>
      <c r="D511" s="373"/>
      <c r="E511" s="373"/>
      <c r="F511" s="373"/>
      <c r="G511" s="373"/>
      <c r="H511" s="373"/>
      <c r="I511" s="373"/>
      <c r="J511" s="182"/>
      <c r="K511" s="287"/>
      <c r="L511" s="287"/>
      <c r="M511" s="287"/>
      <c r="N511" s="287"/>
    </row>
    <row r="512" spans="1:14" ht="13" x14ac:dyDescent="0.3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5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5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5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5">
      <c r="B516" s="249"/>
      <c r="C516" s="284"/>
      <c r="D516" s="249"/>
      <c r="E516" s="284"/>
      <c r="F516" s="249"/>
      <c r="G516" s="284"/>
      <c r="H516" s="249"/>
      <c r="I516" s="284"/>
    </row>
    <row r="517" spans="1:14" ht="13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5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5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5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5">
      <c r="B521" s="249"/>
      <c r="C521" s="284"/>
      <c r="D521" s="249"/>
      <c r="E521" s="284"/>
      <c r="F521" s="249"/>
      <c r="G521" s="284"/>
      <c r="H521" s="249"/>
      <c r="I521" s="284"/>
    </row>
    <row r="522" spans="1:14" ht="13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5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5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5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ht="13" x14ac:dyDescent="0.3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ht="13" x14ac:dyDescent="0.3">
      <c r="N531" s="287"/>
    </row>
    <row r="532" spans="1:14" ht="13" x14ac:dyDescent="0.3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ht="13" x14ac:dyDescent="0.3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5">
      <c r="C534" s="284"/>
      <c r="E534" s="284"/>
      <c r="G534" s="284"/>
      <c r="I534" s="284"/>
    </row>
    <row r="535" spans="1:14" x14ac:dyDescent="0.25">
      <c r="C535" s="284"/>
      <c r="E535" s="284"/>
      <c r="G535" s="284"/>
      <c r="I535" s="284"/>
    </row>
    <row r="536" spans="1:14" x14ac:dyDescent="0.25">
      <c r="C536" s="284"/>
      <c r="E536" s="284"/>
      <c r="G536" s="284"/>
      <c r="I536" s="284"/>
    </row>
    <row r="537" spans="1:14" x14ac:dyDescent="0.25">
      <c r="C537" s="284"/>
      <c r="E537" s="284"/>
      <c r="G537" s="284"/>
      <c r="I537" s="284"/>
    </row>
    <row r="538" spans="1:14" ht="13" x14ac:dyDescent="0.3">
      <c r="A538" s="292"/>
      <c r="C538" s="284"/>
      <c r="E538" s="284"/>
      <c r="G538" s="284"/>
      <c r="I538" s="284"/>
      <c r="K538" s="285"/>
    </row>
    <row r="539" spans="1:14" x14ac:dyDescent="0.25">
      <c r="C539" s="284"/>
      <c r="E539" s="284"/>
      <c r="G539" s="284"/>
      <c r="I539" s="284"/>
    </row>
    <row r="540" spans="1:14" x14ac:dyDescent="0.25">
      <c r="C540" s="284"/>
      <c r="E540" s="284"/>
      <c r="G540" s="284"/>
      <c r="I540" s="284"/>
    </row>
    <row r="541" spans="1:14" x14ac:dyDescent="0.25">
      <c r="C541" s="284"/>
      <c r="E541" s="284"/>
      <c r="G541" s="284"/>
      <c r="I541" s="284"/>
    </row>
    <row r="542" spans="1:14" x14ac:dyDescent="0.25">
      <c r="C542" s="284"/>
      <c r="E542" s="284"/>
      <c r="G542" s="284"/>
      <c r="I542" s="284"/>
    </row>
    <row r="543" spans="1:14" ht="13" x14ac:dyDescent="0.3">
      <c r="A543" s="292"/>
      <c r="C543" s="284"/>
      <c r="E543" s="284"/>
      <c r="G543" s="284"/>
      <c r="I543" s="284"/>
      <c r="K543" s="285"/>
    </row>
    <row r="544" spans="1:14" x14ac:dyDescent="0.25">
      <c r="C544" s="284"/>
      <c r="E544" s="284"/>
      <c r="G544" s="284"/>
      <c r="I544" s="284"/>
    </row>
    <row r="545" spans="1:9" x14ac:dyDescent="0.25">
      <c r="C545" s="284"/>
      <c r="E545" s="284"/>
      <c r="G545" s="284"/>
      <c r="I545" s="284"/>
    </row>
    <row r="546" spans="1:9" x14ac:dyDescent="0.25">
      <c r="C546" s="284"/>
      <c r="E546" s="284"/>
      <c r="G546" s="284"/>
      <c r="I546" s="284"/>
    </row>
    <row r="557" spans="1:9" ht="13" x14ac:dyDescent="0.3">
      <c r="C557" s="182"/>
      <c r="E557" s="182"/>
      <c r="G557" s="182"/>
      <c r="I557" s="182"/>
    </row>
    <row r="558" spans="1:9" ht="13" x14ac:dyDescent="0.3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ht="13" x14ac:dyDescent="0.3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ht="13" x14ac:dyDescent="0.3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ht="13" x14ac:dyDescent="0.3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ht="13" x14ac:dyDescent="0.3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ht="13" x14ac:dyDescent="0.3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ht="13" x14ac:dyDescent="0.3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ht="13" x14ac:dyDescent="0.3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ht="13" x14ac:dyDescent="0.3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ht="13" x14ac:dyDescent="0.3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ht="13" x14ac:dyDescent="0.3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ht="13" x14ac:dyDescent="0.3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ht="13" x14ac:dyDescent="0.3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ht="13" x14ac:dyDescent="0.3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ht="13" x14ac:dyDescent="0.3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ht="13" x14ac:dyDescent="0.3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ht="13" x14ac:dyDescent="0.3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ht="13" x14ac:dyDescent="0.3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ht="13" x14ac:dyDescent="0.3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ht="13" x14ac:dyDescent="0.3">
      <c r="A577" s="182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6953125" defaultRowHeight="13" x14ac:dyDescent="0.3"/>
  <cols>
    <col min="1" max="1" width="35.81640625" style="260" customWidth="1"/>
    <col min="2" max="2" width="6.7265625" style="263" customWidth="1"/>
    <col min="3" max="3" width="6.7265625" style="314" customWidth="1"/>
    <col min="4" max="25" width="6.7265625" style="263" customWidth="1"/>
    <col min="26" max="26" width="7.54296875" style="260" customWidth="1"/>
    <col min="27" max="266" width="6.26953125" style="260"/>
    <col min="267" max="267" width="43.54296875" style="260" customWidth="1"/>
    <col min="268" max="268" width="7.54296875" style="260" customWidth="1"/>
    <col min="269" max="270" width="8.453125" style="260" customWidth="1"/>
    <col min="271" max="271" width="6.7265625" style="260" customWidth="1"/>
    <col min="272" max="273" width="7.54296875" style="260" customWidth="1"/>
    <col min="274" max="275" width="8.453125" style="260" customWidth="1"/>
    <col min="276" max="276" width="6.7265625" style="260" customWidth="1"/>
    <col min="277" max="278" width="7.54296875" style="260" customWidth="1"/>
    <col min="279" max="280" width="8.453125" style="260" customWidth="1"/>
    <col min="281" max="281" width="6.7265625" style="260" customWidth="1"/>
    <col min="282" max="282" width="7.54296875" style="260" customWidth="1"/>
    <col min="283" max="522" width="6.26953125" style="260"/>
    <col min="523" max="523" width="43.54296875" style="260" customWidth="1"/>
    <col min="524" max="524" width="7.54296875" style="260" customWidth="1"/>
    <col min="525" max="526" width="8.453125" style="260" customWidth="1"/>
    <col min="527" max="527" width="6.7265625" style="260" customWidth="1"/>
    <col min="528" max="529" width="7.54296875" style="260" customWidth="1"/>
    <col min="530" max="531" width="8.453125" style="260" customWidth="1"/>
    <col min="532" max="532" width="6.7265625" style="260" customWidth="1"/>
    <col min="533" max="534" width="7.54296875" style="260" customWidth="1"/>
    <col min="535" max="536" width="8.453125" style="260" customWidth="1"/>
    <col min="537" max="537" width="6.7265625" style="260" customWidth="1"/>
    <col min="538" max="538" width="7.54296875" style="260" customWidth="1"/>
    <col min="539" max="778" width="6.26953125" style="260"/>
    <col min="779" max="779" width="43.54296875" style="260" customWidth="1"/>
    <col min="780" max="780" width="7.54296875" style="260" customWidth="1"/>
    <col min="781" max="782" width="8.453125" style="260" customWidth="1"/>
    <col min="783" max="783" width="6.7265625" style="260" customWidth="1"/>
    <col min="784" max="785" width="7.54296875" style="260" customWidth="1"/>
    <col min="786" max="787" width="8.453125" style="260" customWidth="1"/>
    <col min="788" max="788" width="6.7265625" style="260" customWidth="1"/>
    <col min="789" max="790" width="7.54296875" style="260" customWidth="1"/>
    <col min="791" max="792" width="8.453125" style="260" customWidth="1"/>
    <col min="793" max="793" width="6.7265625" style="260" customWidth="1"/>
    <col min="794" max="794" width="7.54296875" style="260" customWidth="1"/>
    <col min="795" max="1034" width="6.26953125" style="260"/>
    <col min="1035" max="1035" width="43.54296875" style="260" customWidth="1"/>
    <col min="1036" max="1036" width="7.54296875" style="260" customWidth="1"/>
    <col min="1037" max="1038" width="8.453125" style="260" customWidth="1"/>
    <col min="1039" max="1039" width="6.7265625" style="260" customWidth="1"/>
    <col min="1040" max="1041" width="7.54296875" style="260" customWidth="1"/>
    <col min="1042" max="1043" width="8.453125" style="260" customWidth="1"/>
    <col min="1044" max="1044" width="6.7265625" style="260" customWidth="1"/>
    <col min="1045" max="1046" width="7.54296875" style="260" customWidth="1"/>
    <col min="1047" max="1048" width="8.453125" style="260" customWidth="1"/>
    <col min="1049" max="1049" width="6.7265625" style="260" customWidth="1"/>
    <col min="1050" max="1050" width="7.54296875" style="260" customWidth="1"/>
    <col min="1051" max="1290" width="6.26953125" style="260"/>
    <col min="1291" max="1291" width="43.54296875" style="260" customWidth="1"/>
    <col min="1292" max="1292" width="7.54296875" style="260" customWidth="1"/>
    <col min="1293" max="1294" width="8.453125" style="260" customWidth="1"/>
    <col min="1295" max="1295" width="6.7265625" style="260" customWidth="1"/>
    <col min="1296" max="1297" width="7.54296875" style="260" customWidth="1"/>
    <col min="1298" max="1299" width="8.453125" style="260" customWidth="1"/>
    <col min="1300" max="1300" width="6.7265625" style="260" customWidth="1"/>
    <col min="1301" max="1302" width="7.54296875" style="260" customWidth="1"/>
    <col min="1303" max="1304" width="8.453125" style="260" customWidth="1"/>
    <col min="1305" max="1305" width="6.7265625" style="260" customWidth="1"/>
    <col min="1306" max="1306" width="7.54296875" style="260" customWidth="1"/>
    <col min="1307" max="1546" width="6.26953125" style="260"/>
    <col min="1547" max="1547" width="43.54296875" style="260" customWidth="1"/>
    <col min="1548" max="1548" width="7.54296875" style="260" customWidth="1"/>
    <col min="1549" max="1550" width="8.453125" style="260" customWidth="1"/>
    <col min="1551" max="1551" width="6.7265625" style="260" customWidth="1"/>
    <col min="1552" max="1553" width="7.54296875" style="260" customWidth="1"/>
    <col min="1554" max="1555" width="8.453125" style="260" customWidth="1"/>
    <col min="1556" max="1556" width="6.7265625" style="260" customWidth="1"/>
    <col min="1557" max="1558" width="7.54296875" style="260" customWidth="1"/>
    <col min="1559" max="1560" width="8.453125" style="260" customWidth="1"/>
    <col min="1561" max="1561" width="6.7265625" style="260" customWidth="1"/>
    <col min="1562" max="1562" width="7.54296875" style="260" customWidth="1"/>
    <col min="1563" max="1802" width="6.26953125" style="260"/>
    <col min="1803" max="1803" width="43.54296875" style="260" customWidth="1"/>
    <col min="1804" max="1804" width="7.54296875" style="260" customWidth="1"/>
    <col min="1805" max="1806" width="8.453125" style="260" customWidth="1"/>
    <col min="1807" max="1807" width="6.7265625" style="260" customWidth="1"/>
    <col min="1808" max="1809" width="7.54296875" style="260" customWidth="1"/>
    <col min="1810" max="1811" width="8.453125" style="260" customWidth="1"/>
    <col min="1812" max="1812" width="6.7265625" style="260" customWidth="1"/>
    <col min="1813" max="1814" width="7.54296875" style="260" customWidth="1"/>
    <col min="1815" max="1816" width="8.453125" style="260" customWidth="1"/>
    <col min="1817" max="1817" width="6.7265625" style="260" customWidth="1"/>
    <col min="1818" max="1818" width="7.54296875" style="260" customWidth="1"/>
    <col min="1819" max="2058" width="6.26953125" style="260"/>
    <col min="2059" max="2059" width="43.54296875" style="260" customWidth="1"/>
    <col min="2060" max="2060" width="7.54296875" style="260" customWidth="1"/>
    <col min="2061" max="2062" width="8.453125" style="260" customWidth="1"/>
    <col min="2063" max="2063" width="6.7265625" style="260" customWidth="1"/>
    <col min="2064" max="2065" width="7.54296875" style="260" customWidth="1"/>
    <col min="2066" max="2067" width="8.453125" style="260" customWidth="1"/>
    <col min="2068" max="2068" width="6.7265625" style="260" customWidth="1"/>
    <col min="2069" max="2070" width="7.54296875" style="260" customWidth="1"/>
    <col min="2071" max="2072" width="8.453125" style="260" customWidth="1"/>
    <col min="2073" max="2073" width="6.7265625" style="260" customWidth="1"/>
    <col min="2074" max="2074" width="7.54296875" style="260" customWidth="1"/>
    <col min="2075" max="2314" width="6.26953125" style="260"/>
    <col min="2315" max="2315" width="43.54296875" style="260" customWidth="1"/>
    <col min="2316" max="2316" width="7.54296875" style="260" customWidth="1"/>
    <col min="2317" max="2318" width="8.453125" style="260" customWidth="1"/>
    <col min="2319" max="2319" width="6.7265625" style="260" customWidth="1"/>
    <col min="2320" max="2321" width="7.54296875" style="260" customWidth="1"/>
    <col min="2322" max="2323" width="8.453125" style="260" customWidth="1"/>
    <col min="2324" max="2324" width="6.7265625" style="260" customWidth="1"/>
    <col min="2325" max="2326" width="7.54296875" style="260" customWidth="1"/>
    <col min="2327" max="2328" width="8.453125" style="260" customWidth="1"/>
    <col min="2329" max="2329" width="6.7265625" style="260" customWidth="1"/>
    <col min="2330" max="2330" width="7.54296875" style="260" customWidth="1"/>
    <col min="2331" max="2570" width="6.26953125" style="260"/>
    <col min="2571" max="2571" width="43.54296875" style="260" customWidth="1"/>
    <col min="2572" max="2572" width="7.54296875" style="260" customWidth="1"/>
    <col min="2573" max="2574" width="8.453125" style="260" customWidth="1"/>
    <col min="2575" max="2575" width="6.7265625" style="260" customWidth="1"/>
    <col min="2576" max="2577" width="7.54296875" style="260" customWidth="1"/>
    <col min="2578" max="2579" width="8.453125" style="260" customWidth="1"/>
    <col min="2580" max="2580" width="6.7265625" style="260" customWidth="1"/>
    <col min="2581" max="2582" width="7.54296875" style="260" customWidth="1"/>
    <col min="2583" max="2584" width="8.453125" style="260" customWidth="1"/>
    <col min="2585" max="2585" width="6.7265625" style="260" customWidth="1"/>
    <col min="2586" max="2586" width="7.54296875" style="260" customWidth="1"/>
    <col min="2587" max="2826" width="6.26953125" style="260"/>
    <col min="2827" max="2827" width="43.54296875" style="260" customWidth="1"/>
    <col min="2828" max="2828" width="7.54296875" style="260" customWidth="1"/>
    <col min="2829" max="2830" width="8.453125" style="260" customWidth="1"/>
    <col min="2831" max="2831" width="6.7265625" style="260" customWidth="1"/>
    <col min="2832" max="2833" width="7.54296875" style="260" customWidth="1"/>
    <col min="2834" max="2835" width="8.453125" style="260" customWidth="1"/>
    <col min="2836" max="2836" width="6.7265625" style="260" customWidth="1"/>
    <col min="2837" max="2838" width="7.54296875" style="260" customWidth="1"/>
    <col min="2839" max="2840" width="8.453125" style="260" customWidth="1"/>
    <col min="2841" max="2841" width="6.7265625" style="260" customWidth="1"/>
    <col min="2842" max="2842" width="7.54296875" style="260" customWidth="1"/>
    <col min="2843" max="3082" width="6.26953125" style="260"/>
    <col min="3083" max="3083" width="43.54296875" style="260" customWidth="1"/>
    <col min="3084" max="3084" width="7.54296875" style="260" customWidth="1"/>
    <col min="3085" max="3086" width="8.453125" style="260" customWidth="1"/>
    <col min="3087" max="3087" width="6.7265625" style="260" customWidth="1"/>
    <col min="3088" max="3089" width="7.54296875" style="260" customWidth="1"/>
    <col min="3090" max="3091" width="8.453125" style="260" customWidth="1"/>
    <col min="3092" max="3092" width="6.7265625" style="260" customWidth="1"/>
    <col min="3093" max="3094" width="7.54296875" style="260" customWidth="1"/>
    <col min="3095" max="3096" width="8.453125" style="260" customWidth="1"/>
    <col min="3097" max="3097" width="6.7265625" style="260" customWidth="1"/>
    <col min="3098" max="3098" width="7.54296875" style="260" customWidth="1"/>
    <col min="3099" max="3338" width="6.26953125" style="260"/>
    <col min="3339" max="3339" width="43.54296875" style="260" customWidth="1"/>
    <col min="3340" max="3340" width="7.54296875" style="260" customWidth="1"/>
    <col min="3341" max="3342" width="8.453125" style="260" customWidth="1"/>
    <col min="3343" max="3343" width="6.7265625" style="260" customWidth="1"/>
    <col min="3344" max="3345" width="7.54296875" style="260" customWidth="1"/>
    <col min="3346" max="3347" width="8.453125" style="260" customWidth="1"/>
    <col min="3348" max="3348" width="6.7265625" style="260" customWidth="1"/>
    <col min="3349" max="3350" width="7.54296875" style="260" customWidth="1"/>
    <col min="3351" max="3352" width="8.453125" style="260" customWidth="1"/>
    <col min="3353" max="3353" width="6.7265625" style="260" customWidth="1"/>
    <col min="3354" max="3354" width="7.54296875" style="260" customWidth="1"/>
    <col min="3355" max="3594" width="6.26953125" style="260"/>
    <col min="3595" max="3595" width="43.54296875" style="260" customWidth="1"/>
    <col min="3596" max="3596" width="7.54296875" style="260" customWidth="1"/>
    <col min="3597" max="3598" width="8.453125" style="260" customWidth="1"/>
    <col min="3599" max="3599" width="6.7265625" style="260" customWidth="1"/>
    <col min="3600" max="3601" width="7.54296875" style="260" customWidth="1"/>
    <col min="3602" max="3603" width="8.453125" style="260" customWidth="1"/>
    <col min="3604" max="3604" width="6.7265625" style="260" customWidth="1"/>
    <col min="3605" max="3606" width="7.54296875" style="260" customWidth="1"/>
    <col min="3607" max="3608" width="8.453125" style="260" customWidth="1"/>
    <col min="3609" max="3609" width="6.7265625" style="260" customWidth="1"/>
    <col min="3610" max="3610" width="7.54296875" style="260" customWidth="1"/>
    <col min="3611" max="3850" width="6.26953125" style="260"/>
    <col min="3851" max="3851" width="43.54296875" style="260" customWidth="1"/>
    <col min="3852" max="3852" width="7.54296875" style="260" customWidth="1"/>
    <col min="3853" max="3854" width="8.453125" style="260" customWidth="1"/>
    <col min="3855" max="3855" width="6.7265625" style="260" customWidth="1"/>
    <col min="3856" max="3857" width="7.54296875" style="260" customWidth="1"/>
    <col min="3858" max="3859" width="8.453125" style="260" customWidth="1"/>
    <col min="3860" max="3860" width="6.7265625" style="260" customWidth="1"/>
    <col min="3861" max="3862" width="7.54296875" style="260" customWidth="1"/>
    <col min="3863" max="3864" width="8.453125" style="260" customWidth="1"/>
    <col min="3865" max="3865" width="6.7265625" style="260" customWidth="1"/>
    <col min="3866" max="3866" width="7.54296875" style="260" customWidth="1"/>
    <col min="3867" max="4106" width="6.26953125" style="260"/>
    <col min="4107" max="4107" width="43.54296875" style="260" customWidth="1"/>
    <col min="4108" max="4108" width="7.54296875" style="260" customWidth="1"/>
    <col min="4109" max="4110" width="8.453125" style="260" customWidth="1"/>
    <col min="4111" max="4111" width="6.7265625" style="260" customWidth="1"/>
    <col min="4112" max="4113" width="7.54296875" style="260" customWidth="1"/>
    <col min="4114" max="4115" width="8.453125" style="260" customWidth="1"/>
    <col min="4116" max="4116" width="6.7265625" style="260" customWidth="1"/>
    <col min="4117" max="4118" width="7.54296875" style="260" customWidth="1"/>
    <col min="4119" max="4120" width="8.453125" style="260" customWidth="1"/>
    <col min="4121" max="4121" width="6.7265625" style="260" customWidth="1"/>
    <col min="4122" max="4122" width="7.54296875" style="260" customWidth="1"/>
    <col min="4123" max="4362" width="6.26953125" style="260"/>
    <col min="4363" max="4363" width="43.54296875" style="260" customWidth="1"/>
    <col min="4364" max="4364" width="7.54296875" style="260" customWidth="1"/>
    <col min="4365" max="4366" width="8.453125" style="260" customWidth="1"/>
    <col min="4367" max="4367" width="6.7265625" style="260" customWidth="1"/>
    <col min="4368" max="4369" width="7.54296875" style="260" customWidth="1"/>
    <col min="4370" max="4371" width="8.453125" style="260" customWidth="1"/>
    <col min="4372" max="4372" width="6.7265625" style="260" customWidth="1"/>
    <col min="4373" max="4374" width="7.54296875" style="260" customWidth="1"/>
    <col min="4375" max="4376" width="8.453125" style="260" customWidth="1"/>
    <col min="4377" max="4377" width="6.7265625" style="260" customWidth="1"/>
    <col min="4378" max="4378" width="7.54296875" style="260" customWidth="1"/>
    <col min="4379" max="4618" width="6.26953125" style="260"/>
    <col min="4619" max="4619" width="43.54296875" style="260" customWidth="1"/>
    <col min="4620" max="4620" width="7.54296875" style="260" customWidth="1"/>
    <col min="4621" max="4622" width="8.453125" style="260" customWidth="1"/>
    <col min="4623" max="4623" width="6.7265625" style="260" customWidth="1"/>
    <col min="4624" max="4625" width="7.54296875" style="260" customWidth="1"/>
    <col min="4626" max="4627" width="8.453125" style="260" customWidth="1"/>
    <col min="4628" max="4628" width="6.7265625" style="260" customWidth="1"/>
    <col min="4629" max="4630" width="7.54296875" style="260" customWidth="1"/>
    <col min="4631" max="4632" width="8.453125" style="260" customWidth="1"/>
    <col min="4633" max="4633" width="6.7265625" style="260" customWidth="1"/>
    <col min="4634" max="4634" width="7.54296875" style="260" customWidth="1"/>
    <col min="4635" max="4874" width="6.26953125" style="260"/>
    <col min="4875" max="4875" width="43.54296875" style="260" customWidth="1"/>
    <col min="4876" max="4876" width="7.54296875" style="260" customWidth="1"/>
    <col min="4877" max="4878" width="8.453125" style="260" customWidth="1"/>
    <col min="4879" max="4879" width="6.7265625" style="260" customWidth="1"/>
    <col min="4880" max="4881" width="7.54296875" style="260" customWidth="1"/>
    <col min="4882" max="4883" width="8.453125" style="260" customWidth="1"/>
    <col min="4884" max="4884" width="6.7265625" style="260" customWidth="1"/>
    <col min="4885" max="4886" width="7.54296875" style="260" customWidth="1"/>
    <col min="4887" max="4888" width="8.453125" style="260" customWidth="1"/>
    <col min="4889" max="4889" width="6.7265625" style="260" customWidth="1"/>
    <col min="4890" max="4890" width="7.54296875" style="260" customWidth="1"/>
    <col min="4891" max="5130" width="6.26953125" style="260"/>
    <col min="5131" max="5131" width="43.54296875" style="260" customWidth="1"/>
    <col min="5132" max="5132" width="7.54296875" style="260" customWidth="1"/>
    <col min="5133" max="5134" width="8.453125" style="260" customWidth="1"/>
    <col min="5135" max="5135" width="6.7265625" style="260" customWidth="1"/>
    <col min="5136" max="5137" width="7.54296875" style="260" customWidth="1"/>
    <col min="5138" max="5139" width="8.453125" style="260" customWidth="1"/>
    <col min="5140" max="5140" width="6.7265625" style="260" customWidth="1"/>
    <col min="5141" max="5142" width="7.54296875" style="260" customWidth="1"/>
    <col min="5143" max="5144" width="8.453125" style="260" customWidth="1"/>
    <col min="5145" max="5145" width="6.7265625" style="260" customWidth="1"/>
    <col min="5146" max="5146" width="7.54296875" style="260" customWidth="1"/>
    <col min="5147" max="5386" width="6.26953125" style="260"/>
    <col min="5387" max="5387" width="43.54296875" style="260" customWidth="1"/>
    <col min="5388" max="5388" width="7.54296875" style="260" customWidth="1"/>
    <col min="5389" max="5390" width="8.453125" style="260" customWidth="1"/>
    <col min="5391" max="5391" width="6.7265625" style="260" customWidth="1"/>
    <col min="5392" max="5393" width="7.54296875" style="260" customWidth="1"/>
    <col min="5394" max="5395" width="8.453125" style="260" customWidth="1"/>
    <col min="5396" max="5396" width="6.7265625" style="260" customWidth="1"/>
    <col min="5397" max="5398" width="7.54296875" style="260" customWidth="1"/>
    <col min="5399" max="5400" width="8.453125" style="260" customWidth="1"/>
    <col min="5401" max="5401" width="6.7265625" style="260" customWidth="1"/>
    <col min="5402" max="5402" width="7.54296875" style="260" customWidth="1"/>
    <col min="5403" max="5642" width="6.26953125" style="260"/>
    <col min="5643" max="5643" width="43.54296875" style="260" customWidth="1"/>
    <col min="5644" max="5644" width="7.54296875" style="260" customWidth="1"/>
    <col min="5645" max="5646" width="8.453125" style="260" customWidth="1"/>
    <col min="5647" max="5647" width="6.7265625" style="260" customWidth="1"/>
    <col min="5648" max="5649" width="7.54296875" style="260" customWidth="1"/>
    <col min="5650" max="5651" width="8.453125" style="260" customWidth="1"/>
    <col min="5652" max="5652" width="6.7265625" style="260" customWidth="1"/>
    <col min="5653" max="5654" width="7.54296875" style="260" customWidth="1"/>
    <col min="5655" max="5656" width="8.453125" style="260" customWidth="1"/>
    <col min="5657" max="5657" width="6.7265625" style="260" customWidth="1"/>
    <col min="5658" max="5658" width="7.54296875" style="260" customWidth="1"/>
    <col min="5659" max="5898" width="6.26953125" style="260"/>
    <col min="5899" max="5899" width="43.54296875" style="260" customWidth="1"/>
    <col min="5900" max="5900" width="7.54296875" style="260" customWidth="1"/>
    <col min="5901" max="5902" width="8.453125" style="260" customWidth="1"/>
    <col min="5903" max="5903" width="6.7265625" style="260" customWidth="1"/>
    <col min="5904" max="5905" width="7.54296875" style="260" customWidth="1"/>
    <col min="5906" max="5907" width="8.453125" style="260" customWidth="1"/>
    <col min="5908" max="5908" width="6.7265625" style="260" customWidth="1"/>
    <col min="5909" max="5910" width="7.54296875" style="260" customWidth="1"/>
    <col min="5911" max="5912" width="8.453125" style="260" customWidth="1"/>
    <col min="5913" max="5913" width="6.7265625" style="260" customWidth="1"/>
    <col min="5914" max="5914" width="7.54296875" style="260" customWidth="1"/>
    <col min="5915" max="6154" width="6.26953125" style="260"/>
    <col min="6155" max="6155" width="43.54296875" style="260" customWidth="1"/>
    <col min="6156" max="6156" width="7.54296875" style="260" customWidth="1"/>
    <col min="6157" max="6158" width="8.453125" style="260" customWidth="1"/>
    <col min="6159" max="6159" width="6.7265625" style="260" customWidth="1"/>
    <col min="6160" max="6161" width="7.54296875" style="260" customWidth="1"/>
    <col min="6162" max="6163" width="8.453125" style="260" customWidth="1"/>
    <col min="6164" max="6164" width="6.7265625" style="260" customWidth="1"/>
    <col min="6165" max="6166" width="7.54296875" style="260" customWidth="1"/>
    <col min="6167" max="6168" width="8.453125" style="260" customWidth="1"/>
    <col min="6169" max="6169" width="6.7265625" style="260" customWidth="1"/>
    <col min="6170" max="6170" width="7.54296875" style="260" customWidth="1"/>
    <col min="6171" max="6410" width="6.26953125" style="260"/>
    <col min="6411" max="6411" width="43.54296875" style="260" customWidth="1"/>
    <col min="6412" max="6412" width="7.54296875" style="260" customWidth="1"/>
    <col min="6413" max="6414" width="8.453125" style="260" customWidth="1"/>
    <col min="6415" max="6415" width="6.7265625" style="260" customWidth="1"/>
    <col min="6416" max="6417" width="7.54296875" style="260" customWidth="1"/>
    <col min="6418" max="6419" width="8.453125" style="260" customWidth="1"/>
    <col min="6420" max="6420" width="6.7265625" style="260" customWidth="1"/>
    <col min="6421" max="6422" width="7.54296875" style="260" customWidth="1"/>
    <col min="6423" max="6424" width="8.453125" style="260" customWidth="1"/>
    <col min="6425" max="6425" width="6.7265625" style="260" customWidth="1"/>
    <col min="6426" max="6426" width="7.54296875" style="260" customWidth="1"/>
    <col min="6427" max="6666" width="6.26953125" style="260"/>
    <col min="6667" max="6667" width="43.54296875" style="260" customWidth="1"/>
    <col min="6668" max="6668" width="7.54296875" style="260" customWidth="1"/>
    <col min="6669" max="6670" width="8.453125" style="260" customWidth="1"/>
    <col min="6671" max="6671" width="6.7265625" style="260" customWidth="1"/>
    <col min="6672" max="6673" width="7.54296875" style="260" customWidth="1"/>
    <col min="6674" max="6675" width="8.453125" style="260" customWidth="1"/>
    <col min="6676" max="6676" width="6.7265625" style="260" customWidth="1"/>
    <col min="6677" max="6678" width="7.54296875" style="260" customWidth="1"/>
    <col min="6679" max="6680" width="8.453125" style="260" customWidth="1"/>
    <col min="6681" max="6681" width="6.7265625" style="260" customWidth="1"/>
    <col min="6682" max="6682" width="7.54296875" style="260" customWidth="1"/>
    <col min="6683" max="6922" width="6.26953125" style="260"/>
    <col min="6923" max="6923" width="43.54296875" style="260" customWidth="1"/>
    <col min="6924" max="6924" width="7.54296875" style="260" customWidth="1"/>
    <col min="6925" max="6926" width="8.453125" style="260" customWidth="1"/>
    <col min="6927" max="6927" width="6.7265625" style="260" customWidth="1"/>
    <col min="6928" max="6929" width="7.54296875" style="260" customWidth="1"/>
    <col min="6930" max="6931" width="8.453125" style="260" customWidth="1"/>
    <col min="6932" max="6932" width="6.7265625" style="260" customWidth="1"/>
    <col min="6933" max="6934" width="7.54296875" style="260" customWidth="1"/>
    <col min="6935" max="6936" width="8.453125" style="260" customWidth="1"/>
    <col min="6937" max="6937" width="6.7265625" style="260" customWidth="1"/>
    <col min="6938" max="6938" width="7.54296875" style="260" customWidth="1"/>
    <col min="6939" max="7178" width="6.26953125" style="260"/>
    <col min="7179" max="7179" width="43.54296875" style="260" customWidth="1"/>
    <col min="7180" max="7180" width="7.54296875" style="260" customWidth="1"/>
    <col min="7181" max="7182" width="8.453125" style="260" customWidth="1"/>
    <col min="7183" max="7183" width="6.7265625" style="260" customWidth="1"/>
    <col min="7184" max="7185" width="7.54296875" style="260" customWidth="1"/>
    <col min="7186" max="7187" width="8.453125" style="260" customWidth="1"/>
    <col min="7188" max="7188" width="6.7265625" style="260" customWidth="1"/>
    <col min="7189" max="7190" width="7.54296875" style="260" customWidth="1"/>
    <col min="7191" max="7192" width="8.453125" style="260" customWidth="1"/>
    <col min="7193" max="7193" width="6.7265625" style="260" customWidth="1"/>
    <col min="7194" max="7194" width="7.54296875" style="260" customWidth="1"/>
    <col min="7195" max="7434" width="6.26953125" style="260"/>
    <col min="7435" max="7435" width="43.54296875" style="260" customWidth="1"/>
    <col min="7436" max="7436" width="7.54296875" style="260" customWidth="1"/>
    <col min="7437" max="7438" width="8.453125" style="260" customWidth="1"/>
    <col min="7439" max="7439" width="6.7265625" style="260" customWidth="1"/>
    <col min="7440" max="7441" width="7.54296875" style="260" customWidth="1"/>
    <col min="7442" max="7443" width="8.453125" style="260" customWidth="1"/>
    <col min="7444" max="7444" width="6.7265625" style="260" customWidth="1"/>
    <col min="7445" max="7446" width="7.54296875" style="260" customWidth="1"/>
    <col min="7447" max="7448" width="8.453125" style="260" customWidth="1"/>
    <col min="7449" max="7449" width="6.7265625" style="260" customWidth="1"/>
    <col min="7450" max="7450" width="7.54296875" style="260" customWidth="1"/>
    <col min="7451" max="7690" width="6.26953125" style="260"/>
    <col min="7691" max="7691" width="43.54296875" style="260" customWidth="1"/>
    <col min="7692" max="7692" width="7.54296875" style="260" customWidth="1"/>
    <col min="7693" max="7694" width="8.453125" style="260" customWidth="1"/>
    <col min="7695" max="7695" width="6.7265625" style="260" customWidth="1"/>
    <col min="7696" max="7697" width="7.54296875" style="260" customWidth="1"/>
    <col min="7698" max="7699" width="8.453125" style="260" customWidth="1"/>
    <col min="7700" max="7700" width="6.7265625" style="260" customWidth="1"/>
    <col min="7701" max="7702" width="7.54296875" style="260" customWidth="1"/>
    <col min="7703" max="7704" width="8.453125" style="260" customWidth="1"/>
    <col min="7705" max="7705" width="6.7265625" style="260" customWidth="1"/>
    <col min="7706" max="7706" width="7.54296875" style="260" customWidth="1"/>
    <col min="7707" max="7946" width="6.26953125" style="260"/>
    <col min="7947" max="7947" width="43.54296875" style="260" customWidth="1"/>
    <col min="7948" max="7948" width="7.54296875" style="260" customWidth="1"/>
    <col min="7949" max="7950" width="8.453125" style="260" customWidth="1"/>
    <col min="7951" max="7951" width="6.7265625" style="260" customWidth="1"/>
    <col min="7952" max="7953" width="7.54296875" style="260" customWidth="1"/>
    <col min="7954" max="7955" width="8.453125" style="260" customWidth="1"/>
    <col min="7956" max="7956" width="6.7265625" style="260" customWidth="1"/>
    <col min="7957" max="7958" width="7.54296875" style="260" customWidth="1"/>
    <col min="7959" max="7960" width="8.453125" style="260" customWidth="1"/>
    <col min="7961" max="7961" width="6.7265625" style="260" customWidth="1"/>
    <col min="7962" max="7962" width="7.54296875" style="260" customWidth="1"/>
    <col min="7963" max="8202" width="6.26953125" style="260"/>
    <col min="8203" max="8203" width="43.54296875" style="260" customWidth="1"/>
    <col min="8204" max="8204" width="7.54296875" style="260" customWidth="1"/>
    <col min="8205" max="8206" width="8.453125" style="260" customWidth="1"/>
    <col min="8207" max="8207" width="6.7265625" style="260" customWidth="1"/>
    <col min="8208" max="8209" width="7.54296875" style="260" customWidth="1"/>
    <col min="8210" max="8211" width="8.453125" style="260" customWidth="1"/>
    <col min="8212" max="8212" width="6.7265625" style="260" customWidth="1"/>
    <col min="8213" max="8214" width="7.54296875" style="260" customWidth="1"/>
    <col min="8215" max="8216" width="8.453125" style="260" customWidth="1"/>
    <col min="8217" max="8217" width="6.7265625" style="260" customWidth="1"/>
    <col min="8218" max="8218" width="7.54296875" style="260" customWidth="1"/>
    <col min="8219" max="8458" width="6.26953125" style="260"/>
    <col min="8459" max="8459" width="43.54296875" style="260" customWidth="1"/>
    <col min="8460" max="8460" width="7.54296875" style="260" customWidth="1"/>
    <col min="8461" max="8462" width="8.453125" style="260" customWidth="1"/>
    <col min="8463" max="8463" width="6.7265625" style="260" customWidth="1"/>
    <col min="8464" max="8465" width="7.54296875" style="260" customWidth="1"/>
    <col min="8466" max="8467" width="8.453125" style="260" customWidth="1"/>
    <col min="8468" max="8468" width="6.7265625" style="260" customWidth="1"/>
    <col min="8469" max="8470" width="7.54296875" style="260" customWidth="1"/>
    <col min="8471" max="8472" width="8.453125" style="260" customWidth="1"/>
    <col min="8473" max="8473" width="6.7265625" style="260" customWidth="1"/>
    <col min="8474" max="8474" width="7.54296875" style="260" customWidth="1"/>
    <col min="8475" max="8714" width="6.26953125" style="260"/>
    <col min="8715" max="8715" width="43.54296875" style="260" customWidth="1"/>
    <col min="8716" max="8716" width="7.54296875" style="260" customWidth="1"/>
    <col min="8717" max="8718" width="8.453125" style="260" customWidth="1"/>
    <col min="8719" max="8719" width="6.7265625" style="260" customWidth="1"/>
    <col min="8720" max="8721" width="7.54296875" style="260" customWidth="1"/>
    <col min="8722" max="8723" width="8.453125" style="260" customWidth="1"/>
    <col min="8724" max="8724" width="6.7265625" style="260" customWidth="1"/>
    <col min="8725" max="8726" width="7.54296875" style="260" customWidth="1"/>
    <col min="8727" max="8728" width="8.453125" style="260" customWidth="1"/>
    <col min="8729" max="8729" width="6.7265625" style="260" customWidth="1"/>
    <col min="8730" max="8730" width="7.54296875" style="260" customWidth="1"/>
    <col min="8731" max="8970" width="6.26953125" style="260"/>
    <col min="8971" max="8971" width="43.54296875" style="260" customWidth="1"/>
    <col min="8972" max="8972" width="7.54296875" style="260" customWidth="1"/>
    <col min="8973" max="8974" width="8.453125" style="260" customWidth="1"/>
    <col min="8975" max="8975" width="6.7265625" style="260" customWidth="1"/>
    <col min="8976" max="8977" width="7.54296875" style="260" customWidth="1"/>
    <col min="8978" max="8979" width="8.453125" style="260" customWidth="1"/>
    <col min="8980" max="8980" width="6.7265625" style="260" customWidth="1"/>
    <col min="8981" max="8982" width="7.54296875" style="260" customWidth="1"/>
    <col min="8983" max="8984" width="8.453125" style="260" customWidth="1"/>
    <col min="8985" max="8985" width="6.7265625" style="260" customWidth="1"/>
    <col min="8986" max="8986" width="7.54296875" style="260" customWidth="1"/>
    <col min="8987" max="9226" width="6.26953125" style="260"/>
    <col min="9227" max="9227" width="43.54296875" style="260" customWidth="1"/>
    <col min="9228" max="9228" width="7.54296875" style="260" customWidth="1"/>
    <col min="9229" max="9230" width="8.453125" style="260" customWidth="1"/>
    <col min="9231" max="9231" width="6.7265625" style="260" customWidth="1"/>
    <col min="9232" max="9233" width="7.54296875" style="260" customWidth="1"/>
    <col min="9234" max="9235" width="8.453125" style="260" customWidth="1"/>
    <col min="9236" max="9236" width="6.7265625" style="260" customWidth="1"/>
    <col min="9237" max="9238" width="7.54296875" style="260" customWidth="1"/>
    <col min="9239" max="9240" width="8.453125" style="260" customWidth="1"/>
    <col min="9241" max="9241" width="6.7265625" style="260" customWidth="1"/>
    <col min="9242" max="9242" width="7.54296875" style="260" customWidth="1"/>
    <col min="9243" max="9482" width="6.26953125" style="260"/>
    <col min="9483" max="9483" width="43.54296875" style="260" customWidth="1"/>
    <col min="9484" max="9484" width="7.54296875" style="260" customWidth="1"/>
    <col min="9485" max="9486" width="8.453125" style="260" customWidth="1"/>
    <col min="9487" max="9487" width="6.7265625" style="260" customWidth="1"/>
    <col min="9488" max="9489" width="7.54296875" style="260" customWidth="1"/>
    <col min="9490" max="9491" width="8.453125" style="260" customWidth="1"/>
    <col min="9492" max="9492" width="6.7265625" style="260" customWidth="1"/>
    <col min="9493" max="9494" width="7.54296875" style="260" customWidth="1"/>
    <col min="9495" max="9496" width="8.453125" style="260" customWidth="1"/>
    <col min="9497" max="9497" width="6.7265625" style="260" customWidth="1"/>
    <col min="9498" max="9498" width="7.54296875" style="260" customWidth="1"/>
    <col min="9499" max="9738" width="6.26953125" style="260"/>
    <col min="9739" max="9739" width="43.54296875" style="260" customWidth="1"/>
    <col min="9740" max="9740" width="7.54296875" style="260" customWidth="1"/>
    <col min="9741" max="9742" width="8.453125" style="260" customWidth="1"/>
    <col min="9743" max="9743" width="6.7265625" style="260" customWidth="1"/>
    <col min="9744" max="9745" width="7.54296875" style="260" customWidth="1"/>
    <col min="9746" max="9747" width="8.453125" style="260" customWidth="1"/>
    <col min="9748" max="9748" width="6.7265625" style="260" customWidth="1"/>
    <col min="9749" max="9750" width="7.54296875" style="260" customWidth="1"/>
    <col min="9751" max="9752" width="8.453125" style="260" customWidth="1"/>
    <col min="9753" max="9753" width="6.7265625" style="260" customWidth="1"/>
    <col min="9754" max="9754" width="7.54296875" style="260" customWidth="1"/>
    <col min="9755" max="9994" width="6.26953125" style="260"/>
    <col min="9995" max="9995" width="43.54296875" style="260" customWidth="1"/>
    <col min="9996" max="9996" width="7.54296875" style="260" customWidth="1"/>
    <col min="9997" max="9998" width="8.453125" style="260" customWidth="1"/>
    <col min="9999" max="9999" width="6.7265625" style="260" customWidth="1"/>
    <col min="10000" max="10001" width="7.54296875" style="260" customWidth="1"/>
    <col min="10002" max="10003" width="8.453125" style="260" customWidth="1"/>
    <col min="10004" max="10004" width="6.7265625" style="260" customWidth="1"/>
    <col min="10005" max="10006" width="7.54296875" style="260" customWidth="1"/>
    <col min="10007" max="10008" width="8.453125" style="260" customWidth="1"/>
    <col min="10009" max="10009" width="6.7265625" style="260" customWidth="1"/>
    <col min="10010" max="10010" width="7.54296875" style="260" customWidth="1"/>
    <col min="10011" max="10250" width="6.26953125" style="260"/>
    <col min="10251" max="10251" width="43.54296875" style="260" customWidth="1"/>
    <col min="10252" max="10252" width="7.54296875" style="260" customWidth="1"/>
    <col min="10253" max="10254" width="8.453125" style="260" customWidth="1"/>
    <col min="10255" max="10255" width="6.7265625" style="260" customWidth="1"/>
    <col min="10256" max="10257" width="7.54296875" style="260" customWidth="1"/>
    <col min="10258" max="10259" width="8.453125" style="260" customWidth="1"/>
    <col min="10260" max="10260" width="6.7265625" style="260" customWidth="1"/>
    <col min="10261" max="10262" width="7.54296875" style="260" customWidth="1"/>
    <col min="10263" max="10264" width="8.453125" style="260" customWidth="1"/>
    <col min="10265" max="10265" width="6.7265625" style="260" customWidth="1"/>
    <col min="10266" max="10266" width="7.54296875" style="260" customWidth="1"/>
    <col min="10267" max="10506" width="6.26953125" style="260"/>
    <col min="10507" max="10507" width="43.54296875" style="260" customWidth="1"/>
    <col min="10508" max="10508" width="7.54296875" style="260" customWidth="1"/>
    <col min="10509" max="10510" width="8.453125" style="260" customWidth="1"/>
    <col min="10511" max="10511" width="6.7265625" style="260" customWidth="1"/>
    <col min="10512" max="10513" width="7.54296875" style="260" customWidth="1"/>
    <col min="10514" max="10515" width="8.453125" style="260" customWidth="1"/>
    <col min="10516" max="10516" width="6.7265625" style="260" customWidth="1"/>
    <col min="10517" max="10518" width="7.54296875" style="260" customWidth="1"/>
    <col min="10519" max="10520" width="8.453125" style="260" customWidth="1"/>
    <col min="10521" max="10521" width="6.7265625" style="260" customWidth="1"/>
    <col min="10522" max="10522" width="7.54296875" style="260" customWidth="1"/>
    <col min="10523" max="10762" width="6.26953125" style="260"/>
    <col min="10763" max="10763" width="43.54296875" style="260" customWidth="1"/>
    <col min="10764" max="10764" width="7.54296875" style="260" customWidth="1"/>
    <col min="10765" max="10766" width="8.453125" style="260" customWidth="1"/>
    <col min="10767" max="10767" width="6.7265625" style="260" customWidth="1"/>
    <col min="10768" max="10769" width="7.54296875" style="260" customWidth="1"/>
    <col min="10770" max="10771" width="8.453125" style="260" customWidth="1"/>
    <col min="10772" max="10772" width="6.7265625" style="260" customWidth="1"/>
    <col min="10773" max="10774" width="7.54296875" style="260" customWidth="1"/>
    <col min="10775" max="10776" width="8.453125" style="260" customWidth="1"/>
    <col min="10777" max="10777" width="6.7265625" style="260" customWidth="1"/>
    <col min="10778" max="10778" width="7.54296875" style="260" customWidth="1"/>
    <col min="10779" max="11018" width="6.26953125" style="260"/>
    <col min="11019" max="11019" width="43.54296875" style="260" customWidth="1"/>
    <col min="11020" max="11020" width="7.54296875" style="260" customWidth="1"/>
    <col min="11021" max="11022" width="8.453125" style="260" customWidth="1"/>
    <col min="11023" max="11023" width="6.7265625" style="260" customWidth="1"/>
    <col min="11024" max="11025" width="7.54296875" style="260" customWidth="1"/>
    <col min="11026" max="11027" width="8.453125" style="260" customWidth="1"/>
    <col min="11028" max="11028" width="6.7265625" style="260" customWidth="1"/>
    <col min="11029" max="11030" width="7.54296875" style="260" customWidth="1"/>
    <col min="11031" max="11032" width="8.453125" style="260" customWidth="1"/>
    <col min="11033" max="11033" width="6.7265625" style="260" customWidth="1"/>
    <col min="11034" max="11034" width="7.54296875" style="260" customWidth="1"/>
    <col min="11035" max="11274" width="6.26953125" style="260"/>
    <col min="11275" max="11275" width="43.54296875" style="260" customWidth="1"/>
    <col min="11276" max="11276" width="7.54296875" style="260" customWidth="1"/>
    <col min="11277" max="11278" width="8.453125" style="260" customWidth="1"/>
    <col min="11279" max="11279" width="6.7265625" style="260" customWidth="1"/>
    <col min="11280" max="11281" width="7.54296875" style="260" customWidth="1"/>
    <col min="11282" max="11283" width="8.453125" style="260" customWidth="1"/>
    <col min="11284" max="11284" width="6.7265625" style="260" customWidth="1"/>
    <col min="11285" max="11286" width="7.54296875" style="260" customWidth="1"/>
    <col min="11287" max="11288" width="8.453125" style="260" customWidth="1"/>
    <col min="11289" max="11289" width="6.7265625" style="260" customWidth="1"/>
    <col min="11290" max="11290" width="7.54296875" style="260" customWidth="1"/>
    <col min="11291" max="11530" width="6.26953125" style="260"/>
    <col min="11531" max="11531" width="43.54296875" style="260" customWidth="1"/>
    <col min="11532" max="11532" width="7.54296875" style="260" customWidth="1"/>
    <col min="11533" max="11534" width="8.453125" style="260" customWidth="1"/>
    <col min="11535" max="11535" width="6.7265625" style="260" customWidth="1"/>
    <col min="11536" max="11537" width="7.54296875" style="260" customWidth="1"/>
    <col min="11538" max="11539" width="8.453125" style="260" customWidth="1"/>
    <col min="11540" max="11540" width="6.7265625" style="260" customWidth="1"/>
    <col min="11541" max="11542" width="7.54296875" style="260" customWidth="1"/>
    <col min="11543" max="11544" width="8.453125" style="260" customWidth="1"/>
    <col min="11545" max="11545" width="6.7265625" style="260" customWidth="1"/>
    <col min="11546" max="11546" width="7.54296875" style="260" customWidth="1"/>
    <col min="11547" max="11786" width="6.26953125" style="260"/>
    <col min="11787" max="11787" width="43.54296875" style="260" customWidth="1"/>
    <col min="11788" max="11788" width="7.54296875" style="260" customWidth="1"/>
    <col min="11789" max="11790" width="8.453125" style="260" customWidth="1"/>
    <col min="11791" max="11791" width="6.7265625" style="260" customWidth="1"/>
    <col min="11792" max="11793" width="7.54296875" style="260" customWidth="1"/>
    <col min="11794" max="11795" width="8.453125" style="260" customWidth="1"/>
    <col min="11796" max="11796" width="6.7265625" style="260" customWidth="1"/>
    <col min="11797" max="11798" width="7.54296875" style="260" customWidth="1"/>
    <col min="11799" max="11800" width="8.453125" style="260" customWidth="1"/>
    <col min="11801" max="11801" width="6.7265625" style="260" customWidth="1"/>
    <col min="11802" max="11802" width="7.54296875" style="260" customWidth="1"/>
    <col min="11803" max="12042" width="6.26953125" style="260"/>
    <col min="12043" max="12043" width="43.54296875" style="260" customWidth="1"/>
    <col min="12044" max="12044" width="7.54296875" style="260" customWidth="1"/>
    <col min="12045" max="12046" width="8.453125" style="260" customWidth="1"/>
    <col min="12047" max="12047" width="6.7265625" style="260" customWidth="1"/>
    <col min="12048" max="12049" width="7.54296875" style="260" customWidth="1"/>
    <col min="12050" max="12051" width="8.453125" style="260" customWidth="1"/>
    <col min="12052" max="12052" width="6.7265625" style="260" customWidth="1"/>
    <col min="12053" max="12054" width="7.54296875" style="260" customWidth="1"/>
    <col min="12055" max="12056" width="8.453125" style="260" customWidth="1"/>
    <col min="12057" max="12057" width="6.7265625" style="260" customWidth="1"/>
    <col min="12058" max="12058" width="7.54296875" style="260" customWidth="1"/>
    <col min="12059" max="12298" width="6.26953125" style="260"/>
    <col min="12299" max="12299" width="43.54296875" style="260" customWidth="1"/>
    <col min="12300" max="12300" width="7.54296875" style="260" customWidth="1"/>
    <col min="12301" max="12302" width="8.453125" style="260" customWidth="1"/>
    <col min="12303" max="12303" width="6.7265625" style="260" customWidth="1"/>
    <col min="12304" max="12305" width="7.54296875" style="260" customWidth="1"/>
    <col min="12306" max="12307" width="8.453125" style="260" customWidth="1"/>
    <col min="12308" max="12308" width="6.7265625" style="260" customWidth="1"/>
    <col min="12309" max="12310" width="7.54296875" style="260" customWidth="1"/>
    <col min="12311" max="12312" width="8.453125" style="260" customWidth="1"/>
    <col min="12313" max="12313" width="6.7265625" style="260" customWidth="1"/>
    <col min="12314" max="12314" width="7.54296875" style="260" customWidth="1"/>
    <col min="12315" max="12554" width="6.26953125" style="260"/>
    <col min="12555" max="12555" width="43.54296875" style="260" customWidth="1"/>
    <col min="12556" max="12556" width="7.54296875" style="260" customWidth="1"/>
    <col min="12557" max="12558" width="8.453125" style="260" customWidth="1"/>
    <col min="12559" max="12559" width="6.7265625" style="260" customWidth="1"/>
    <col min="12560" max="12561" width="7.54296875" style="260" customWidth="1"/>
    <col min="12562" max="12563" width="8.453125" style="260" customWidth="1"/>
    <col min="12564" max="12564" width="6.7265625" style="260" customWidth="1"/>
    <col min="12565" max="12566" width="7.54296875" style="260" customWidth="1"/>
    <col min="12567" max="12568" width="8.453125" style="260" customWidth="1"/>
    <col min="12569" max="12569" width="6.7265625" style="260" customWidth="1"/>
    <col min="12570" max="12570" width="7.54296875" style="260" customWidth="1"/>
    <col min="12571" max="12810" width="6.26953125" style="260"/>
    <col min="12811" max="12811" width="43.54296875" style="260" customWidth="1"/>
    <col min="12812" max="12812" width="7.54296875" style="260" customWidth="1"/>
    <col min="12813" max="12814" width="8.453125" style="260" customWidth="1"/>
    <col min="12815" max="12815" width="6.7265625" style="260" customWidth="1"/>
    <col min="12816" max="12817" width="7.54296875" style="260" customWidth="1"/>
    <col min="12818" max="12819" width="8.453125" style="260" customWidth="1"/>
    <col min="12820" max="12820" width="6.7265625" style="260" customWidth="1"/>
    <col min="12821" max="12822" width="7.54296875" style="260" customWidth="1"/>
    <col min="12823" max="12824" width="8.453125" style="260" customWidth="1"/>
    <col min="12825" max="12825" width="6.7265625" style="260" customWidth="1"/>
    <col min="12826" max="12826" width="7.54296875" style="260" customWidth="1"/>
    <col min="12827" max="13066" width="6.26953125" style="260"/>
    <col min="13067" max="13067" width="43.54296875" style="260" customWidth="1"/>
    <col min="13068" max="13068" width="7.54296875" style="260" customWidth="1"/>
    <col min="13069" max="13070" width="8.453125" style="260" customWidth="1"/>
    <col min="13071" max="13071" width="6.7265625" style="260" customWidth="1"/>
    <col min="13072" max="13073" width="7.54296875" style="260" customWidth="1"/>
    <col min="13074" max="13075" width="8.453125" style="260" customWidth="1"/>
    <col min="13076" max="13076" width="6.7265625" style="260" customWidth="1"/>
    <col min="13077" max="13078" width="7.54296875" style="260" customWidth="1"/>
    <col min="13079" max="13080" width="8.453125" style="260" customWidth="1"/>
    <col min="13081" max="13081" width="6.7265625" style="260" customWidth="1"/>
    <col min="13082" max="13082" width="7.54296875" style="260" customWidth="1"/>
    <col min="13083" max="13322" width="6.26953125" style="260"/>
    <col min="13323" max="13323" width="43.54296875" style="260" customWidth="1"/>
    <col min="13324" max="13324" width="7.54296875" style="260" customWidth="1"/>
    <col min="13325" max="13326" width="8.453125" style="260" customWidth="1"/>
    <col min="13327" max="13327" width="6.7265625" style="260" customWidth="1"/>
    <col min="13328" max="13329" width="7.54296875" style="260" customWidth="1"/>
    <col min="13330" max="13331" width="8.453125" style="260" customWidth="1"/>
    <col min="13332" max="13332" width="6.7265625" style="260" customWidth="1"/>
    <col min="13333" max="13334" width="7.54296875" style="260" customWidth="1"/>
    <col min="13335" max="13336" width="8.453125" style="260" customWidth="1"/>
    <col min="13337" max="13337" width="6.7265625" style="260" customWidth="1"/>
    <col min="13338" max="13338" width="7.54296875" style="260" customWidth="1"/>
    <col min="13339" max="13578" width="6.26953125" style="260"/>
    <col min="13579" max="13579" width="43.54296875" style="260" customWidth="1"/>
    <col min="13580" max="13580" width="7.54296875" style="260" customWidth="1"/>
    <col min="13581" max="13582" width="8.453125" style="260" customWidth="1"/>
    <col min="13583" max="13583" width="6.7265625" style="260" customWidth="1"/>
    <col min="13584" max="13585" width="7.54296875" style="260" customWidth="1"/>
    <col min="13586" max="13587" width="8.453125" style="260" customWidth="1"/>
    <col min="13588" max="13588" width="6.7265625" style="260" customWidth="1"/>
    <col min="13589" max="13590" width="7.54296875" style="260" customWidth="1"/>
    <col min="13591" max="13592" width="8.453125" style="260" customWidth="1"/>
    <col min="13593" max="13593" width="6.7265625" style="260" customWidth="1"/>
    <col min="13594" max="13594" width="7.54296875" style="260" customWidth="1"/>
    <col min="13595" max="13834" width="6.26953125" style="260"/>
    <col min="13835" max="13835" width="43.54296875" style="260" customWidth="1"/>
    <col min="13836" max="13836" width="7.54296875" style="260" customWidth="1"/>
    <col min="13837" max="13838" width="8.453125" style="260" customWidth="1"/>
    <col min="13839" max="13839" width="6.7265625" style="260" customWidth="1"/>
    <col min="13840" max="13841" width="7.54296875" style="260" customWidth="1"/>
    <col min="13842" max="13843" width="8.453125" style="260" customWidth="1"/>
    <col min="13844" max="13844" width="6.7265625" style="260" customWidth="1"/>
    <col min="13845" max="13846" width="7.54296875" style="260" customWidth="1"/>
    <col min="13847" max="13848" width="8.453125" style="260" customWidth="1"/>
    <col min="13849" max="13849" width="6.7265625" style="260" customWidth="1"/>
    <col min="13850" max="13850" width="7.54296875" style="260" customWidth="1"/>
    <col min="13851" max="14090" width="6.26953125" style="260"/>
    <col min="14091" max="14091" width="43.54296875" style="260" customWidth="1"/>
    <col min="14092" max="14092" width="7.54296875" style="260" customWidth="1"/>
    <col min="14093" max="14094" width="8.453125" style="260" customWidth="1"/>
    <col min="14095" max="14095" width="6.7265625" style="260" customWidth="1"/>
    <col min="14096" max="14097" width="7.54296875" style="260" customWidth="1"/>
    <col min="14098" max="14099" width="8.453125" style="260" customWidth="1"/>
    <col min="14100" max="14100" width="6.7265625" style="260" customWidth="1"/>
    <col min="14101" max="14102" width="7.54296875" style="260" customWidth="1"/>
    <col min="14103" max="14104" width="8.453125" style="260" customWidth="1"/>
    <col min="14105" max="14105" width="6.7265625" style="260" customWidth="1"/>
    <col min="14106" max="14106" width="7.54296875" style="260" customWidth="1"/>
    <col min="14107" max="14346" width="6.26953125" style="260"/>
    <col min="14347" max="14347" width="43.54296875" style="260" customWidth="1"/>
    <col min="14348" max="14348" width="7.54296875" style="260" customWidth="1"/>
    <col min="14349" max="14350" width="8.453125" style="260" customWidth="1"/>
    <col min="14351" max="14351" width="6.7265625" style="260" customWidth="1"/>
    <col min="14352" max="14353" width="7.54296875" style="260" customWidth="1"/>
    <col min="14354" max="14355" width="8.453125" style="260" customWidth="1"/>
    <col min="14356" max="14356" width="6.7265625" style="260" customWidth="1"/>
    <col min="14357" max="14358" width="7.54296875" style="260" customWidth="1"/>
    <col min="14359" max="14360" width="8.453125" style="260" customWidth="1"/>
    <col min="14361" max="14361" width="6.7265625" style="260" customWidth="1"/>
    <col min="14362" max="14362" width="7.54296875" style="260" customWidth="1"/>
    <col min="14363" max="14602" width="6.26953125" style="260"/>
    <col min="14603" max="14603" width="43.54296875" style="260" customWidth="1"/>
    <col min="14604" max="14604" width="7.54296875" style="260" customWidth="1"/>
    <col min="14605" max="14606" width="8.453125" style="260" customWidth="1"/>
    <col min="14607" max="14607" width="6.7265625" style="260" customWidth="1"/>
    <col min="14608" max="14609" width="7.54296875" style="260" customWidth="1"/>
    <col min="14610" max="14611" width="8.453125" style="260" customWidth="1"/>
    <col min="14612" max="14612" width="6.7265625" style="260" customWidth="1"/>
    <col min="14613" max="14614" width="7.54296875" style="260" customWidth="1"/>
    <col min="14615" max="14616" width="8.453125" style="260" customWidth="1"/>
    <col min="14617" max="14617" width="6.7265625" style="260" customWidth="1"/>
    <col min="14618" max="14618" width="7.54296875" style="260" customWidth="1"/>
    <col min="14619" max="14858" width="6.26953125" style="260"/>
    <col min="14859" max="14859" width="43.54296875" style="260" customWidth="1"/>
    <col min="14860" max="14860" width="7.54296875" style="260" customWidth="1"/>
    <col min="14861" max="14862" width="8.453125" style="260" customWidth="1"/>
    <col min="14863" max="14863" width="6.7265625" style="260" customWidth="1"/>
    <col min="14864" max="14865" width="7.54296875" style="260" customWidth="1"/>
    <col min="14866" max="14867" width="8.453125" style="260" customWidth="1"/>
    <col min="14868" max="14868" width="6.7265625" style="260" customWidth="1"/>
    <col min="14869" max="14870" width="7.54296875" style="260" customWidth="1"/>
    <col min="14871" max="14872" width="8.453125" style="260" customWidth="1"/>
    <col min="14873" max="14873" width="6.7265625" style="260" customWidth="1"/>
    <col min="14874" max="14874" width="7.54296875" style="260" customWidth="1"/>
    <col min="14875" max="15114" width="6.26953125" style="260"/>
    <col min="15115" max="15115" width="43.54296875" style="260" customWidth="1"/>
    <col min="15116" max="15116" width="7.54296875" style="260" customWidth="1"/>
    <col min="15117" max="15118" width="8.453125" style="260" customWidth="1"/>
    <col min="15119" max="15119" width="6.7265625" style="260" customWidth="1"/>
    <col min="15120" max="15121" width="7.54296875" style="260" customWidth="1"/>
    <col min="15122" max="15123" width="8.453125" style="260" customWidth="1"/>
    <col min="15124" max="15124" width="6.7265625" style="260" customWidth="1"/>
    <col min="15125" max="15126" width="7.54296875" style="260" customWidth="1"/>
    <col min="15127" max="15128" width="8.453125" style="260" customWidth="1"/>
    <col min="15129" max="15129" width="6.7265625" style="260" customWidth="1"/>
    <col min="15130" max="15130" width="7.54296875" style="260" customWidth="1"/>
    <col min="15131" max="15370" width="6.26953125" style="260"/>
    <col min="15371" max="15371" width="43.54296875" style="260" customWidth="1"/>
    <col min="15372" max="15372" width="7.54296875" style="260" customWidth="1"/>
    <col min="15373" max="15374" width="8.453125" style="260" customWidth="1"/>
    <col min="15375" max="15375" width="6.7265625" style="260" customWidth="1"/>
    <col min="15376" max="15377" width="7.54296875" style="260" customWidth="1"/>
    <col min="15378" max="15379" width="8.453125" style="260" customWidth="1"/>
    <col min="15380" max="15380" width="6.7265625" style="260" customWidth="1"/>
    <col min="15381" max="15382" width="7.54296875" style="260" customWidth="1"/>
    <col min="15383" max="15384" width="8.453125" style="260" customWidth="1"/>
    <col min="15385" max="15385" width="6.7265625" style="260" customWidth="1"/>
    <col min="15386" max="15386" width="7.54296875" style="260" customWidth="1"/>
    <col min="15387" max="15626" width="6.26953125" style="260"/>
    <col min="15627" max="15627" width="43.54296875" style="260" customWidth="1"/>
    <col min="15628" max="15628" width="7.54296875" style="260" customWidth="1"/>
    <col min="15629" max="15630" width="8.453125" style="260" customWidth="1"/>
    <col min="15631" max="15631" width="6.7265625" style="260" customWidth="1"/>
    <col min="15632" max="15633" width="7.54296875" style="260" customWidth="1"/>
    <col min="15634" max="15635" width="8.453125" style="260" customWidth="1"/>
    <col min="15636" max="15636" width="6.7265625" style="260" customWidth="1"/>
    <col min="15637" max="15638" width="7.54296875" style="260" customWidth="1"/>
    <col min="15639" max="15640" width="8.453125" style="260" customWidth="1"/>
    <col min="15641" max="15641" width="6.7265625" style="260" customWidth="1"/>
    <col min="15642" max="15642" width="7.54296875" style="260" customWidth="1"/>
    <col min="15643" max="15882" width="6.26953125" style="260"/>
    <col min="15883" max="15883" width="43.54296875" style="260" customWidth="1"/>
    <col min="15884" max="15884" width="7.54296875" style="260" customWidth="1"/>
    <col min="15885" max="15886" width="8.453125" style="260" customWidth="1"/>
    <col min="15887" max="15887" width="6.7265625" style="260" customWidth="1"/>
    <col min="15888" max="15889" width="7.54296875" style="260" customWidth="1"/>
    <col min="15890" max="15891" width="8.453125" style="260" customWidth="1"/>
    <col min="15892" max="15892" width="6.7265625" style="260" customWidth="1"/>
    <col min="15893" max="15894" width="7.54296875" style="260" customWidth="1"/>
    <col min="15895" max="15896" width="8.453125" style="260" customWidth="1"/>
    <col min="15897" max="15897" width="6.7265625" style="260" customWidth="1"/>
    <col min="15898" max="15898" width="7.54296875" style="260" customWidth="1"/>
    <col min="15899" max="16138" width="6.26953125" style="260"/>
    <col min="16139" max="16139" width="43.54296875" style="260" customWidth="1"/>
    <col min="16140" max="16140" width="7.54296875" style="260" customWidth="1"/>
    <col min="16141" max="16142" width="8.453125" style="260" customWidth="1"/>
    <col min="16143" max="16143" width="6.7265625" style="260" customWidth="1"/>
    <col min="16144" max="16145" width="7.54296875" style="260" customWidth="1"/>
    <col min="16146" max="16147" width="8.453125" style="260" customWidth="1"/>
    <col min="16148" max="16148" width="6.7265625" style="260" customWidth="1"/>
    <col min="16149" max="16150" width="7.54296875" style="260" customWidth="1"/>
    <col min="16151" max="16152" width="8.453125" style="260" customWidth="1"/>
    <col min="16153" max="16153" width="6.7265625" style="260" customWidth="1"/>
    <col min="16154" max="16154" width="7.54296875" style="260" customWidth="1"/>
    <col min="16155" max="16384" width="6.26953125" style="260"/>
  </cols>
  <sheetData>
    <row r="1" spans="1:25" ht="15.5" x14ac:dyDescent="0.35">
      <c r="A1" s="19" t="str">
        <f>CONCATENATE("Industry Table 6  Employment status by Industry (SIC 2007) and Gender, ",B$5,"-",V$5,", ",Info!B5)</f>
        <v>Industry Table 6  Employment status by Industry (SIC 2007) and Gender, 2015-2035, Black Country</v>
      </c>
    </row>
    <row r="2" spans="1:25" x14ac:dyDescent="0.3">
      <c r="A2" s="1" t="s">
        <v>518</v>
      </c>
    </row>
    <row r="4" spans="1:25" x14ac:dyDescent="0.3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4" x14ac:dyDescent="0.3">
      <c r="A5" s="265" t="str">
        <f>"Industry 1 : "&amp; name!B4</f>
        <v>Industry 1 : Agriculture</v>
      </c>
      <c r="B5" s="375">
        <v>2015</v>
      </c>
      <c r="C5" s="375"/>
      <c r="D5" s="375"/>
      <c r="E5" s="375"/>
      <c r="F5" s="317"/>
      <c r="G5" s="375">
        <v>2019</v>
      </c>
      <c r="H5" s="375"/>
      <c r="I5" s="375"/>
      <c r="J5" s="375"/>
      <c r="K5" s="318"/>
      <c r="L5" s="375">
        <v>2020</v>
      </c>
      <c r="M5" s="375"/>
      <c r="N5" s="375"/>
      <c r="O5" s="375"/>
      <c r="P5" s="318"/>
      <c r="Q5" s="375">
        <v>2025</v>
      </c>
      <c r="R5" s="375"/>
      <c r="S5" s="375"/>
      <c r="T5" s="375"/>
      <c r="U5" s="317"/>
      <c r="V5" s="375">
        <v>2035</v>
      </c>
      <c r="W5" s="375"/>
      <c r="X5" s="375"/>
      <c r="Y5" s="375"/>
    </row>
    <row r="6" spans="1:2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5" x14ac:dyDescent="0.25">
      <c r="A8" s="260" t="s">
        <v>365</v>
      </c>
      <c r="B8" s="300">
        <v>0.32995821048067897</v>
      </c>
      <c r="C8" s="300">
        <v>0.22346414386412669</v>
      </c>
      <c r="D8" s="300">
        <v>0.18098211457926652</v>
      </c>
      <c r="E8" s="300">
        <f>SUM(B8:D8)</f>
        <v>0.73440446892407218</v>
      </c>
      <c r="F8" s="300"/>
      <c r="G8" s="300">
        <v>0.22406784022152432</v>
      </c>
      <c r="H8" s="300">
        <v>0.14953453418365761</v>
      </c>
      <c r="I8" s="300">
        <v>0.23656804492187933</v>
      </c>
      <c r="J8" s="300">
        <f>SUM(G8:I8)</f>
        <v>0.61017041932706129</v>
      </c>
      <c r="K8" s="300"/>
      <c r="L8" s="300">
        <v>0.20494197037121709</v>
      </c>
      <c r="M8" s="300">
        <v>9.9015254761127495E-3</v>
      </c>
      <c r="N8" s="300">
        <v>0.15210115619465153</v>
      </c>
      <c r="O8" s="300">
        <f>SUM(L8:N8)</f>
        <v>0.36694465204198135</v>
      </c>
      <c r="P8" s="300"/>
      <c r="Q8" s="300">
        <v>0.22218474704926652</v>
      </c>
      <c r="R8" s="300">
        <v>1.0422854266681899E-2</v>
      </c>
      <c r="S8" s="300">
        <v>0.16727410017766928</v>
      </c>
      <c r="T8" s="300">
        <f>SUM(Q8:S8)</f>
        <v>0.39988170149361768</v>
      </c>
      <c r="U8" s="300"/>
      <c r="V8" s="300">
        <v>0.22095073520856837</v>
      </c>
      <c r="W8" s="300">
        <v>9.6198315951649613E-3</v>
      </c>
      <c r="X8" s="300">
        <v>0.17147731557159412</v>
      </c>
      <c r="Y8" s="300">
        <f>SUM(V8:X8)</f>
        <v>0.40204788237532746</v>
      </c>
    </row>
    <row r="9" spans="1:25" ht="12.5" x14ac:dyDescent="0.25">
      <c r="A9" s="260" t="s">
        <v>364</v>
      </c>
      <c r="B9" s="300">
        <v>0.91957698773851959</v>
      </c>
      <c r="C9" s="300">
        <v>0.22779904481137506</v>
      </c>
      <c r="D9" s="300">
        <v>1.0832194985260282</v>
      </c>
      <c r="E9" s="300">
        <f t="shared" ref="E9:E10" si="0">SUM(B9:D9)</f>
        <v>2.2305955310759229</v>
      </c>
      <c r="F9" s="300"/>
      <c r="G9" s="300">
        <v>0.93042967424711187</v>
      </c>
      <c r="H9" s="300">
        <v>0.10909269547924341</v>
      </c>
      <c r="I9" s="300">
        <v>0.63630721094658538</v>
      </c>
      <c r="J9" s="300">
        <f t="shared" ref="J9:J10" si="1">SUM(G9:I9)</f>
        <v>1.6758295806729406</v>
      </c>
      <c r="K9" s="300"/>
      <c r="L9" s="300">
        <v>0.36218995912100899</v>
      </c>
      <c r="M9" s="300">
        <v>9.1662636832458826E-3</v>
      </c>
      <c r="N9" s="300">
        <v>0.37669912515376269</v>
      </c>
      <c r="O9" s="300">
        <f t="shared" ref="O9:O10" si="2">SUM(L9:N9)</f>
        <v>0.74805534795801754</v>
      </c>
      <c r="P9" s="300"/>
      <c r="Q9" s="300">
        <v>0.40593204128590366</v>
      </c>
      <c r="R9" s="300">
        <v>1.0016108734118519E-2</v>
      </c>
      <c r="S9" s="300">
        <v>0.39617014848636095</v>
      </c>
      <c r="T9" s="300">
        <f t="shared" ref="T9:T10" si="3">SUM(Q9:S9)</f>
        <v>0.81211829850638306</v>
      </c>
      <c r="U9" s="300"/>
      <c r="V9" s="300">
        <v>0.43798227976021364</v>
      </c>
      <c r="W9" s="300">
        <v>1.0027020233892937E-2</v>
      </c>
      <c r="X9" s="300">
        <v>0.36494281763056435</v>
      </c>
      <c r="Y9" s="300">
        <f t="shared" ref="Y9:Y10" si="4">SUM(V9:X9)</f>
        <v>0.81295211762467101</v>
      </c>
    </row>
    <row r="10" spans="1:25" ht="12.5" x14ac:dyDescent="0.25">
      <c r="A10" s="264" t="s">
        <v>363</v>
      </c>
      <c r="B10" s="301">
        <f>SUM(B8:B9)</f>
        <v>1.2495351982191987</v>
      </c>
      <c r="C10" s="301">
        <f t="shared" ref="C10:D10" si="5">SUM(C8:C9)</f>
        <v>0.45126318867550175</v>
      </c>
      <c r="D10" s="301">
        <f t="shared" si="5"/>
        <v>1.2642016131052947</v>
      </c>
      <c r="E10" s="301">
        <f t="shared" si="0"/>
        <v>2.9649999999999954</v>
      </c>
      <c r="F10" s="301"/>
      <c r="G10" s="301">
        <f>SUM(G8:G9)</f>
        <v>1.1544975144686362</v>
      </c>
      <c r="H10" s="301">
        <f t="shared" ref="H10" si="6">SUM(H8:H9)</f>
        <v>0.25862722966290103</v>
      </c>
      <c r="I10" s="301">
        <f t="shared" ref="I10" si="7">SUM(I8:I9)</f>
        <v>0.87287525586846471</v>
      </c>
      <c r="J10" s="301">
        <f t="shared" si="1"/>
        <v>2.2860000000000023</v>
      </c>
      <c r="K10" s="301"/>
      <c r="L10" s="301">
        <f>SUM(L8:L9)</f>
        <v>0.56713192949222613</v>
      </c>
      <c r="M10" s="301">
        <f t="shared" ref="M10" si="8">SUM(M8:M9)</f>
        <v>1.9067789159358632E-2</v>
      </c>
      <c r="N10" s="301">
        <f t="shared" ref="N10" si="9">SUM(N8:N9)</f>
        <v>0.52880028134841428</v>
      </c>
      <c r="O10" s="301">
        <f t="shared" si="2"/>
        <v>1.1149999999999989</v>
      </c>
      <c r="P10" s="301"/>
      <c r="Q10" s="301">
        <f>SUM(Q8:Q9)</f>
        <v>0.62811678833517015</v>
      </c>
      <c r="R10" s="301">
        <f t="shared" ref="R10" si="10">SUM(R8:R9)</f>
        <v>2.043896300080042E-2</v>
      </c>
      <c r="S10" s="301">
        <f t="shared" ref="S10" si="11">SUM(S8:S9)</f>
        <v>0.5634442486640302</v>
      </c>
      <c r="T10" s="301">
        <f t="shared" si="3"/>
        <v>1.2120000000000006</v>
      </c>
      <c r="U10" s="301"/>
      <c r="V10" s="301">
        <f>SUM(V8:V9)</f>
        <v>0.65893301496878198</v>
      </c>
      <c r="W10" s="301">
        <f t="shared" ref="W10" si="12">SUM(W8:W9)</f>
        <v>1.9646851829057899E-2</v>
      </c>
      <c r="X10" s="301">
        <f t="shared" ref="X10" si="13">SUM(X8:X9)</f>
        <v>0.53642013320215853</v>
      </c>
      <c r="Y10" s="301">
        <f t="shared" si="4"/>
        <v>1.2149999999999985</v>
      </c>
    </row>
    <row r="12" spans="1:25" x14ac:dyDescent="0.3">
      <c r="A12" s="261"/>
    </row>
    <row r="13" spans="1:25" ht="12.5" x14ac:dyDescent="0.25">
      <c r="C13" s="263"/>
    </row>
    <row r="14" spans="1:25" ht="14" x14ac:dyDescent="0.3">
      <c r="A14" s="265" t="str">
        <f>"Industry 2 : "&amp; name!B5</f>
        <v>Industry 2 : Mining and quarrying</v>
      </c>
      <c r="B14" s="375">
        <f>$B$5</f>
        <v>2015</v>
      </c>
      <c r="C14" s="375"/>
      <c r="D14" s="375"/>
      <c r="E14" s="375"/>
      <c r="F14" s="320"/>
      <c r="G14" s="375">
        <f>$G$5</f>
        <v>2019</v>
      </c>
      <c r="H14" s="375"/>
      <c r="I14" s="375"/>
      <c r="J14" s="375"/>
      <c r="K14" s="320"/>
      <c r="L14" s="375">
        <f>$L$5</f>
        <v>2020</v>
      </c>
      <c r="M14" s="375"/>
      <c r="N14" s="375"/>
      <c r="O14" s="375"/>
      <c r="P14" s="318"/>
      <c r="Q14" s="375">
        <f>$Q$5</f>
        <v>2025</v>
      </c>
      <c r="R14" s="375"/>
      <c r="S14" s="375"/>
      <c r="T14" s="375"/>
      <c r="U14" s="320"/>
      <c r="V14" s="375">
        <f>$V$5</f>
        <v>2035</v>
      </c>
      <c r="W14" s="375"/>
      <c r="X14" s="375"/>
      <c r="Y14" s="375"/>
    </row>
    <row r="15" spans="1:25" x14ac:dyDescent="0.3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3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ht="12.5" x14ac:dyDescent="0.25">
      <c r="A17" s="260" t="s">
        <v>365</v>
      </c>
      <c r="B17" s="300">
        <v>9.3913043478010064E-3</v>
      </c>
      <c r="C17" s="300">
        <v>1.3873517786695609E-3</v>
      </c>
      <c r="D17" s="300">
        <v>1.0671936759007293E-4</v>
      </c>
      <c r="E17" s="300">
        <f>SUM(B17:D17)</f>
        <v>1.0885375494060641E-2</v>
      </c>
      <c r="F17" s="300"/>
      <c r="G17" s="300">
        <v>1.0315952275815117E-2</v>
      </c>
      <c r="H17" s="300">
        <v>4.8055678303204011E-3</v>
      </c>
      <c r="I17" s="300">
        <v>6.4074237738840804E-5</v>
      </c>
      <c r="J17" s="300">
        <f>SUM(G17:I17)</f>
        <v>1.518559434387436E-2</v>
      </c>
      <c r="K17" s="300"/>
      <c r="L17" s="300">
        <v>2.2003768844478837E-2</v>
      </c>
      <c r="M17" s="300">
        <v>3.3752093802494141E-3</v>
      </c>
      <c r="N17" s="300">
        <v>0</v>
      </c>
      <c r="O17" s="300">
        <f>SUM(L17:N17)</f>
        <v>2.5378978224728253E-2</v>
      </c>
      <c r="P17" s="300"/>
      <c r="Q17" s="300">
        <v>1.5414756847844269E-2</v>
      </c>
      <c r="R17" s="300">
        <v>2.4371157071086153E-3</v>
      </c>
      <c r="S17" s="300">
        <v>0</v>
      </c>
      <c r="T17" s="300">
        <f>SUM(Q17:S17)</f>
        <v>1.7851872554952884E-2</v>
      </c>
      <c r="U17" s="300"/>
      <c r="V17" s="300">
        <v>8.633130962986282E-3</v>
      </c>
      <c r="W17" s="300">
        <v>1.4752818733785964E-3</v>
      </c>
      <c r="X17" s="300">
        <v>0</v>
      </c>
      <c r="Y17" s="300">
        <f>SUM(V17:X17)</f>
        <v>1.0108412836364879E-2</v>
      </c>
    </row>
    <row r="18" spans="1:25" ht="12.5" x14ac:dyDescent="0.25">
      <c r="A18" s="260" t="s">
        <v>364</v>
      </c>
      <c r="B18" s="300">
        <v>6.520553359714007E-2</v>
      </c>
      <c r="C18" s="300">
        <v>2.1343873517934761E-4</v>
      </c>
      <c r="D18" s="300">
        <v>8.5695652173620157E-2</v>
      </c>
      <c r="E18" s="300">
        <f t="shared" ref="E18:E19" si="14">SUM(B18:D18)</f>
        <v>0.15111462450593957</v>
      </c>
      <c r="F18" s="300"/>
      <c r="G18" s="300">
        <v>8.2976137869658087E-2</v>
      </c>
      <c r="H18" s="300">
        <v>1.217410517014081E-3</v>
      </c>
      <c r="I18" s="300">
        <v>4.5620857269453488E-2</v>
      </c>
      <c r="J18" s="300">
        <f t="shared" ref="J18:J19" si="15">SUM(G18:I18)</f>
        <v>0.12981440565612568</v>
      </c>
      <c r="K18" s="300"/>
      <c r="L18" s="300">
        <v>0.12747906197626596</v>
      </c>
      <c r="M18" s="300">
        <v>2.1419597990060472E-3</v>
      </c>
      <c r="N18" s="300">
        <v>0</v>
      </c>
      <c r="O18" s="300">
        <f t="shared" ref="O18:O19" si="16">SUM(L18:N18)</f>
        <v>0.12962102177527202</v>
      </c>
      <c r="P18" s="300"/>
      <c r="Q18" s="300">
        <v>8.9624930128112429E-2</v>
      </c>
      <c r="R18" s="300">
        <v>1.5231973169345851E-3</v>
      </c>
      <c r="S18" s="300">
        <v>0</v>
      </c>
      <c r="T18" s="300">
        <f t="shared" ref="T18:T19" si="17">SUM(Q18:S18)</f>
        <v>9.1148127445047009E-2</v>
      </c>
      <c r="U18" s="300"/>
      <c r="V18" s="300">
        <v>5.1908065914720768E-2</v>
      </c>
      <c r="W18" s="300">
        <v>9.8352124891430063E-4</v>
      </c>
      <c r="X18" s="300">
        <v>0</v>
      </c>
      <c r="Y18" s="300">
        <f t="shared" ref="Y18:Y19" si="18">SUM(V18:X18)</f>
        <v>5.2891587163635068E-2</v>
      </c>
    </row>
    <row r="19" spans="1:25" ht="12.5" x14ac:dyDescent="0.25">
      <c r="A19" s="264" t="s">
        <v>363</v>
      </c>
      <c r="B19" s="301">
        <f>SUM(B17:B18)</f>
        <v>7.4596837944941069E-2</v>
      </c>
      <c r="C19" s="301">
        <f t="shared" ref="C19" si="19">SUM(C17:C18)</f>
        <v>1.6007905138489085E-3</v>
      </c>
      <c r="D19" s="301">
        <f t="shared" ref="D19" si="20">SUM(D17:D18)</f>
        <v>8.5802371541210232E-2</v>
      </c>
      <c r="E19" s="301">
        <f t="shared" si="14"/>
        <v>0.1620000000000002</v>
      </c>
      <c r="F19" s="301"/>
      <c r="G19" s="301">
        <f>SUM(G17:G18)</f>
        <v>9.3292090145473211E-2</v>
      </c>
      <c r="H19" s="301">
        <f t="shared" ref="H19" si="21">SUM(H17:H18)</f>
        <v>6.0229783473344824E-3</v>
      </c>
      <c r="I19" s="301">
        <f t="shared" ref="I19" si="22">SUM(I17:I18)</f>
        <v>4.5684931507192328E-2</v>
      </c>
      <c r="J19" s="301">
        <f t="shared" si="15"/>
        <v>0.14500000000000002</v>
      </c>
      <c r="K19" s="301"/>
      <c r="L19" s="301">
        <f>SUM(L17:L18)</f>
        <v>0.14948283082074479</v>
      </c>
      <c r="M19" s="301">
        <f t="shared" ref="M19" si="23">SUM(M17:M18)</f>
        <v>5.5171691792554618E-3</v>
      </c>
      <c r="N19" s="301">
        <f t="shared" ref="N19" si="24">SUM(N17:N18)</f>
        <v>0</v>
      </c>
      <c r="O19" s="301">
        <f t="shared" si="16"/>
        <v>0.15500000000000025</v>
      </c>
      <c r="P19" s="301"/>
      <c r="Q19" s="301">
        <f>SUM(Q17:Q18)</f>
        <v>0.1050396869759567</v>
      </c>
      <c r="R19" s="301">
        <f t="shared" ref="R19" si="25">SUM(R17:R18)</f>
        <v>3.9603130240432006E-3</v>
      </c>
      <c r="S19" s="301">
        <f t="shared" ref="S19" si="26">SUM(S17:S18)</f>
        <v>0</v>
      </c>
      <c r="T19" s="301">
        <f t="shared" si="17"/>
        <v>0.1089999999999999</v>
      </c>
      <c r="U19" s="301"/>
      <c r="V19" s="301">
        <f>SUM(V17:V18)</f>
        <v>6.0541196877707051E-2</v>
      </c>
      <c r="W19" s="301">
        <f t="shared" ref="W19" si="27">SUM(W17:W18)</f>
        <v>2.458803122292897E-3</v>
      </c>
      <c r="X19" s="301">
        <f t="shared" ref="X19" si="28">SUM(X17:X18)</f>
        <v>0</v>
      </c>
      <c r="Y19" s="301">
        <f t="shared" si="18"/>
        <v>6.2999999999999945E-2</v>
      </c>
    </row>
    <row r="20" spans="1:25" x14ac:dyDescent="0.3">
      <c r="A20" s="262"/>
    </row>
    <row r="21" spans="1:25" x14ac:dyDescent="0.3">
      <c r="A21" s="262"/>
    </row>
    <row r="22" spans="1:25" x14ac:dyDescent="0.3">
      <c r="A22" s="262"/>
    </row>
    <row r="23" spans="1:25" ht="14" x14ac:dyDescent="0.3">
      <c r="A23" s="265" t="str">
        <f>"Industry 3 : "&amp; name!B6</f>
        <v>Industry 3 : Food drink and tobacco</v>
      </c>
      <c r="B23" s="375">
        <f>$B$5</f>
        <v>2015</v>
      </c>
      <c r="C23" s="375"/>
      <c r="D23" s="375"/>
      <c r="E23" s="375"/>
      <c r="F23" s="320"/>
      <c r="G23" s="375">
        <f>$G$5</f>
        <v>2019</v>
      </c>
      <c r="H23" s="375"/>
      <c r="I23" s="375"/>
      <c r="J23" s="375"/>
      <c r="K23" s="320"/>
      <c r="L23" s="375">
        <f>$L$5</f>
        <v>2020</v>
      </c>
      <c r="M23" s="375"/>
      <c r="N23" s="375"/>
      <c r="O23" s="375"/>
      <c r="P23" s="318"/>
      <c r="Q23" s="375">
        <f>$Q$5</f>
        <v>2025</v>
      </c>
      <c r="R23" s="375"/>
      <c r="S23" s="375"/>
      <c r="T23" s="375"/>
      <c r="U23" s="320"/>
      <c r="V23" s="375">
        <f>$V$5</f>
        <v>2035</v>
      </c>
      <c r="W23" s="375"/>
      <c r="X23" s="375"/>
      <c r="Y23" s="375"/>
    </row>
    <row r="24" spans="1:25" x14ac:dyDescent="0.3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3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ht="12.5" x14ac:dyDescent="0.25">
      <c r="A26" s="260" t="s">
        <v>365</v>
      </c>
      <c r="B26" s="300">
        <v>1.7083702571709329</v>
      </c>
      <c r="C26" s="300">
        <v>0.45347087618524834</v>
      </c>
      <c r="D26" s="300">
        <v>0.11931532464952263</v>
      </c>
      <c r="E26" s="300">
        <f>SUM(B26:D26)</f>
        <v>2.2811564580057038</v>
      </c>
      <c r="F26" s="300"/>
      <c r="G26" s="300">
        <v>1.5875249042055317</v>
      </c>
      <c r="H26" s="300">
        <v>0.41823476141612487</v>
      </c>
      <c r="I26" s="300">
        <v>0.11173789620718666</v>
      </c>
      <c r="J26" s="300">
        <f>SUM(G26:I26)</f>
        <v>2.1174975618288432</v>
      </c>
      <c r="K26" s="300"/>
      <c r="L26" s="300">
        <v>1.6462467939333201</v>
      </c>
      <c r="M26" s="300">
        <v>0.40450951573279742</v>
      </c>
      <c r="N26" s="300">
        <v>0.10306327223834941</v>
      </c>
      <c r="O26" s="300">
        <f>SUM(L26:N26)</f>
        <v>2.1538195819044668</v>
      </c>
      <c r="P26" s="300"/>
      <c r="Q26" s="300">
        <v>1.7119503091484154</v>
      </c>
      <c r="R26" s="300">
        <v>0.40476986040110197</v>
      </c>
      <c r="S26" s="300">
        <v>0.10611186253787253</v>
      </c>
      <c r="T26" s="300">
        <f>SUM(Q26:S26)</f>
        <v>2.22283203208739</v>
      </c>
      <c r="U26" s="300"/>
      <c r="V26" s="300">
        <v>1.7748697850076756</v>
      </c>
      <c r="W26" s="300">
        <v>0.38999380926516036</v>
      </c>
      <c r="X26" s="300">
        <v>0.10735472679936756</v>
      </c>
      <c r="Y26" s="300">
        <f>SUM(V26:X26)</f>
        <v>2.2722183210722036</v>
      </c>
    </row>
    <row r="27" spans="1:25" ht="12.5" x14ac:dyDescent="0.25">
      <c r="A27" s="260" t="s">
        <v>364</v>
      </c>
      <c r="B27" s="300">
        <v>4.2486788738946011</v>
      </c>
      <c r="C27" s="300">
        <v>0.25897055243573491</v>
      </c>
      <c r="D27" s="300">
        <v>0.22319411566394848</v>
      </c>
      <c r="E27" s="300">
        <f t="shared" ref="E27:E28" si="29">SUM(B27:D27)</f>
        <v>4.7308435419942843</v>
      </c>
      <c r="F27" s="300"/>
      <c r="G27" s="300">
        <v>3.8909454893683657</v>
      </c>
      <c r="H27" s="300">
        <v>0.29250661790660304</v>
      </c>
      <c r="I27" s="300">
        <v>4.1050330896184185E-2</v>
      </c>
      <c r="J27" s="300">
        <f t="shared" ref="J27:J28" si="30">SUM(G27:I27)</f>
        <v>4.2245024381711529</v>
      </c>
      <c r="K27" s="300"/>
      <c r="L27" s="300">
        <v>3.7305585875622804</v>
      </c>
      <c r="M27" s="300">
        <v>0.34827642443046219</v>
      </c>
      <c r="N27" s="300">
        <v>6.4345406102791172E-2</v>
      </c>
      <c r="O27" s="300">
        <f t="shared" ref="O27:O28" si="31">SUM(L27:N27)</f>
        <v>4.1431804180955334</v>
      </c>
      <c r="P27" s="300"/>
      <c r="Q27" s="300">
        <v>3.6990190694130529</v>
      </c>
      <c r="R27" s="300">
        <v>0.34923124256343957</v>
      </c>
      <c r="S27" s="300">
        <v>6.4917655936126112E-2</v>
      </c>
      <c r="T27" s="300">
        <f t="shared" ref="T27:T28" si="32">SUM(Q27:S27)</f>
        <v>4.1131679679126183</v>
      </c>
      <c r="U27" s="300"/>
      <c r="V27" s="300">
        <v>3.5125356042208988</v>
      </c>
      <c r="W27" s="300">
        <v>0.33890776684538981</v>
      </c>
      <c r="X27" s="300">
        <v>6.5338307861489711E-2</v>
      </c>
      <c r="Y27" s="300">
        <f t="shared" ref="Y27:Y28" si="33">SUM(V27:X27)</f>
        <v>3.9167816789277783</v>
      </c>
    </row>
    <row r="28" spans="1:25" ht="12.5" x14ac:dyDescent="0.25">
      <c r="A28" s="264" t="s">
        <v>363</v>
      </c>
      <c r="B28" s="301">
        <f>SUM(B26:B27)</f>
        <v>5.957049131065534</v>
      </c>
      <c r="C28" s="301">
        <f t="shared" ref="C28" si="34">SUM(C26:C27)</f>
        <v>0.71244142862098325</v>
      </c>
      <c r="D28" s="301">
        <f t="shared" ref="D28" si="35">SUM(D26:D27)</f>
        <v>0.34250944031347108</v>
      </c>
      <c r="E28" s="301">
        <f t="shared" si="29"/>
        <v>7.011999999999988</v>
      </c>
      <c r="F28" s="301"/>
      <c r="G28" s="301">
        <f>SUM(G26:G27)</f>
        <v>5.4784703935738976</v>
      </c>
      <c r="H28" s="301">
        <f t="shared" ref="H28" si="36">SUM(H26:H27)</f>
        <v>0.71074137932272796</v>
      </c>
      <c r="I28" s="301">
        <f t="shared" ref="I28" si="37">SUM(I26:I27)</f>
        <v>0.15278822710337084</v>
      </c>
      <c r="J28" s="301">
        <f t="shared" si="30"/>
        <v>6.3419999999999961</v>
      </c>
      <c r="K28" s="301"/>
      <c r="L28" s="301">
        <f>SUM(L26:L27)</f>
        <v>5.3768053814956005</v>
      </c>
      <c r="M28" s="301">
        <f t="shared" ref="M28" si="38">SUM(M26:M27)</f>
        <v>0.75278594016325961</v>
      </c>
      <c r="N28" s="301">
        <f t="shared" ref="N28" si="39">SUM(N26:N27)</f>
        <v>0.16740867834114059</v>
      </c>
      <c r="O28" s="301">
        <f t="shared" si="31"/>
        <v>6.2970000000000006</v>
      </c>
      <c r="P28" s="301"/>
      <c r="Q28" s="301">
        <f>SUM(Q26:Q27)</f>
        <v>5.4109693785614681</v>
      </c>
      <c r="R28" s="301">
        <f t="shared" ref="R28" si="40">SUM(R26:R27)</f>
        <v>0.75400110296454148</v>
      </c>
      <c r="S28" s="301">
        <f t="shared" ref="S28" si="41">SUM(S26:S27)</f>
        <v>0.17102951847399864</v>
      </c>
      <c r="T28" s="301">
        <f t="shared" si="32"/>
        <v>6.3360000000000083</v>
      </c>
      <c r="U28" s="301"/>
      <c r="V28" s="301">
        <f>SUM(V26:V27)</f>
        <v>5.2874053892285744</v>
      </c>
      <c r="W28" s="301">
        <f t="shared" ref="W28" si="42">SUM(W26:W27)</f>
        <v>0.72890157611055018</v>
      </c>
      <c r="X28" s="301">
        <f t="shared" ref="X28" si="43">SUM(X26:X27)</f>
        <v>0.17269303466085728</v>
      </c>
      <c r="Y28" s="301">
        <f t="shared" si="33"/>
        <v>6.1889999999999814</v>
      </c>
    </row>
    <row r="32" spans="1:25" ht="14" x14ac:dyDescent="0.3">
      <c r="A32" s="265" t="str">
        <f>"Industry 4 : "&amp; name!B7</f>
        <v>Industry 4 : Engineering</v>
      </c>
      <c r="B32" s="375">
        <f>$B$5</f>
        <v>2015</v>
      </c>
      <c r="C32" s="375"/>
      <c r="D32" s="375"/>
      <c r="E32" s="375"/>
      <c r="F32" s="320"/>
      <c r="G32" s="375">
        <f>$G$5</f>
        <v>2019</v>
      </c>
      <c r="H32" s="375"/>
      <c r="I32" s="375"/>
      <c r="J32" s="375"/>
      <c r="K32" s="320"/>
      <c r="L32" s="375">
        <f>$L$5</f>
        <v>2020</v>
      </c>
      <c r="M32" s="375"/>
      <c r="N32" s="375"/>
      <c r="O32" s="375"/>
      <c r="P32" s="318"/>
      <c r="Q32" s="375">
        <f>$Q$5</f>
        <v>2025</v>
      </c>
      <c r="R32" s="375"/>
      <c r="S32" s="375"/>
      <c r="T32" s="375"/>
      <c r="U32" s="320"/>
      <c r="V32" s="375">
        <f>$V$5</f>
        <v>2035</v>
      </c>
      <c r="W32" s="375"/>
      <c r="X32" s="375"/>
      <c r="Y32" s="375"/>
    </row>
    <row r="33" spans="1:25" x14ac:dyDescent="0.3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3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ht="12.5" x14ac:dyDescent="0.25">
      <c r="A35" s="260" t="s">
        <v>365</v>
      </c>
      <c r="B35" s="300">
        <v>1.0966939808223322</v>
      </c>
      <c r="C35" s="300">
        <v>0.31714942315669403</v>
      </c>
      <c r="D35" s="300">
        <v>4.2652800669252602E-2</v>
      </c>
      <c r="E35" s="300">
        <f>SUM(B35:D35)</f>
        <v>1.4564962046482788</v>
      </c>
      <c r="F35" s="300"/>
      <c r="G35" s="300">
        <v>1.1754676189820135</v>
      </c>
      <c r="H35" s="300">
        <v>0.30979797130962922</v>
      </c>
      <c r="I35" s="300">
        <v>0.16094462117364516</v>
      </c>
      <c r="J35" s="300">
        <f>SUM(G35:I35)</f>
        <v>1.6462102114652879</v>
      </c>
      <c r="K35" s="300"/>
      <c r="L35" s="300">
        <v>1.2864633262276473</v>
      </c>
      <c r="M35" s="300">
        <v>0.32951573929691375</v>
      </c>
      <c r="N35" s="300">
        <v>0.1065265909532092</v>
      </c>
      <c r="O35" s="300">
        <f>SUM(L35:N35)</f>
        <v>1.7225056564777701</v>
      </c>
      <c r="P35" s="300"/>
      <c r="Q35" s="300">
        <v>1.3562483992578311</v>
      </c>
      <c r="R35" s="300">
        <v>0.34689891248997329</v>
      </c>
      <c r="S35" s="300">
        <v>0.11435349120795787</v>
      </c>
      <c r="T35" s="300">
        <f>SUM(Q35:S35)</f>
        <v>1.8175008029557622</v>
      </c>
      <c r="U35" s="300"/>
      <c r="V35" s="300">
        <v>1.1973816628555178</v>
      </c>
      <c r="W35" s="300">
        <v>0.31000483747234964</v>
      </c>
      <c r="X35" s="300">
        <v>0.10835743026272331</v>
      </c>
      <c r="Y35" s="300">
        <f>SUM(V35:X35)</f>
        <v>1.6157439305905907</v>
      </c>
    </row>
    <row r="36" spans="1:25" ht="12.5" x14ac:dyDescent="0.25">
      <c r="A36" s="260" t="s">
        <v>364</v>
      </c>
      <c r="B36" s="300">
        <v>5.0254369878562271</v>
      </c>
      <c r="C36" s="300">
        <v>0.13506720211761872</v>
      </c>
      <c r="D36" s="300">
        <v>0.34299960537787993</v>
      </c>
      <c r="E36" s="300">
        <f t="shared" ref="E36:E37" si="44">SUM(B36:D36)</f>
        <v>5.5035037953517261</v>
      </c>
      <c r="F36" s="300"/>
      <c r="G36" s="300">
        <v>5.9056055258804738</v>
      </c>
      <c r="H36" s="300">
        <v>0.14313450573317354</v>
      </c>
      <c r="I36" s="300">
        <v>0.47204975692107087</v>
      </c>
      <c r="J36" s="300">
        <f t="shared" ref="J36:J37" si="45">SUM(G36:I36)</f>
        <v>6.5207897885347181</v>
      </c>
      <c r="K36" s="300"/>
      <c r="L36" s="300">
        <v>5.2916351075308716</v>
      </c>
      <c r="M36" s="300">
        <v>0.20197702260520581</v>
      </c>
      <c r="N36" s="300">
        <v>0.19888221338614046</v>
      </c>
      <c r="O36" s="300">
        <f t="shared" ref="O36:O37" si="46">SUM(L36:N36)</f>
        <v>5.6924943435222177</v>
      </c>
      <c r="P36" s="300"/>
      <c r="Q36" s="300">
        <v>5.6121174915894194</v>
      </c>
      <c r="R36" s="300">
        <v>0.22358906393103856</v>
      </c>
      <c r="S36" s="300">
        <v>0.21479264152378308</v>
      </c>
      <c r="T36" s="300">
        <f t="shared" ref="T36:T37" si="47">SUM(Q36:S36)</f>
        <v>6.0504991970442408</v>
      </c>
      <c r="U36" s="300"/>
      <c r="V36" s="300">
        <v>5.0576952619611646</v>
      </c>
      <c r="W36" s="300">
        <v>0.21575310818940163</v>
      </c>
      <c r="X36" s="300">
        <v>0.20180769925884098</v>
      </c>
      <c r="Y36" s="300">
        <f t="shared" ref="Y36:Y37" si="48">SUM(V36:X36)</f>
        <v>5.475256069409407</v>
      </c>
    </row>
    <row r="37" spans="1:25" ht="12.5" x14ac:dyDescent="0.25">
      <c r="A37" s="264" t="s">
        <v>363</v>
      </c>
      <c r="B37" s="301">
        <f>SUM(B35:B36)</f>
        <v>6.122130968678559</v>
      </c>
      <c r="C37" s="301">
        <f t="shared" ref="C37" si="49">SUM(C35:C36)</f>
        <v>0.45221662527431272</v>
      </c>
      <c r="D37" s="301">
        <f t="shared" ref="D37" si="50">SUM(D35:D36)</f>
        <v>0.38565240604713252</v>
      </c>
      <c r="E37" s="301">
        <f t="shared" si="44"/>
        <v>6.9600000000000044</v>
      </c>
      <c r="F37" s="301"/>
      <c r="G37" s="301">
        <f>SUM(G35:G36)</f>
        <v>7.0810731448624873</v>
      </c>
      <c r="H37" s="301">
        <f t="shared" ref="H37" si="51">SUM(H35:H36)</f>
        <v>0.45293247704280276</v>
      </c>
      <c r="I37" s="301">
        <f t="shared" ref="I37" si="52">SUM(I35:I36)</f>
        <v>0.63299437809471604</v>
      </c>
      <c r="J37" s="301">
        <f t="shared" si="45"/>
        <v>8.1670000000000069</v>
      </c>
      <c r="K37" s="301"/>
      <c r="L37" s="301">
        <f>SUM(L35:L36)</f>
        <v>6.5780984337585187</v>
      </c>
      <c r="M37" s="301">
        <f t="shared" ref="M37" si="53">SUM(M35:M36)</f>
        <v>0.53149276190211958</v>
      </c>
      <c r="N37" s="301">
        <f t="shared" ref="N37" si="54">SUM(N35:N36)</f>
        <v>0.30540880433934964</v>
      </c>
      <c r="O37" s="301">
        <f t="shared" si="46"/>
        <v>7.4149999999999876</v>
      </c>
      <c r="P37" s="301"/>
      <c r="Q37" s="301">
        <f>SUM(Q35:Q36)</f>
        <v>6.9683658908472506</v>
      </c>
      <c r="R37" s="301">
        <f t="shared" ref="R37" si="55">SUM(R35:R36)</f>
        <v>0.57048797642101179</v>
      </c>
      <c r="S37" s="301">
        <f t="shared" ref="S37" si="56">SUM(S35:S36)</f>
        <v>0.32914613273174098</v>
      </c>
      <c r="T37" s="301">
        <f t="shared" si="47"/>
        <v>7.868000000000003</v>
      </c>
      <c r="U37" s="301"/>
      <c r="V37" s="301">
        <f>SUM(V35:V36)</f>
        <v>6.2550769248166826</v>
      </c>
      <c r="W37" s="301">
        <f t="shared" ref="W37" si="57">SUM(W35:W36)</f>
        <v>0.52575794566175127</v>
      </c>
      <c r="X37" s="301">
        <f t="shared" ref="X37" si="58">SUM(X35:X36)</f>
        <v>0.31016512952156428</v>
      </c>
      <c r="Y37" s="301">
        <f t="shared" si="48"/>
        <v>7.0909999999999984</v>
      </c>
    </row>
    <row r="38" spans="1:25" ht="12.5" x14ac:dyDescent="0.25">
      <c r="C38" s="263"/>
    </row>
    <row r="39" spans="1:25" ht="12.5" x14ac:dyDescent="0.25">
      <c r="C39" s="263"/>
    </row>
    <row r="40" spans="1:25" x14ac:dyDescent="0.3">
      <c r="A40" s="261"/>
    </row>
    <row r="41" spans="1:25" ht="14" x14ac:dyDescent="0.3">
      <c r="A41" s="265" t="str">
        <f>"Industry 5 : "&amp; name!B8</f>
        <v>Industry 5 : Rest of manufacturing</v>
      </c>
      <c r="B41" s="375">
        <f>$B$5</f>
        <v>2015</v>
      </c>
      <c r="C41" s="375"/>
      <c r="D41" s="375"/>
      <c r="E41" s="375"/>
      <c r="F41" s="320"/>
      <c r="G41" s="375">
        <f>$G$5</f>
        <v>2019</v>
      </c>
      <c r="H41" s="375"/>
      <c r="I41" s="375"/>
      <c r="J41" s="375"/>
      <c r="K41" s="320"/>
      <c r="L41" s="375">
        <f>$L$5</f>
        <v>2020</v>
      </c>
      <c r="M41" s="375"/>
      <c r="N41" s="375"/>
      <c r="O41" s="375"/>
      <c r="P41" s="318"/>
      <c r="Q41" s="375">
        <f>$Q$5</f>
        <v>2025</v>
      </c>
      <c r="R41" s="375"/>
      <c r="S41" s="375"/>
      <c r="T41" s="375"/>
      <c r="U41" s="320"/>
      <c r="V41" s="375">
        <f>$V$5</f>
        <v>2035</v>
      </c>
      <c r="W41" s="375"/>
      <c r="X41" s="375"/>
      <c r="Y41" s="375"/>
    </row>
    <row r="42" spans="1:25" x14ac:dyDescent="0.3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3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ht="12.5" x14ac:dyDescent="0.25">
      <c r="A44" s="260" t="s">
        <v>365</v>
      </c>
      <c r="B44" s="300">
        <v>7.2707611658222824</v>
      </c>
      <c r="C44" s="300">
        <v>1.8141277702244425</v>
      </c>
      <c r="D44" s="300">
        <v>0.54380163490996281</v>
      </c>
      <c r="E44" s="300">
        <f>SUM(B44:D44)</f>
        <v>9.628690570956687</v>
      </c>
      <c r="F44" s="300"/>
      <c r="G44" s="300">
        <v>7.7739890219271013</v>
      </c>
      <c r="H44" s="300">
        <v>2.2619201544515528</v>
      </c>
      <c r="I44" s="300">
        <v>0.79217127400974274</v>
      </c>
      <c r="J44" s="300">
        <f>SUM(G44:I44)</f>
        <v>10.828080450388397</v>
      </c>
      <c r="K44" s="300"/>
      <c r="L44" s="300">
        <v>7.7683203810621846</v>
      </c>
      <c r="M44" s="300">
        <v>2.2679354550548565</v>
      </c>
      <c r="N44" s="300">
        <v>0.77843844590273481</v>
      </c>
      <c r="O44" s="300">
        <f>SUM(L44:N44)</f>
        <v>10.814694282019776</v>
      </c>
      <c r="P44" s="300"/>
      <c r="Q44" s="300">
        <v>7.5709919127585934</v>
      </c>
      <c r="R44" s="300">
        <v>2.1518457563891071</v>
      </c>
      <c r="S44" s="300">
        <v>0.70542238920853284</v>
      </c>
      <c r="T44" s="300">
        <f>SUM(Q44:S44)</f>
        <v>10.428260058356233</v>
      </c>
      <c r="U44" s="300"/>
      <c r="V44" s="300">
        <v>6.9683060727944133</v>
      </c>
      <c r="W44" s="300">
        <v>1.9291745734647434</v>
      </c>
      <c r="X44" s="300">
        <v>0.61189301098158533</v>
      </c>
      <c r="Y44" s="300">
        <f>SUM(V44:X44)</f>
        <v>9.5093736572407419</v>
      </c>
    </row>
    <row r="45" spans="1:25" ht="12.5" x14ac:dyDescent="0.25">
      <c r="A45" s="260" t="s">
        <v>364</v>
      </c>
      <c r="B45" s="300">
        <v>40.037452829549117</v>
      </c>
      <c r="C45" s="300">
        <v>0.83087189779516857</v>
      </c>
      <c r="D45" s="300">
        <v>4.1899847016989273</v>
      </c>
      <c r="E45" s="300">
        <f t="shared" ref="E45:E46" si="59">SUM(B45:D45)</f>
        <v>45.058309429043213</v>
      </c>
      <c r="F45" s="300"/>
      <c r="G45" s="300">
        <v>40.250968992190892</v>
      </c>
      <c r="H45" s="300">
        <v>1.3256558529546749</v>
      </c>
      <c r="I45" s="300">
        <v>2.3712947044660639</v>
      </c>
      <c r="J45" s="300">
        <f t="shared" ref="J45:J46" si="60">SUM(G45:I45)</f>
        <v>43.947919549611633</v>
      </c>
      <c r="K45" s="300"/>
      <c r="L45" s="300">
        <v>35.294564240296211</v>
      </c>
      <c r="M45" s="300">
        <v>1.9821287341363689</v>
      </c>
      <c r="N45" s="300">
        <v>2.0756127435476746</v>
      </c>
      <c r="O45" s="300">
        <f t="shared" ref="O45:O46" si="61">SUM(L45:N45)</f>
        <v>39.352305717980251</v>
      </c>
      <c r="P45" s="300"/>
      <c r="Q45" s="300">
        <v>34.050686017822912</v>
      </c>
      <c r="R45" s="300">
        <v>1.8498669938581254</v>
      </c>
      <c r="S45" s="300">
        <v>1.9541869299627677</v>
      </c>
      <c r="T45" s="300">
        <f t="shared" ref="T45:T46" si="62">SUM(Q45:S45)</f>
        <v>37.854739941643807</v>
      </c>
      <c r="U45" s="300"/>
      <c r="V45" s="300">
        <v>30.576037020105375</v>
      </c>
      <c r="W45" s="300">
        <v>1.6822778829808016</v>
      </c>
      <c r="X45" s="300">
        <v>1.8423114396729916</v>
      </c>
      <c r="Y45" s="300">
        <f t="shared" ref="Y45:Y46" si="63">SUM(V45:X45)</f>
        <v>34.100626342759163</v>
      </c>
    </row>
    <row r="46" spans="1:25" ht="12.5" x14ac:dyDescent="0.25">
      <c r="A46" s="264" t="s">
        <v>363</v>
      </c>
      <c r="B46" s="301">
        <f>SUM(B44:B45)</f>
        <v>47.308213995371403</v>
      </c>
      <c r="C46" s="301">
        <f t="shared" ref="C46" si="64">SUM(C44:C45)</f>
        <v>2.6449996680196111</v>
      </c>
      <c r="D46" s="301">
        <f t="shared" ref="D46" si="65">SUM(D44:D45)</f>
        <v>4.7337863366088904</v>
      </c>
      <c r="E46" s="301">
        <f t="shared" si="59"/>
        <v>54.686999999999898</v>
      </c>
      <c r="F46" s="301"/>
      <c r="G46" s="301">
        <f>SUM(G44:G45)</f>
        <v>48.024958014117992</v>
      </c>
      <c r="H46" s="301">
        <f t="shared" ref="H46" si="66">SUM(H44:H45)</f>
        <v>3.587576007406228</v>
      </c>
      <c r="I46" s="301">
        <f t="shared" ref="I46" si="67">SUM(I44:I45)</f>
        <v>3.1634659784758066</v>
      </c>
      <c r="J46" s="301">
        <f t="shared" si="60"/>
        <v>54.776000000000025</v>
      </c>
      <c r="K46" s="301"/>
      <c r="L46" s="301">
        <f>SUM(L44:L45)</f>
        <v>43.062884621358393</v>
      </c>
      <c r="M46" s="301">
        <f t="shared" ref="M46" si="68">SUM(M44:M45)</f>
        <v>4.2500641891912254</v>
      </c>
      <c r="N46" s="301">
        <f t="shared" ref="N46" si="69">SUM(N44:N45)</f>
        <v>2.8540511894504093</v>
      </c>
      <c r="O46" s="301">
        <f t="shared" si="61"/>
        <v>50.16700000000003</v>
      </c>
      <c r="P46" s="301"/>
      <c r="Q46" s="301">
        <f>SUM(Q44:Q45)</f>
        <v>41.621677930581505</v>
      </c>
      <c r="R46" s="301">
        <f t="shared" ref="R46" si="70">SUM(R44:R45)</f>
        <v>4.0017127502472327</v>
      </c>
      <c r="S46" s="301">
        <f t="shared" ref="S46" si="71">SUM(S44:S45)</f>
        <v>2.6596093191713006</v>
      </c>
      <c r="T46" s="301">
        <f t="shared" si="62"/>
        <v>48.283000000000037</v>
      </c>
      <c r="U46" s="301"/>
      <c r="V46" s="301">
        <f>SUM(V44:V45)</f>
        <v>37.544343092899787</v>
      </c>
      <c r="W46" s="301">
        <f t="shared" ref="W46" si="72">SUM(W44:W45)</f>
        <v>3.6114524564455452</v>
      </c>
      <c r="X46" s="301">
        <f t="shared" ref="X46" si="73">SUM(X44:X45)</f>
        <v>2.454204450654577</v>
      </c>
      <c r="Y46" s="301">
        <f t="shared" si="63"/>
        <v>43.609999999999914</v>
      </c>
    </row>
    <row r="47" spans="1:25" ht="12.5" x14ac:dyDescent="0.25">
      <c r="C47" s="263"/>
    </row>
    <row r="48" spans="1:25" ht="12.5" x14ac:dyDescent="0.25">
      <c r="C48" s="263"/>
    </row>
    <row r="49" spans="1:25" ht="12.5" x14ac:dyDescent="0.25">
      <c r="C49" s="263"/>
    </row>
    <row r="50" spans="1:25" ht="14" x14ac:dyDescent="0.3">
      <c r="A50" s="265" t="str">
        <f>"Industry 6 : "&amp; name!B9</f>
        <v>Industry 6 : Electricity and gas</v>
      </c>
      <c r="B50" s="375">
        <f>$B$5</f>
        <v>2015</v>
      </c>
      <c r="C50" s="375"/>
      <c r="D50" s="375"/>
      <c r="E50" s="375"/>
      <c r="F50" s="320"/>
      <c r="G50" s="375">
        <f>$G$5</f>
        <v>2019</v>
      </c>
      <c r="H50" s="375"/>
      <c r="I50" s="375"/>
      <c r="J50" s="375"/>
      <c r="K50" s="320"/>
      <c r="L50" s="375">
        <f>$L$5</f>
        <v>2020</v>
      </c>
      <c r="M50" s="375"/>
      <c r="N50" s="375"/>
      <c r="O50" s="375"/>
      <c r="P50" s="318"/>
      <c r="Q50" s="375">
        <f>$Q$5</f>
        <v>2025</v>
      </c>
      <c r="R50" s="375"/>
      <c r="S50" s="375"/>
      <c r="T50" s="375"/>
      <c r="U50" s="320"/>
      <c r="V50" s="375">
        <f>$V$5</f>
        <v>2035</v>
      </c>
      <c r="W50" s="375"/>
      <c r="X50" s="375"/>
      <c r="Y50" s="375"/>
    </row>
    <row r="51" spans="1:25" x14ac:dyDescent="0.3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5" x14ac:dyDescent="0.25">
      <c r="A53" s="260" t="s">
        <v>365</v>
      </c>
      <c r="B53" s="300">
        <v>0.99943966840804266</v>
      </c>
      <c r="C53" s="300">
        <v>0.26229275407223607</v>
      </c>
      <c r="D53" s="300">
        <v>4.0105925699010226E-4</v>
      </c>
      <c r="E53" s="300">
        <f>SUM(B53:D53)</f>
        <v>1.2621334817372687</v>
      </c>
      <c r="F53" s="300"/>
      <c r="G53" s="300">
        <v>0.43716698637303336</v>
      </c>
      <c r="H53" s="300">
        <v>9.5235852676020041E-2</v>
      </c>
      <c r="I53" s="300">
        <v>1.6391713025369108E-4</v>
      </c>
      <c r="J53" s="300">
        <f>SUM(G53:I53)</f>
        <v>0.53256675617930704</v>
      </c>
      <c r="K53" s="300"/>
      <c r="L53" s="300">
        <v>0.48428232944965371</v>
      </c>
      <c r="M53" s="300">
        <v>0.10845460857493409</v>
      </c>
      <c r="N53" s="300">
        <v>0</v>
      </c>
      <c r="O53" s="300">
        <f>SUM(L53:N53)</f>
        <v>0.59273693802458782</v>
      </c>
      <c r="P53" s="300"/>
      <c r="Q53" s="300">
        <v>0.46117664154068599</v>
      </c>
      <c r="R53" s="300">
        <v>0.10231513940549382</v>
      </c>
      <c r="S53" s="300">
        <v>0</v>
      </c>
      <c r="T53" s="300">
        <f>SUM(Q53:S53)</f>
        <v>0.5634917809461798</v>
      </c>
      <c r="U53" s="300"/>
      <c r="V53" s="300">
        <v>0.46216929460892336</v>
      </c>
      <c r="W53" s="300">
        <v>0.10058091286315728</v>
      </c>
      <c r="X53" s="300">
        <v>0</v>
      </c>
      <c r="Y53" s="300">
        <f>SUM(V53:X53)</f>
        <v>0.5627502074720806</v>
      </c>
    </row>
    <row r="54" spans="1:25" ht="12.5" x14ac:dyDescent="0.25">
      <c r="A54" s="260" t="s">
        <v>364</v>
      </c>
      <c r="B54" s="300">
        <v>3.6079290758312874</v>
      </c>
      <c r="C54" s="300">
        <v>8.1816088425549827E-2</v>
      </c>
      <c r="D54" s="300">
        <v>0.27312135400588966</v>
      </c>
      <c r="E54" s="300">
        <f t="shared" ref="E54:E55" si="74">SUM(B54:D54)</f>
        <v>3.962866518262727</v>
      </c>
      <c r="F54" s="300"/>
      <c r="G54" s="300">
        <v>1.1485673316779144</v>
      </c>
      <c r="H54" s="300">
        <v>2.7865912142778868E-2</v>
      </c>
      <c r="I54" s="300">
        <v>0</v>
      </c>
      <c r="J54" s="300">
        <f t="shared" ref="J54:J55" si="75">SUM(G54:I54)</f>
        <v>1.1764332438206933</v>
      </c>
      <c r="K54" s="300"/>
      <c r="L54" s="300">
        <v>1.3551694150391835</v>
      </c>
      <c r="M54" s="300">
        <v>2.3093646936225617E-2</v>
      </c>
      <c r="N54" s="300">
        <v>0</v>
      </c>
      <c r="O54" s="300">
        <f t="shared" ref="O54:O55" si="76">SUM(L54:N54)</f>
        <v>1.378263061975409</v>
      </c>
      <c r="P54" s="300"/>
      <c r="Q54" s="300">
        <v>1.2704270275182201</v>
      </c>
      <c r="R54" s="300">
        <v>2.2081191535599107E-2</v>
      </c>
      <c r="S54" s="300">
        <v>0</v>
      </c>
      <c r="T54" s="300">
        <f t="shared" ref="T54:T55" si="77">SUM(Q54:S54)</f>
        <v>1.2925082190538193</v>
      </c>
      <c r="U54" s="300"/>
      <c r="V54" s="300">
        <v>1.2329543568433727</v>
      </c>
      <c r="W54" s="300">
        <v>2.2295435684549926E-2</v>
      </c>
      <c r="X54" s="300">
        <v>0</v>
      </c>
      <c r="Y54" s="300">
        <f t="shared" ref="Y54:Y55" si="78">SUM(V54:X54)</f>
        <v>1.2552497925279227</v>
      </c>
    </row>
    <row r="55" spans="1:25" ht="12.5" x14ac:dyDescent="0.25">
      <c r="A55" s="264" t="s">
        <v>363</v>
      </c>
      <c r="B55" s="301">
        <f>SUM(B53:B54)</f>
        <v>4.6073687442393298</v>
      </c>
      <c r="C55" s="301">
        <f t="shared" ref="C55" si="79">SUM(C53:C54)</f>
        <v>0.34410884249778589</v>
      </c>
      <c r="D55" s="301">
        <f t="shared" ref="D55" si="80">SUM(D53:D54)</f>
        <v>0.27352241326287974</v>
      </c>
      <c r="E55" s="301">
        <f t="shared" si="74"/>
        <v>5.2249999999999952</v>
      </c>
      <c r="F55" s="301"/>
      <c r="G55" s="301">
        <f>SUM(G53:G54)</f>
        <v>1.5857343180509478</v>
      </c>
      <c r="H55" s="301">
        <f t="shared" ref="H55" si="81">SUM(H53:H54)</f>
        <v>0.12310176481879891</v>
      </c>
      <c r="I55" s="301">
        <f t="shared" ref="I55" si="82">SUM(I53:I54)</f>
        <v>1.6391713025369108E-4</v>
      </c>
      <c r="J55" s="301">
        <f t="shared" si="75"/>
        <v>1.7090000000000003</v>
      </c>
      <c r="K55" s="301"/>
      <c r="L55" s="301">
        <f>SUM(L53:L54)</f>
        <v>1.8394517444888372</v>
      </c>
      <c r="M55" s="301">
        <f t="shared" ref="M55" si="83">SUM(M53:M54)</f>
        <v>0.1315482555111597</v>
      </c>
      <c r="N55" s="301">
        <f t="shared" ref="N55" si="84">SUM(N53:N54)</f>
        <v>0</v>
      </c>
      <c r="O55" s="301">
        <f t="shared" si="76"/>
        <v>1.970999999999997</v>
      </c>
      <c r="P55" s="301"/>
      <c r="Q55" s="301">
        <f>SUM(Q53:Q54)</f>
        <v>1.7316036690589061</v>
      </c>
      <c r="R55" s="301">
        <f t="shared" ref="R55" si="85">SUM(R53:R54)</f>
        <v>0.12439633094109293</v>
      </c>
      <c r="S55" s="301">
        <f t="shared" ref="S55" si="86">SUM(S53:S54)</f>
        <v>0</v>
      </c>
      <c r="T55" s="301">
        <f t="shared" si="77"/>
        <v>1.855999999999999</v>
      </c>
      <c r="U55" s="301"/>
      <c r="V55" s="301">
        <f>SUM(V53:V54)</f>
        <v>1.695123651452296</v>
      </c>
      <c r="W55" s="301">
        <f t="shared" ref="W55" si="87">SUM(W53:W54)</f>
        <v>0.12287634854770721</v>
      </c>
      <c r="X55" s="301">
        <f t="shared" ref="X55" si="88">SUM(X53:X54)</f>
        <v>0</v>
      </c>
      <c r="Y55" s="301">
        <f t="shared" si="78"/>
        <v>1.8180000000000032</v>
      </c>
    </row>
    <row r="56" spans="1:25" ht="12.5" x14ac:dyDescent="0.25">
      <c r="C56" s="263"/>
    </row>
    <row r="57" spans="1:25" ht="12.5" x14ac:dyDescent="0.25">
      <c r="C57" s="263"/>
    </row>
    <row r="58" spans="1:25" ht="12.5" x14ac:dyDescent="0.25">
      <c r="C58" s="263"/>
    </row>
    <row r="59" spans="1:25" ht="14" x14ac:dyDescent="0.3">
      <c r="A59" s="265" t="str">
        <f>"Industry 7 : "&amp; name!B10</f>
        <v>Industry 7 : Water and sewerage</v>
      </c>
      <c r="B59" s="375">
        <f>$B$5</f>
        <v>2015</v>
      </c>
      <c r="C59" s="375"/>
      <c r="D59" s="375"/>
      <c r="E59" s="375"/>
      <c r="F59" s="320"/>
      <c r="G59" s="375">
        <f>$G$5</f>
        <v>2019</v>
      </c>
      <c r="H59" s="375"/>
      <c r="I59" s="375"/>
      <c r="J59" s="375"/>
      <c r="K59" s="320"/>
      <c r="L59" s="375">
        <f>$L$5</f>
        <v>2020</v>
      </c>
      <c r="M59" s="375"/>
      <c r="N59" s="375"/>
      <c r="O59" s="375"/>
      <c r="P59" s="318"/>
      <c r="Q59" s="375">
        <f>$Q$5</f>
        <v>2025</v>
      </c>
      <c r="R59" s="375"/>
      <c r="S59" s="375"/>
      <c r="T59" s="375"/>
      <c r="U59" s="320"/>
      <c r="V59" s="375">
        <f>$V$5</f>
        <v>2035</v>
      </c>
      <c r="W59" s="375"/>
      <c r="X59" s="375"/>
      <c r="Y59" s="375"/>
    </row>
    <row r="60" spans="1:25" x14ac:dyDescent="0.3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3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ht="12.5" x14ac:dyDescent="0.25">
      <c r="A62" s="260" t="s">
        <v>365</v>
      </c>
      <c r="B62" s="300">
        <v>0.6015663938000696</v>
      </c>
      <c r="C62" s="300">
        <v>0.26521582275467842</v>
      </c>
      <c r="D62" s="300">
        <v>0.13080299985364702</v>
      </c>
      <c r="E62" s="300">
        <f>SUM(B62:D62)</f>
        <v>0.99758521640839515</v>
      </c>
      <c r="F62" s="300"/>
      <c r="G62" s="300">
        <v>0.81320227472466955</v>
      </c>
      <c r="H62" s="300">
        <v>0.33530334273732482</v>
      </c>
      <c r="I62" s="300">
        <v>0</v>
      </c>
      <c r="J62" s="300">
        <f>SUM(G62:I62)</f>
        <v>1.1485056174619943</v>
      </c>
      <c r="K62" s="300"/>
      <c r="L62" s="300">
        <v>0.65528554267554284</v>
      </c>
      <c r="M62" s="300">
        <v>0.34144766531212462</v>
      </c>
      <c r="N62" s="300">
        <v>1.5890525436294843E-2</v>
      </c>
      <c r="O62" s="300">
        <f>SUM(L62:N62)</f>
        <v>1.0126237334239623</v>
      </c>
      <c r="P62" s="300"/>
      <c r="Q62" s="300">
        <v>0.6975218186567167</v>
      </c>
      <c r="R62" s="300">
        <v>0.35402860045817408</v>
      </c>
      <c r="S62" s="300">
        <v>1.590246380511863E-2</v>
      </c>
      <c r="T62" s="300">
        <f>SUM(Q62:S62)</f>
        <v>1.0674528829200094</v>
      </c>
      <c r="U62" s="300"/>
      <c r="V62" s="300">
        <v>0.77046165916116793</v>
      </c>
      <c r="W62" s="300">
        <v>0.37094096881956329</v>
      </c>
      <c r="X62" s="300">
        <v>1.6076093351630301E-2</v>
      </c>
      <c r="Y62" s="300">
        <f>SUM(V62:X62)</f>
        <v>1.1574787213323616</v>
      </c>
    </row>
    <row r="63" spans="1:25" ht="12.5" x14ac:dyDescent="0.25">
      <c r="A63" s="260" t="s">
        <v>364</v>
      </c>
      <c r="B63" s="300">
        <v>3.1560470565202161</v>
      </c>
      <c r="C63" s="300">
        <v>7.0922405765182051E-2</v>
      </c>
      <c r="D63" s="300">
        <v>0.10744532130619085</v>
      </c>
      <c r="E63" s="300">
        <f t="shared" ref="E63:E64" si="89">SUM(B63:D63)</f>
        <v>3.3344147835915887</v>
      </c>
      <c r="F63" s="300"/>
      <c r="G63" s="300">
        <v>2.8857273105481496</v>
      </c>
      <c r="H63" s="300">
        <v>0.22265282722322571</v>
      </c>
      <c r="I63" s="300">
        <v>0.14911424476662904</v>
      </c>
      <c r="J63" s="300">
        <f t="shared" ref="J63:J64" si="90">SUM(G63:I63)</f>
        <v>3.2574943825380043</v>
      </c>
      <c r="K63" s="300"/>
      <c r="L63" s="300">
        <v>2.1070836728256914</v>
      </c>
      <c r="M63" s="300">
        <v>0.68329259375034346</v>
      </c>
      <c r="N63" s="300">
        <v>0</v>
      </c>
      <c r="O63" s="300">
        <f t="shared" ref="O63:O64" si="91">SUM(L63:N63)</f>
        <v>2.7903762665760348</v>
      </c>
      <c r="P63" s="300"/>
      <c r="Q63" s="300">
        <v>2.1428569977004037</v>
      </c>
      <c r="R63" s="300">
        <v>0.70269011937958625</v>
      </c>
      <c r="S63" s="300">
        <v>0</v>
      </c>
      <c r="T63" s="300">
        <f t="shared" ref="T63:T64" si="92">SUM(Q63:S63)</f>
        <v>2.84554711707999</v>
      </c>
      <c r="U63" s="300"/>
      <c r="V63" s="300">
        <v>2.1682878995732122</v>
      </c>
      <c r="W63" s="300">
        <v>0.72223337909441887</v>
      </c>
      <c r="X63" s="300">
        <v>0</v>
      </c>
      <c r="Y63" s="300">
        <f t="shared" ref="Y63:Y64" si="93">SUM(V63:X63)</f>
        <v>2.8905212786676309</v>
      </c>
    </row>
    <row r="64" spans="1:25" ht="12.5" x14ac:dyDescent="0.25">
      <c r="A64" s="264" t="s">
        <v>363</v>
      </c>
      <c r="B64" s="301">
        <f>SUM(B62:B63)</f>
        <v>3.7576134503202856</v>
      </c>
      <c r="C64" s="301">
        <f t="shared" ref="C64" si="94">SUM(C62:C63)</f>
        <v>0.33613822851986047</v>
      </c>
      <c r="D64" s="301">
        <f t="shared" ref="D64" si="95">SUM(D62:D63)</f>
        <v>0.23824832115983785</v>
      </c>
      <c r="E64" s="301">
        <f t="shared" si="89"/>
        <v>4.3319999999999839</v>
      </c>
      <c r="F64" s="301"/>
      <c r="G64" s="301">
        <f>SUM(G62:G63)</f>
        <v>3.6989295852728192</v>
      </c>
      <c r="H64" s="301">
        <f t="shared" ref="H64" si="96">SUM(H62:H63)</f>
        <v>0.55795616996055053</v>
      </c>
      <c r="I64" s="301">
        <f t="shared" ref="I64" si="97">SUM(I62:I63)</f>
        <v>0.14911424476662904</v>
      </c>
      <c r="J64" s="301">
        <f t="shared" si="90"/>
        <v>4.4059999999999988</v>
      </c>
      <c r="K64" s="301"/>
      <c r="L64" s="301">
        <f>SUM(L62:L63)</f>
        <v>2.7623692155012343</v>
      </c>
      <c r="M64" s="301">
        <f t="shared" ref="M64" si="98">SUM(M62:M63)</f>
        <v>1.0247402590624681</v>
      </c>
      <c r="N64" s="301">
        <f t="shared" ref="N64" si="99">SUM(N62:N63)</f>
        <v>1.5890525436294843E-2</v>
      </c>
      <c r="O64" s="301">
        <f t="shared" si="91"/>
        <v>3.8029999999999968</v>
      </c>
      <c r="P64" s="301"/>
      <c r="Q64" s="301">
        <f>SUM(Q62:Q63)</f>
        <v>2.8403788163571204</v>
      </c>
      <c r="R64" s="301">
        <f t="shared" ref="R64" si="100">SUM(R62:R63)</f>
        <v>1.0567187198377603</v>
      </c>
      <c r="S64" s="301">
        <f t="shared" ref="S64" si="101">SUM(S62:S63)</f>
        <v>1.590246380511863E-2</v>
      </c>
      <c r="T64" s="301">
        <f t="shared" si="92"/>
        <v>3.9129999999999998</v>
      </c>
      <c r="U64" s="301"/>
      <c r="V64" s="301">
        <f>SUM(V62:V63)</f>
        <v>2.9387495587343802</v>
      </c>
      <c r="W64" s="301">
        <f t="shared" ref="W64" si="102">SUM(W62:W63)</f>
        <v>1.0931743479139822</v>
      </c>
      <c r="X64" s="301">
        <f t="shared" ref="X64" si="103">SUM(X62:X63)</f>
        <v>1.6076093351630301E-2</v>
      </c>
      <c r="Y64" s="301">
        <f t="shared" si="93"/>
        <v>4.0479999999999929</v>
      </c>
    </row>
    <row r="68" spans="1:25" ht="14" x14ac:dyDescent="0.3">
      <c r="A68" s="265" t="str">
        <f>"Industry 8 : "&amp; name!B11</f>
        <v>Industry 8 : Construction</v>
      </c>
      <c r="B68" s="375">
        <f>$B$5</f>
        <v>2015</v>
      </c>
      <c r="C68" s="375"/>
      <c r="D68" s="375"/>
      <c r="E68" s="375"/>
      <c r="F68" s="320"/>
      <c r="G68" s="375">
        <f>$G$5</f>
        <v>2019</v>
      </c>
      <c r="H68" s="375"/>
      <c r="I68" s="375"/>
      <c r="J68" s="375"/>
      <c r="K68" s="320"/>
      <c r="L68" s="375">
        <f>$L$5</f>
        <v>2020</v>
      </c>
      <c r="M68" s="375"/>
      <c r="N68" s="375"/>
      <c r="O68" s="375"/>
      <c r="P68" s="318"/>
      <c r="Q68" s="375">
        <f>$Q$5</f>
        <v>2025</v>
      </c>
      <c r="R68" s="375"/>
      <c r="S68" s="375"/>
      <c r="T68" s="375"/>
      <c r="U68" s="320"/>
      <c r="V68" s="375">
        <f>$V$5</f>
        <v>2035</v>
      </c>
      <c r="W68" s="375"/>
      <c r="X68" s="375"/>
      <c r="Y68" s="375"/>
    </row>
    <row r="69" spans="1:25" x14ac:dyDescent="0.3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3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ht="12.5" x14ac:dyDescent="0.25">
      <c r="A71" s="260" t="s">
        <v>365</v>
      </c>
      <c r="B71" s="300">
        <v>2.3631256552432029</v>
      </c>
      <c r="C71" s="300">
        <v>1.8243644142948172</v>
      </c>
      <c r="D71" s="300">
        <v>0.81911695799947548</v>
      </c>
      <c r="E71" s="300">
        <f>SUM(B71:D71)</f>
        <v>5.0066070275374956</v>
      </c>
      <c r="F71" s="300"/>
      <c r="G71" s="300">
        <v>2.8214517433463557</v>
      </c>
      <c r="H71" s="300">
        <v>1.5916067893107293</v>
      </c>
      <c r="I71" s="300">
        <v>0.77037836608280252</v>
      </c>
      <c r="J71" s="300">
        <f>SUM(G71:I71)</f>
        <v>5.1834368987398873</v>
      </c>
      <c r="K71" s="300"/>
      <c r="L71" s="300">
        <v>2.727322096731494</v>
      </c>
      <c r="M71" s="300">
        <v>1.7042599367568281</v>
      </c>
      <c r="N71" s="300">
        <v>0.77791773711482126</v>
      </c>
      <c r="O71" s="300">
        <f>SUM(L71:N71)</f>
        <v>5.2094997706031432</v>
      </c>
      <c r="P71" s="300"/>
      <c r="Q71" s="300">
        <v>2.7289815059098261</v>
      </c>
      <c r="R71" s="300">
        <v>1.7165361995100588</v>
      </c>
      <c r="S71" s="300">
        <v>0.78194364006096029</v>
      </c>
      <c r="T71" s="300">
        <f>SUM(Q71:S71)</f>
        <v>5.2274613454808456</v>
      </c>
      <c r="U71" s="300"/>
      <c r="V71" s="300">
        <v>2.8040001814267628</v>
      </c>
      <c r="W71" s="300">
        <v>1.7833248303693243</v>
      </c>
      <c r="X71" s="300">
        <v>0.82603991842151803</v>
      </c>
      <c r="Y71" s="300">
        <f>SUM(V71:X71)</f>
        <v>5.4133649302176057</v>
      </c>
    </row>
    <row r="72" spans="1:25" ht="12.5" x14ac:dyDescent="0.25">
      <c r="A72" s="260" t="s">
        <v>364</v>
      </c>
      <c r="B72" s="300">
        <v>16.633249495910615</v>
      </c>
      <c r="C72" s="300">
        <v>1.2217156196965244</v>
      </c>
      <c r="D72" s="300">
        <v>8.9014278568553369</v>
      </c>
      <c r="E72" s="300">
        <f t="shared" ref="E72:E73" si="104">SUM(B72:D72)</f>
        <v>26.756392972462478</v>
      </c>
      <c r="F72" s="300"/>
      <c r="G72" s="300">
        <v>16.249680589416943</v>
      </c>
      <c r="H72" s="300">
        <v>0.70845026073842099</v>
      </c>
      <c r="I72" s="300">
        <v>16.933432251104659</v>
      </c>
      <c r="J72" s="300">
        <f t="shared" ref="J72:J73" si="105">SUM(G72:I72)</f>
        <v>33.891563101260019</v>
      </c>
      <c r="K72" s="300"/>
      <c r="L72" s="300">
        <v>14.856909048548848</v>
      </c>
      <c r="M72" s="300">
        <v>0.94478226683510835</v>
      </c>
      <c r="N72" s="300">
        <v>16.003808914012861</v>
      </c>
      <c r="O72" s="300">
        <f t="shared" ref="O72:O73" si="106">SUM(L72:N72)</f>
        <v>31.80550022939682</v>
      </c>
      <c r="P72" s="300"/>
      <c r="Q72" s="300">
        <v>14.614740592759709</v>
      </c>
      <c r="R72" s="300">
        <v>0.95850575883773881</v>
      </c>
      <c r="S72" s="300">
        <v>16.103292302921702</v>
      </c>
      <c r="T72" s="300">
        <f t="shared" ref="T72:T73" si="107">SUM(Q72:S72)</f>
        <v>31.676538654519149</v>
      </c>
      <c r="U72" s="300"/>
      <c r="V72" s="300">
        <v>14.345881332583852</v>
      </c>
      <c r="W72" s="300">
        <v>1.0069258754789476</v>
      </c>
      <c r="X72" s="300">
        <v>16.683827861719532</v>
      </c>
      <c r="Y72" s="300">
        <f t="shared" ref="Y72:Y73" si="108">SUM(V72:X72)</f>
        <v>32.036635069782335</v>
      </c>
    </row>
    <row r="73" spans="1:25" ht="12.5" x14ac:dyDescent="0.25">
      <c r="A73" s="264" t="s">
        <v>363</v>
      </c>
      <c r="B73" s="301">
        <f>SUM(B71:B72)</f>
        <v>18.996375151153817</v>
      </c>
      <c r="C73" s="301">
        <f t="shared" ref="C73" si="109">SUM(C71:C72)</f>
        <v>3.0460800339913416</v>
      </c>
      <c r="D73" s="301">
        <f t="shared" ref="D73" si="110">SUM(D71:D72)</f>
        <v>9.7205448148548115</v>
      </c>
      <c r="E73" s="301">
        <f t="shared" si="104"/>
        <v>31.76299999999997</v>
      </c>
      <c r="F73" s="301"/>
      <c r="G73" s="301">
        <f>SUM(G71:G72)</f>
        <v>19.071132332763298</v>
      </c>
      <c r="H73" s="301">
        <f t="shared" ref="H73" si="111">SUM(H71:H72)</f>
        <v>2.3000570500491504</v>
      </c>
      <c r="I73" s="301">
        <f t="shared" ref="I73" si="112">SUM(I71:I72)</f>
        <v>17.703810617187461</v>
      </c>
      <c r="J73" s="301">
        <f t="shared" si="105"/>
        <v>39.07499999999991</v>
      </c>
      <c r="K73" s="301"/>
      <c r="L73" s="301">
        <f>SUM(L71:L72)</f>
        <v>17.584231145280341</v>
      </c>
      <c r="M73" s="301">
        <f t="shared" ref="M73" si="113">SUM(M71:M72)</f>
        <v>2.6490422035919363</v>
      </c>
      <c r="N73" s="301">
        <f t="shared" ref="N73" si="114">SUM(N71:N72)</f>
        <v>16.781726651127684</v>
      </c>
      <c r="O73" s="301">
        <f t="shared" si="106"/>
        <v>37.014999999999958</v>
      </c>
      <c r="P73" s="301"/>
      <c r="Q73" s="301">
        <f>SUM(Q71:Q72)</f>
        <v>17.343722098669534</v>
      </c>
      <c r="R73" s="301">
        <f t="shared" ref="R73" si="115">SUM(R71:R72)</f>
        <v>2.6750419583477978</v>
      </c>
      <c r="S73" s="301">
        <f t="shared" ref="S73" si="116">SUM(S71:S72)</f>
        <v>16.885235942982661</v>
      </c>
      <c r="T73" s="301">
        <f t="shared" si="107"/>
        <v>36.903999999999996</v>
      </c>
      <c r="U73" s="301"/>
      <c r="V73" s="301">
        <f>SUM(V71:V72)</f>
        <v>17.149881514010616</v>
      </c>
      <c r="W73" s="301">
        <f t="shared" ref="W73" si="117">SUM(W71:W72)</f>
        <v>2.7902507058482717</v>
      </c>
      <c r="X73" s="301">
        <f t="shared" ref="X73" si="118">SUM(X71:X72)</f>
        <v>17.50986778014105</v>
      </c>
      <c r="Y73" s="301">
        <f t="shared" si="108"/>
        <v>37.449999999999939</v>
      </c>
    </row>
    <row r="74" spans="1:25" ht="12.5" x14ac:dyDescent="0.25">
      <c r="C74" s="263"/>
    </row>
    <row r="75" spans="1:25" ht="12.5" x14ac:dyDescent="0.25">
      <c r="C75" s="263"/>
    </row>
    <row r="76" spans="1:25" ht="12.5" x14ac:dyDescent="0.25">
      <c r="C76" s="263"/>
    </row>
    <row r="77" spans="1:25" ht="14" x14ac:dyDescent="0.3">
      <c r="A77" s="265" t="str">
        <f>"Industry 9 : "&amp; name!B12</f>
        <v>Industry 9 : Wholesale and retail trade</v>
      </c>
      <c r="B77" s="375">
        <f>$B$5</f>
        <v>2015</v>
      </c>
      <c r="C77" s="375"/>
      <c r="D77" s="375"/>
      <c r="E77" s="375"/>
      <c r="F77" s="320"/>
      <c r="G77" s="375">
        <f>$G$5</f>
        <v>2019</v>
      </c>
      <c r="H77" s="375"/>
      <c r="I77" s="375"/>
      <c r="J77" s="375"/>
      <c r="K77" s="320"/>
      <c r="L77" s="375">
        <f>$L$5</f>
        <v>2020</v>
      </c>
      <c r="M77" s="375"/>
      <c r="N77" s="375"/>
      <c r="O77" s="375"/>
      <c r="P77" s="318"/>
      <c r="Q77" s="375">
        <f>$Q$5</f>
        <v>2025</v>
      </c>
      <c r="R77" s="375"/>
      <c r="S77" s="375"/>
      <c r="T77" s="375"/>
      <c r="U77" s="320"/>
      <c r="V77" s="375">
        <f>$V$5</f>
        <v>2035</v>
      </c>
      <c r="W77" s="375"/>
      <c r="X77" s="375"/>
      <c r="Y77" s="375"/>
    </row>
    <row r="78" spans="1:25" x14ac:dyDescent="0.3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3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ht="12.5" x14ac:dyDescent="0.25">
      <c r="A80" s="260" t="s">
        <v>365</v>
      </c>
      <c r="B80" s="300">
        <v>16.151098216912526</v>
      </c>
      <c r="C80" s="300">
        <v>23.016901709327065</v>
      </c>
      <c r="D80" s="300">
        <v>1.1840362631283865</v>
      </c>
      <c r="E80" s="300">
        <f>SUM(B80:D80)</f>
        <v>40.352036189367972</v>
      </c>
      <c r="F80" s="300"/>
      <c r="G80" s="300">
        <v>16.189976853457793</v>
      </c>
      <c r="H80" s="300">
        <v>20.919719052181929</v>
      </c>
      <c r="I80" s="300">
        <v>1.2081075904138119</v>
      </c>
      <c r="J80" s="300">
        <f>SUM(G80:I80)</f>
        <v>38.317803496053536</v>
      </c>
      <c r="K80" s="300"/>
      <c r="L80" s="300">
        <v>16.01549415985583</v>
      </c>
      <c r="M80" s="300">
        <v>20.753541608585969</v>
      </c>
      <c r="N80" s="300">
        <v>2.4222768022884913</v>
      </c>
      <c r="O80" s="300">
        <f>SUM(L80:N80)</f>
        <v>39.19131257073029</v>
      </c>
      <c r="P80" s="300"/>
      <c r="Q80" s="300">
        <v>16.775514667818218</v>
      </c>
      <c r="R80" s="300">
        <v>20.052219250338826</v>
      </c>
      <c r="S80" s="300">
        <v>2.5031558045641416</v>
      </c>
      <c r="T80" s="300">
        <f>SUM(Q80:S80)</f>
        <v>39.330889722721189</v>
      </c>
      <c r="U80" s="300"/>
      <c r="V80" s="300">
        <v>18.147120920183365</v>
      </c>
      <c r="W80" s="300">
        <v>18.767540366049779</v>
      </c>
      <c r="X80" s="300">
        <v>2.6802041184999021</v>
      </c>
      <c r="Y80" s="300">
        <f>SUM(V80:X80)</f>
        <v>39.594865404733042</v>
      </c>
    </row>
    <row r="81" spans="1:25" ht="12.5" x14ac:dyDescent="0.25">
      <c r="A81" s="260" t="s">
        <v>364</v>
      </c>
      <c r="B81" s="300">
        <v>35.95111700934244</v>
      </c>
      <c r="C81" s="300">
        <v>10.515326629909627</v>
      </c>
      <c r="D81" s="300">
        <v>5.247520171379997</v>
      </c>
      <c r="E81" s="300">
        <f t="shared" ref="E81:E82" si="119">SUM(B81:D81)</f>
        <v>51.713963810632059</v>
      </c>
      <c r="F81" s="300"/>
      <c r="G81" s="300">
        <v>34.748064490162449</v>
      </c>
      <c r="H81" s="300">
        <v>9.7863979567608261</v>
      </c>
      <c r="I81" s="300">
        <v>5.7077340570230382</v>
      </c>
      <c r="J81" s="300">
        <f t="shared" ref="J81:J82" si="120">SUM(G81:I81)</f>
        <v>50.24219650394631</v>
      </c>
      <c r="K81" s="300"/>
      <c r="L81" s="300">
        <v>33.177553672226054</v>
      </c>
      <c r="M81" s="300">
        <v>11.944242187181947</v>
      </c>
      <c r="N81" s="300">
        <v>2.7608915698618275</v>
      </c>
      <c r="O81" s="300">
        <f t="shared" ref="O81:O82" si="121">SUM(L81:N81)</f>
        <v>47.882687429269829</v>
      </c>
      <c r="P81" s="300"/>
      <c r="Q81" s="300">
        <v>33.7455485998751</v>
      </c>
      <c r="R81" s="300">
        <v>11.994829655333049</v>
      </c>
      <c r="S81" s="300">
        <v>2.8077320220706103</v>
      </c>
      <c r="T81" s="300">
        <f t="shared" ref="T81:T82" si="122">SUM(Q81:S81)</f>
        <v>48.548110277278759</v>
      </c>
      <c r="U81" s="300"/>
      <c r="V81" s="300">
        <v>34.233865727405188</v>
      </c>
      <c r="W81" s="300">
        <v>12.142044240990332</v>
      </c>
      <c r="X81" s="300">
        <v>2.8722246268712932</v>
      </c>
      <c r="Y81" s="300">
        <f t="shared" ref="Y81:Y82" si="123">SUM(V81:X81)</f>
        <v>49.248134595266812</v>
      </c>
    </row>
    <row r="82" spans="1:25" ht="12.5" x14ac:dyDescent="0.25">
      <c r="A82" s="264" t="s">
        <v>363</v>
      </c>
      <c r="B82" s="301">
        <f>SUM(B80:B81)</f>
        <v>52.10221522625497</v>
      </c>
      <c r="C82" s="301">
        <f t="shared" ref="C82" si="124">SUM(C80:C81)</f>
        <v>33.532228339236696</v>
      </c>
      <c r="D82" s="301">
        <f t="shared" ref="D82" si="125">SUM(D80:D81)</f>
        <v>6.4315564345083835</v>
      </c>
      <c r="E82" s="301">
        <f t="shared" si="119"/>
        <v>92.066000000000045</v>
      </c>
      <c r="F82" s="301"/>
      <c r="G82" s="301">
        <f>SUM(G80:G81)</f>
        <v>50.938041343620242</v>
      </c>
      <c r="H82" s="301">
        <f t="shared" ref="H82" si="126">SUM(H80:H81)</f>
        <v>30.706117008942755</v>
      </c>
      <c r="I82" s="301">
        <f t="shared" ref="I82" si="127">SUM(I80:I81)</f>
        <v>6.9158416474368503</v>
      </c>
      <c r="J82" s="301">
        <f t="shared" si="120"/>
        <v>88.559999999999846</v>
      </c>
      <c r="K82" s="301"/>
      <c r="L82" s="301">
        <f>SUM(L80:L81)</f>
        <v>49.193047832081888</v>
      </c>
      <c r="M82" s="301">
        <f t="shared" ref="M82" si="128">SUM(M80:M81)</f>
        <v>32.697783795767918</v>
      </c>
      <c r="N82" s="301">
        <f t="shared" ref="N82" si="129">SUM(N80:N81)</f>
        <v>5.1831683721503188</v>
      </c>
      <c r="O82" s="301">
        <f t="shared" si="121"/>
        <v>87.074000000000126</v>
      </c>
      <c r="P82" s="301"/>
      <c r="Q82" s="301">
        <f>SUM(Q80:Q81)</f>
        <v>50.521063267693322</v>
      </c>
      <c r="R82" s="301">
        <f t="shared" ref="R82" si="130">SUM(R80:R81)</f>
        <v>32.047048905671872</v>
      </c>
      <c r="S82" s="301">
        <f t="shared" ref="S82" si="131">SUM(S80:S81)</f>
        <v>5.3108878266347519</v>
      </c>
      <c r="T82" s="301">
        <f t="shared" si="122"/>
        <v>87.878999999999948</v>
      </c>
      <c r="U82" s="301"/>
      <c r="V82" s="301">
        <f>SUM(V80:V81)</f>
        <v>52.380986647588557</v>
      </c>
      <c r="W82" s="301">
        <f t="shared" ref="W82" si="132">SUM(W80:W81)</f>
        <v>30.909584607040109</v>
      </c>
      <c r="X82" s="301">
        <f t="shared" ref="X82" si="133">SUM(X80:X81)</f>
        <v>5.5524287453711949</v>
      </c>
      <c r="Y82" s="301">
        <f t="shared" si="123"/>
        <v>88.842999999999876</v>
      </c>
    </row>
    <row r="83" spans="1:25" ht="12.5" x14ac:dyDescent="0.25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ht="12.5" x14ac:dyDescent="0.25">
      <c r="C84" s="263"/>
    </row>
    <row r="85" spans="1:25" x14ac:dyDescent="0.3">
      <c r="A85" s="261"/>
    </row>
    <row r="86" spans="1:25" ht="14" x14ac:dyDescent="0.3">
      <c r="A86" s="265" t="str">
        <f>"Industry 10 : "&amp; name!B13</f>
        <v>Industry 10 : Transport and storage</v>
      </c>
      <c r="B86" s="375">
        <f>$B$5</f>
        <v>2015</v>
      </c>
      <c r="C86" s="375"/>
      <c r="D86" s="375"/>
      <c r="E86" s="375"/>
      <c r="F86" s="320"/>
      <c r="G86" s="375">
        <f>$G$5</f>
        <v>2019</v>
      </c>
      <c r="H86" s="375"/>
      <c r="I86" s="375"/>
      <c r="J86" s="375"/>
      <c r="K86" s="320"/>
      <c r="L86" s="375">
        <f>$L$5</f>
        <v>2020</v>
      </c>
      <c r="M86" s="375"/>
      <c r="N86" s="375"/>
      <c r="O86" s="375"/>
      <c r="P86" s="318"/>
      <c r="Q86" s="375">
        <f>$Q$5</f>
        <v>2025</v>
      </c>
      <c r="R86" s="375"/>
      <c r="S86" s="375"/>
      <c r="T86" s="375"/>
      <c r="U86" s="320"/>
      <c r="V86" s="375">
        <f>$V$5</f>
        <v>2035</v>
      </c>
      <c r="W86" s="375"/>
      <c r="X86" s="375"/>
      <c r="Y86" s="375"/>
    </row>
    <row r="87" spans="1:25" x14ac:dyDescent="0.3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3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ht="12.5" x14ac:dyDescent="0.25">
      <c r="A89" s="260" t="s">
        <v>365</v>
      </c>
      <c r="B89" s="300">
        <v>4.1780921891526877</v>
      </c>
      <c r="C89" s="300">
        <v>2.4006496128216592</v>
      </c>
      <c r="D89" s="300">
        <v>0.25789950348202767</v>
      </c>
      <c r="E89" s="300">
        <f>SUM(B89:D89)</f>
        <v>6.8366413054563751</v>
      </c>
      <c r="F89" s="300"/>
      <c r="G89" s="300">
        <v>4.6533165031464243</v>
      </c>
      <c r="H89" s="300">
        <v>2.8140744085341027</v>
      </c>
      <c r="I89" s="300">
        <v>0.53457391620426875</v>
      </c>
      <c r="J89" s="300">
        <f>SUM(G89:I89)</f>
        <v>8.0019648278847946</v>
      </c>
      <c r="K89" s="300"/>
      <c r="L89" s="300">
        <v>4.2303370113508283</v>
      </c>
      <c r="M89" s="300">
        <v>2.8419969283682058</v>
      </c>
      <c r="N89" s="300">
        <v>0.14140002396142731</v>
      </c>
      <c r="O89" s="300">
        <f>SUM(L89:N89)</f>
        <v>7.2137339636804612</v>
      </c>
      <c r="P89" s="300"/>
      <c r="Q89" s="300">
        <v>4.7529939653002229</v>
      </c>
      <c r="R89" s="300">
        <v>3.2394617806608372</v>
      </c>
      <c r="S89" s="300">
        <v>0.14837501797120517</v>
      </c>
      <c r="T89" s="300">
        <f>SUM(Q89:S89)</f>
        <v>8.1408307639322643</v>
      </c>
      <c r="U89" s="300"/>
      <c r="V89" s="300">
        <v>5.160411617998597</v>
      </c>
      <c r="W89" s="300">
        <v>3.6542100322055133</v>
      </c>
      <c r="X89" s="300">
        <v>0.15022902973186478</v>
      </c>
      <c r="Y89" s="300">
        <f>SUM(V89:X89)</f>
        <v>8.9648506799359744</v>
      </c>
    </row>
    <row r="90" spans="1:25" ht="12.5" x14ac:dyDescent="0.25">
      <c r="A90" s="260" t="s">
        <v>364</v>
      </c>
      <c r="B90" s="300">
        <v>20.15944510391062</v>
      </c>
      <c r="C90" s="300">
        <v>1.8301446505659111</v>
      </c>
      <c r="D90" s="300">
        <v>4.6307689400670871</v>
      </c>
      <c r="E90" s="300">
        <f t="shared" ref="E90:E91" si="134">SUM(B90:D90)</f>
        <v>26.620358694543619</v>
      </c>
      <c r="F90" s="300"/>
      <c r="G90" s="300">
        <v>17.95234151558833</v>
      </c>
      <c r="H90" s="300">
        <v>2.0731517392720029</v>
      </c>
      <c r="I90" s="300">
        <v>6.1455419172548842</v>
      </c>
      <c r="J90" s="300">
        <f t="shared" ref="J90:J91" si="135">SUM(G90:I90)</f>
        <v>26.171035172115218</v>
      </c>
      <c r="K90" s="300"/>
      <c r="L90" s="300">
        <v>17.726323308590771</v>
      </c>
      <c r="M90" s="300">
        <v>3.2812700992073967</v>
      </c>
      <c r="N90" s="300">
        <v>4.7266726285213307</v>
      </c>
      <c r="O90" s="300">
        <f t="shared" ref="O90:O91" si="136">SUM(L90:N90)</f>
        <v>25.7342660363195</v>
      </c>
      <c r="P90" s="300"/>
      <c r="Q90" s="300">
        <v>19.136275605188779</v>
      </c>
      <c r="R90" s="300">
        <v>3.5654588153148854</v>
      </c>
      <c r="S90" s="300">
        <v>5.1214348155640632</v>
      </c>
      <c r="T90" s="300">
        <f t="shared" ref="T90:T91" si="137">SUM(Q90:S90)</f>
        <v>27.823169236067727</v>
      </c>
      <c r="U90" s="300"/>
      <c r="V90" s="300">
        <v>19.502750418574461</v>
      </c>
      <c r="W90" s="300">
        <v>3.8273734344721961</v>
      </c>
      <c r="X90" s="300">
        <v>5.466025467017408</v>
      </c>
      <c r="Y90" s="300">
        <f t="shared" ref="Y90:Y91" si="138">SUM(V90:X90)</f>
        <v>28.796149320064067</v>
      </c>
    </row>
    <row r="91" spans="1:25" ht="12.5" x14ac:dyDescent="0.25">
      <c r="A91" s="264" t="s">
        <v>363</v>
      </c>
      <c r="B91" s="301">
        <f>SUM(B89:B90)</f>
        <v>24.337537293063306</v>
      </c>
      <c r="C91" s="301">
        <f t="shared" ref="C91" si="139">SUM(C89:C90)</f>
        <v>4.2307942633875708</v>
      </c>
      <c r="D91" s="301">
        <f t="shared" ref="D91" si="140">SUM(D89:D90)</f>
        <v>4.8886684435491148</v>
      </c>
      <c r="E91" s="301">
        <f t="shared" si="134"/>
        <v>33.456999999999994</v>
      </c>
      <c r="F91" s="301"/>
      <c r="G91" s="301">
        <f>SUM(G89:G90)</f>
        <v>22.605658018734754</v>
      </c>
      <c r="H91" s="301">
        <f t="shared" ref="H91" si="141">SUM(H89:H90)</f>
        <v>4.8872261478061052</v>
      </c>
      <c r="I91" s="301">
        <f t="shared" ref="I91" si="142">SUM(I89:I90)</f>
        <v>6.6801158334591531</v>
      </c>
      <c r="J91" s="301">
        <f t="shared" si="135"/>
        <v>34.173000000000016</v>
      </c>
      <c r="K91" s="301"/>
      <c r="L91" s="301">
        <f>SUM(L89:L90)</f>
        <v>21.956660319941598</v>
      </c>
      <c r="M91" s="301">
        <f t="shared" ref="M91" si="143">SUM(M89:M90)</f>
        <v>6.1232670275756025</v>
      </c>
      <c r="N91" s="301">
        <f t="shared" ref="N91" si="144">SUM(N89:N90)</f>
        <v>4.8680726524827582</v>
      </c>
      <c r="O91" s="301">
        <f t="shared" si="136"/>
        <v>32.947999999999958</v>
      </c>
      <c r="P91" s="301"/>
      <c r="Q91" s="301">
        <f>SUM(Q89:Q90)</f>
        <v>23.889269570489002</v>
      </c>
      <c r="R91" s="301">
        <f t="shared" ref="R91" si="145">SUM(R89:R90)</f>
        <v>6.8049205959757231</v>
      </c>
      <c r="S91" s="301">
        <f t="shared" ref="S91" si="146">SUM(S89:S90)</f>
        <v>5.2698098335352688</v>
      </c>
      <c r="T91" s="301">
        <f t="shared" si="137"/>
        <v>35.963999999999992</v>
      </c>
      <c r="U91" s="301"/>
      <c r="V91" s="301">
        <f>SUM(V89:V90)</f>
        <v>24.663162036573059</v>
      </c>
      <c r="W91" s="301">
        <f t="shared" ref="W91" si="147">SUM(W89:W90)</f>
        <v>7.4815834666777095</v>
      </c>
      <c r="X91" s="301">
        <f t="shared" ref="X91" si="148">SUM(X89:X90)</f>
        <v>5.6162544967492725</v>
      </c>
      <c r="Y91" s="301">
        <f t="shared" si="138"/>
        <v>37.761000000000038</v>
      </c>
    </row>
    <row r="92" spans="1:25" ht="12.5" x14ac:dyDescent="0.25">
      <c r="C92" s="263"/>
    </row>
    <row r="93" spans="1:25" ht="12.5" x14ac:dyDescent="0.25">
      <c r="C93" s="263"/>
    </row>
    <row r="94" spans="1:25" ht="12.5" x14ac:dyDescent="0.25">
      <c r="C94" s="263"/>
    </row>
    <row r="95" spans="1:25" ht="14" x14ac:dyDescent="0.3">
      <c r="A95" s="265" t="str">
        <f>"Industry 11 : "&amp; name!B14</f>
        <v>Industry 11 : Accommodation and food</v>
      </c>
      <c r="B95" s="375">
        <f>$B$5</f>
        <v>2015</v>
      </c>
      <c r="C95" s="375"/>
      <c r="D95" s="375"/>
      <c r="E95" s="375"/>
      <c r="F95" s="320"/>
      <c r="G95" s="375">
        <f>$G$5</f>
        <v>2019</v>
      </c>
      <c r="H95" s="375"/>
      <c r="I95" s="375"/>
      <c r="J95" s="375"/>
      <c r="K95" s="320"/>
      <c r="L95" s="375">
        <f>$L$5</f>
        <v>2020</v>
      </c>
      <c r="M95" s="375"/>
      <c r="N95" s="375"/>
      <c r="O95" s="375"/>
      <c r="P95" s="318"/>
      <c r="Q95" s="375">
        <f>$Q$5</f>
        <v>2025</v>
      </c>
      <c r="R95" s="375"/>
      <c r="S95" s="375"/>
      <c r="T95" s="375"/>
      <c r="U95" s="320"/>
      <c r="V95" s="375">
        <f>$V$5</f>
        <v>2035</v>
      </c>
      <c r="W95" s="375"/>
      <c r="X95" s="375"/>
      <c r="Y95" s="375"/>
    </row>
    <row r="96" spans="1:25" x14ac:dyDescent="0.3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3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5" x14ac:dyDescent="0.25">
      <c r="A98" s="260" t="s">
        <v>365</v>
      </c>
      <c r="B98" s="300">
        <v>3.5975677146769689</v>
      </c>
      <c r="C98" s="300">
        <v>7.3190523871376225</v>
      </c>
      <c r="D98" s="300">
        <v>0.71514000327557281</v>
      </c>
      <c r="E98" s="300">
        <f>SUM(B98:D98)</f>
        <v>11.631760105090164</v>
      </c>
      <c r="F98" s="300"/>
      <c r="G98" s="300">
        <v>3.7956749314647782</v>
      </c>
      <c r="H98" s="300">
        <v>8.5974454266296387</v>
      </c>
      <c r="I98" s="300">
        <v>0.44333201548203199</v>
      </c>
      <c r="J98" s="300">
        <f>SUM(G98:I98)</f>
        <v>12.836452373576449</v>
      </c>
      <c r="K98" s="300"/>
      <c r="L98" s="300">
        <v>4.401093764301204</v>
      </c>
      <c r="M98" s="300">
        <v>8.3459116396121971</v>
      </c>
      <c r="N98" s="300">
        <v>0.78432530947503565</v>
      </c>
      <c r="O98" s="300">
        <f>SUM(L98:N98)</f>
        <v>13.531330713388437</v>
      </c>
      <c r="P98" s="300"/>
      <c r="Q98" s="300">
        <v>4.6710070978596896</v>
      </c>
      <c r="R98" s="300">
        <v>8.8211657930107918</v>
      </c>
      <c r="S98" s="300">
        <v>0.81050662893217607</v>
      </c>
      <c r="T98" s="300">
        <f>SUM(Q98:S98)</f>
        <v>14.302679519802657</v>
      </c>
      <c r="U98" s="300"/>
      <c r="V98" s="300">
        <v>5.2799039235559002</v>
      </c>
      <c r="W98" s="300">
        <v>9.7977085073896326</v>
      </c>
      <c r="X98" s="300">
        <v>0.90016359100774768</v>
      </c>
      <c r="Y98" s="300">
        <f>SUM(V98:X98)</f>
        <v>15.977776021953279</v>
      </c>
    </row>
    <row r="99" spans="1:25" ht="12.5" x14ac:dyDescent="0.25">
      <c r="A99" s="260" t="s">
        <v>364</v>
      </c>
      <c r="B99" s="300">
        <v>4.7199770340915936</v>
      </c>
      <c r="C99" s="300">
        <v>4.8470747478745251</v>
      </c>
      <c r="D99" s="300">
        <v>0.70718811294368011</v>
      </c>
      <c r="E99" s="300">
        <f t="shared" ref="E99:E100" si="149">SUM(B99:D99)</f>
        <v>10.274239894909797</v>
      </c>
      <c r="F99" s="300"/>
      <c r="G99" s="300">
        <v>5.2627057976159994</v>
      </c>
      <c r="H99" s="300">
        <v>5.1570860749447034</v>
      </c>
      <c r="I99" s="300">
        <v>0.7187557538628413</v>
      </c>
      <c r="J99" s="300">
        <f t="shared" ref="J99:J100" si="150">SUM(G99:I99)</f>
        <v>11.138547626423545</v>
      </c>
      <c r="K99" s="300"/>
      <c r="L99" s="300">
        <v>5.170048077548083</v>
      </c>
      <c r="M99" s="300">
        <v>5.5002548305967149</v>
      </c>
      <c r="N99" s="300">
        <v>0.50036637846677168</v>
      </c>
      <c r="O99" s="300">
        <f t="shared" ref="O99:O100" si="151">SUM(L99:N99)</f>
        <v>11.17066928661157</v>
      </c>
      <c r="P99" s="300"/>
      <c r="Q99" s="300">
        <v>5.4899620916786063</v>
      </c>
      <c r="R99" s="300">
        <v>5.8559238042156379</v>
      </c>
      <c r="S99" s="300">
        <v>0.51843458430314338</v>
      </c>
      <c r="T99" s="300">
        <f t="shared" ref="T99:T100" si="152">SUM(Q99:S99)</f>
        <v>11.864320480197389</v>
      </c>
      <c r="U99" s="300"/>
      <c r="V99" s="300">
        <v>6.2486526234888151</v>
      </c>
      <c r="W99" s="300">
        <v>6.548920018930863</v>
      </c>
      <c r="X99" s="300">
        <v>0.57665133562701887</v>
      </c>
      <c r="Y99" s="300">
        <f t="shared" ref="Y99:Y100" si="153">SUM(V99:X99)</f>
        <v>13.374223978046697</v>
      </c>
    </row>
    <row r="100" spans="1:25" ht="12.5" x14ac:dyDescent="0.25">
      <c r="A100" s="264" t="s">
        <v>363</v>
      </c>
      <c r="B100" s="301">
        <f>SUM(B98:B99)</f>
        <v>8.3175447487685616</v>
      </c>
      <c r="C100" s="301">
        <f t="shared" ref="C100" si="154">SUM(C98:C99)</f>
        <v>12.166127135012147</v>
      </c>
      <c r="D100" s="301">
        <f t="shared" ref="D100" si="155">SUM(D98:D99)</f>
        <v>1.4223281162192529</v>
      </c>
      <c r="E100" s="301">
        <f t="shared" si="149"/>
        <v>21.90599999999996</v>
      </c>
      <c r="F100" s="301"/>
      <c r="G100" s="301">
        <f>SUM(G98:G99)</f>
        <v>9.0583807290807776</v>
      </c>
      <c r="H100" s="301">
        <f t="shared" ref="H100" si="156">SUM(H98:H99)</f>
        <v>13.754531501574341</v>
      </c>
      <c r="I100" s="301">
        <f t="shared" ref="I100" si="157">SUM(I98:I99)</f>
        <v>1.1620877693448732</v>
      </c>
      <c r="J100" s="301">
        <f t="shared" si="150"/>
        <v>23.974999999999991</v>
      </c>
      <c r="K100" s="301"/>
      <c r="L100" s="301">
        <f>SUM(L98:L99)</f>
        <v>9.5711418418492862</v>
      </c>
      <c r="M100" s="301">
        <f t="shared" ref="M100" si="158">SUM(M98:M99)</f>
        <v>13.846166470208912</v>
      </c>
      <c r="N100" s="301">
        <f t="shared" ref="N100" si="159">SUM(N98:N99)</f>
        <v>1.2846916879418073</v>
      </c>
      <c r="O100" s="301">
        <f t="shared" si="151"/>
        <v>24.702000000000005</v>
      </c>
      <c r="P100" s="301"/>
      <c r="Q100" s="301">
        <f>SUM(Q98:Q99)</f>
        <v>10.160969189538296</v>
      </c>
      <c r="R100" s="301">
        <f t="shared" ref="R100" si="160">SUM(R98:R99)</f>
        <v>14.677089597226431</v>
      </c>
      <c r="S100" s="301">
        <f t="shared" ref="S100" si="161">SUM(S98:S99)</f>
        <v>1.3289412132353196</v>
      </c>
      <c r="T100" s="301">
        <f t="shared" si="152"/>
        <v>26.167000000000044</v>
      </c>
      <c r="U100" s="301"/>
      <c r="V100" s="301">
        <f>SUM(V98:V99)</f>
        <v>11.528556547044715</v>
      </c>
      <c r="W100" s="301">
        <f t="shared" ref="W100" si="162">SUM(W98:W99)</f>
        <v>16.346628526320494</v>
      </c>
      <c r="X100" s="301">
        <f t="shared" ref="X100" si="163">SUM(X98:X99)</f>
        <v>1.4768149266347665</v>
      </c>
      <c r="Y100" s="301">
        <f t="shared" si="153"/>
        <v>29.351999999999975</v>
      </c>
    </row>
    <row r="101" spans="1:25" ht="12.5" x14ac:dyDescent="0.25">
      <c r="C101" s="263"/>
    </row>
    <row r="102" spans="1:25" ht="12.5" x14ac:dyDescent="0.25">
      <c r="C102" s="263"/>
    </row>
    <row r="103" spans="1:25" ht="12.5" x14ac:dyDescent="0.25">
      <c r="C103" s="263"/>
    </row>
    <row r="104" spans="1:25" ht="14" x14ac:dyDescent="0.3">
      <c r="A104" s="265" t="str">
        <f>"Industry 12 : "&amp; name!B15</f>
        <v>Industry 12 : Media</v>
      </c>
      <c r="B104" s="375">
        <f>$B$5</f>
        <v>2015</v>
      </c>
      <c r="C104" s="375"/>
      <c r="D104" s="375"/>
      <c r="E104" s="375"/>
      <c r="F104" s="320"/>
      <c r="G104" s="375">
        <f>$G$5</f>
        <v>2019</v>
      </c>
      <c r="H104" s="375"/>
      <c r="I104" s="375"/>
      <c r="J104" s="375"/>
      <c r="K104" s="320"/>
      <c r="L104" s="375">
        <f>$L$5</f>
        <v>2020</v>
      </c>
      <c r="M104" s="375"/>
      <c r="N104" s="375"/>
      <c r="O104" s="375"/>
      <c r="P104" s="318"/>
      <c r="Q104" s="375">
        <f>$Q$5</f>
        <v>2025</v>
      </c>
      <c r="R104" s="375"/>
      <c r="S104" s="375"/>
      <c r="T104" s="375"/>
      <c r="U104" s="320"/>
      <c r="V104" s="375">
        <f>$V$5</f>
        <v>2035</v>
      </c>
      <c r="W104" s="375"/>
      <c r="X104" s="375"/>
      <c r="Y104" s="375"/>
    </row>
    <row r="105" spans="1:25" x14ac:dyDescent="0.3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3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ht="12.5" x14ac:dyDescent="0.25">
      <c r="A107" s="260" t="s">
        <v>365</v>
      </c>
      <c r="B107" s="300">
        <v>0.27209709220086581</v>
      </c>
      <c r="C107" s="300">
        <v>0.25907944660842774</v>
      </c>
      <c r="D107" s="300">
        <v>0.13413834810879655</v>
      </c>
      <c r="E107" s="300">
        <f>SUM(B107:D107)</f>
        <v>0.66531488691809004</v>
      </c>
      <c r="F107" s="300"/>
      <c r="G107" s="300">
        <v>0.20312040845900117</v>
      </c>
      <c r="H107" s="300">
        <v>0.23945415809166484</v>
      </c>
      <c r="I107" s="300">
        <v>0.22738759917976181</v>
      </c>
      <c r="J107" s="300">
        <f>SUM(G107:I107)</f>
        <v>0.66996216573042777</v>
      </c>
      <c r="K107" s="300"/>
      <c r="L107" s="300">
        <v>0.21410952915727557</v>
      </c>
      <c r="M107" s="300">
        <v>0.29369239414917225</v>
      </c>
      <c r="N107" s="300">
        <v>0.28973960283872358</v>
      </c>
      <c r="O107" s="300">
        <f>SUM(L107:N107)</f>
        <v>0.79754152614517138</v>
      </c>
      <c r="P107" s="300"/>
      <c r="Q107" s="300">
        <v>0.20931775166401248</v>
      </c>
      <c r="R107" s="300">
        <v>0.29140832009119033</v>
      </c>
      <c r="S107" s="300">
        <v>0.28045411240997314</v>
      </c>
      <c r="T107" s="300">
        <f>SUM(Q107:S107)</f>
        <v>0.78118018416517598</v>
      </c>
      <c r="U107" s="300"/>
      <c r="V107" s="300">
        <v>0.21304914342701381</v>
      </c>
      <c r="W107" s="300">
        <v>0.29495060647083837</v>
      </c>
      <c r="X107" s="300">
        <v>0.27098586969456262</v>
      </c>
      <c r="Y107" s="300">
        <f>SUM(V107:X107)</f>
        <v>0.77898561959241475</v>
      </c>
    </row>
    <row r="108" spans="1:25" ht="12.5" x14ac:dyDescent="0.25">
      <c r="A108" s="260" t="s">
        <v>364</v>
      </c>
      <c r="B108" s="300">
        <v>0.44939176538255599</v>
      </c>
      <c r="C108" s="300">
        <v>0.10230171485339826</v>
      </c>
      <c r="D108" s="300">
        <v>0.49099163284595365</v>
      </c>
      <c r="E108" s="300">
        <f t="shared" ref="E108:E109" si="164">SUM(B108:D108)</f>
        <v>1.0426851130819079</v>
      </c>
      <c r="F108" s="300"/>
      <c r="G108" s="300">
        <v>0.34470136644106986</v>
      </c>
      <c r="H108" s="300">
        <v>0.21974544519222172</v>
      </c>
      <c r="I108" s="300">
        <v>0.59059102263627916</v>
      </c>
      <c r="J108" s="300">
        <f t="shared" ref="J108:J109" si="165">SUM(G108:I108)</f>
        <v>1.1550378342695709</v>
      </c>
      <c r="K108" s="300"/>
      <c r="L108" s="300">
        <v>0.34929499188066826</v>
      </c>
      <c r="M108" s="300">
        <v>0.20383227175810864</v>
      </c>
      <c r="N108" s="300">
        <v>0.75933121021605365</v>
      </c>
      <c r="O108" s="300">
        <f t="shared" ref="O108:O109" si="166">SUM(L108:N108)</f>
        <v>1.3124584738548306</v>
      </c>
      <c r="P108" s="300"/>
      <c r="Q108" s="300">
        <v>0.33997637344566461</v>
      </c>
      <c r="R108" s="300">
        <v>0.20892181644250141</v>
      </c>
      <c r="S108" s="300">
        <v>0.74792162594665967</v>
      </c>
      <c r="T108" s="300">
        <f t="shared" ref="T108:T109" si="167">SUM(Q108:S108)</f>
        <v>1.2968198158348256</v>
      </c>
      <c r="U108" s="300"/>
      <c r="V108" s="300">
        <v>0.33958822057736909</v>
      </c>
      <c r="W108" s="300">
        <v>0.22503151181113323</v>
      </c>
      <c r="X108" s="300">
        <v>0.76239464801908119</v>
      </c>
      <c r="Y108" s="300">
        <f t="shared" ref="Y108:Y109" si="168">SUM(V108:X108)</f>
        <v>1.3270143804075833</v>
      </c>
    </row>
    <row r="109" spans="1:25" ht="12.5" x14ac:dyDescent="0.25">
      <c r="A109" s="264" t="s">
        <v>363</v>
      </c>
      <c r="B109" s="301">
        <f>SUM(B107:B108)</f>
        <v>0.72148885758342174</v>
      </c>
      <c r="C109" s="301">
        <f t="shared" ref="C109" si="169">SUM(C107:C108)</f>
        <v>0.36138116146182597</v>
      </c>
      <c r="D109" s="301">
        <f t="shared" ref="D109" si="170">SUM(D107:D108)</f>
        <v>0.62512998095475014</v>
      </c>
      <c r="E109" s="301">
        <f t="shared" si="164"/>
        <v>1.707999999999998</v>
      </c>
      <c r="F109" s="301"/>
      <c r="G109" s="301">
        <f>SUM(G107:G108)</f>
        <v>0.547821774900071</v>
      </c>
      <c r="H109" s="301">
        <f t="shared" ref="H109" si="171">SUM(H107:H108)</f>
        <v>0.45919960328388654</v>
      </c>
      <c r="I109" s="301">
        <f t="shared" ref="I109" si="172">SUM(I107:I108)</f>
        <v>0.81797862181604097</v>
      </c>
      <c r="J109" s="301">
        <f t="shared" si="165"/>
        <v>1.8249999999999984</v>
      </c>
      <c r="K109" s="301"/>
      <c r="L109" s="301">
        <f>SUM(L107:L108)</f>
        <v>0.56340452103794381</v>
      </c>
      <c r="M109" s="301">
        <f t="shared" ref="M109" si="173">SUM(M107:M108)</f>
        <v>0.49752466590728089</v>
      </c>
      <c r="N109" s="301">
        <f t="shared" ref="N109" si="174">SUM(N107:N108)</f>
        <v>1.0490708130547772</v>
      </c>
      <c r="O109" s="301">
        <f t="shared" si="166"/>
        <v>2.1100000000000021</v>
      </c>
      <c r="P109" s="301"/>
      <c r="Q109" s="301">
        <f>SUM(Q107:Q108)</f>
        <v>0.54929412510967712</v>
      </c>
      <c r="R109" s="301">
        <f t="shared" ref="R109" si="175">SUM(R107:R108)</f>
        <v>0.50033013653369174</v>
      </c>
      <c r="S109" s="301">
        <f t="shared" ref="S109" si="176">SUM(S107:S108)</f>
        <v>1.0283757383566328</v>
      </c>
      <c r="T109" s="301">
        <f t="shared" si="167"/>
        <v>2.0780000000000016</v>
      </c>
      <c r="U109" s="301"/>
      <c r="V109" s="301">
        <f>SUM(V107:V108)</f>
        <v>0.5526373640043829</v>
      </c>
      <c r="W109" s="301">
        <f t="shared" ref="W109" si="177">SUM(W107:W108)</f>
        <v>0.51998211828197161</v>
      </c>
      <c r="X109" s="301">
        <f t="shared" ref="X109" si="178">SUM(X107:X108)</f>
        <v>1.0333805177136437</v>
      </c>
      <c r="Y109" s="301">
        <f t="shared" si="168"/>
        <v>2.1059999999999981</v>
      </c>
    </row>
    <row r="110" spans="1:25" ht="12.5" x14ac:dyDescent="0.25">
      <c r="C110" s="263"/>
    </row>
    <row r="111" spans="1:25" ht="12.5" x14ac:dyDescent="0.25">
      <c r="C111" s="263"/>
    </row>
    <row r="112" spans="1:25" x14ac:dyDescent="0.3">
      <c r="A112" s="262"/>
    </row>
    <row r="113" spans="1:25" ht="14" x14ac:dyDescent="0.3">
      <c r="A113" s="265" t="str">
        <f>"Industry 13 : "&amp; name!B16</f>
        <v>Industry 13 : Information technology</v>
      </c>
      <c r="B113" s="375">
        <f>$B$5</f>
        <v>2015</v>
      </c>
      <c r="C113" s="375"/>
      <c r="D113" s="375"/>
      <c r="E113" s="375"/>
      <c r="F113" s="320"/>
      <c r="G113" s="375">
        <f>$G$5</f>
        <v>2019</v>
      </c>
      <c r="H113" s="375"/>
      <c r="I113" s="375"/>
      <c r="J113" s="375"/>
      <c r="K113" s="320"/>
      <c r="L113" s="375">
        <f>$L$5</f>
        <v>2020</v>
      </c>
      <c r="M113" s="375"/>
      <c r="N113" s="375"/>
      <c r="O113" s="375"/>
      <c r="P113" s="318"/>
      <c r="Q113" s="375">
        <f>$Q$5</f>
        <v>2025</v>
      </c>
      <c r="R113" s="375"/>
      <c r="S113" s="375"/>
      <c r="T113" s="375"/>
      <c r="U113" s="320"/>
      <c r="V113" s="375">
        <f>$V$5</f>
        <v>2035</v>
      </c>
      <c r="W113" s="375"/>
      <c r="X113" s="375"/>
      <c r="Y113" s="375"/>
    </row>
    <row r="114" spans="1:25" x14ac:dyDescent="0.3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3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ht="12.5" x14ac:dyDescent="0.25">
      <c r="A116" s="260" t="s">
        <v>365</v>
      </c>
      <c r="B116" s="300">
        <v>1.2688373215038582</v>
      </c>
      <c r="C116" s="300">
        <v>0.6148891299458602</v>
      </c>
      <c r="D116" s="300">
        <v>0.1065920733107337</v>
      </c>
      <c r="E116" s="300">
        <f>SUM(B116:D116)</f>
        <v>1.990318524760452</v>
      </c>
      <c r="F116" s="300"/>
      <c r="G116" s="300">
        <v>1.2490764873089708</v>
      </c>
      <c r="H116" s="300">
        <v>0.37292181943643082</v>
      </c>
      <c r="I116" s="300">
        <v>4.1042068806399164E-2</v>
      </c>
      <c r="J116" s="300">
        <f>SUM(G116:I116)</f>
        <v>1.6630403755518008</v>
      </c>
      <c r="K116" s="300"/>
      <c r="L116" s="300">
        <v>1.5035442654864724</v>
      </c>
      <c r="M116" s="300">
        <v>0.31888090851038681</v>
      </c>
      <c r="N116" s="300">
        <v>0.14856621896856104</v>
      </c>
      <c r="O116" s="300">
        <f>SUM(L116:N116)</f>
        <v>1.9709913929654201</v>
      </c>
      <c r="P116" s="300"/>
      <c r="Q116" s="300">
        <v>1.594017584842399</v>
      </c>
      <c r="R116" s="300">
        <v>0.32575085481158084</v>
      </c>
      <c r="S116" s="300">
        <v>0.15631510158542103</v>
      </c>
      <c r="T116" s="300">
        <f>SUM(Q116:S116)</f>
        <v>2.076083541239401</v>
      </c>
      <c r="U116" s="300"/>
      <c r="V116" s="300">
        <v>1.7086609281467029</v>
      </c>
      <c r="W116" s="300">
        <v>0.32340469061404409</v>
      </c>
      <c r="X116" s="300">
        <v>0.16133358283130916</v>
      </c>
      <c r="Y116" s="300">
        <f>SUM(V116:X116)</f>
        <v>2.1933992015920563</v>
      </c>
    </row>
    <row r="117" spans="1:25" ht="12.5" x14ac:dyDescent="0.25">
      <c r="A117" s="260" t="s">
        <v>364</v>
      </c>
      <c r="B117" s="300">
        <v>3.8673763559078274</v>
      </c>
      <c r="C117" s="300">
        <v>0.10849739338856824</v>
      </c>
      <c r="D117" s="300">
        <v>0.57180772594315377</v>
      </c>
      <c r="E117" s="300">
        <f t="shared" ref="E117:E118" si="179">SUM(B117:D117)</f>
        <v>4.5476814752395498</v>
      </c>
      <c r="F117" s="300"/>
      <c r="G117" s="300">
        <v>4.0522399446167299</v>
      </c>
      <c r="H117" s="300">
        <v>0.19743498806741236</v>
      </c>
      <c r="I117" s="300">
        <v>0.48128469176406774</v>
      </c>
      <c r="J117" s="300">
        <f t="shared" ref="J117:J118" si="180">SUM(G117:I117)</f>
        <v>4.7309596244482099</v>
      </c>
      <c r="K117" s="300"/>
      <c r="L117" s="300">
        <v>3.7542693200458546</v>
      </c>
      <c r="M117" s="300">
        <v>0.19940931017216984</v>
      </c>
      <c r="N117" s="300">
        <v>0.94832997681654263</v>
      </c>
      <c r="O117" s="300">
        <f t="shared" ref="O117:O118" si="181">SUM(L117:N117)</f>
        <v>4.902008607034567</v>
      </c>
      <c r="P117" s="300"/>
      <c r="Q117" s="300">
        <v>3.8608697374141467</v>
      </c>
      <c r="R117" s="300">
        <v>0.20804256273656643</v>
      </c>
      <c r="S117" s="300">
        <v>1.0050041586098579</v>
      </c>
      <c r="T117" s="300">
        <f t="shared" ref="T117:T118" si="182">SUM(Q117:S117)</f>
        <v>5.0739164587605714</v>
      </c>
      <c r="U117" s="300"/>
      <c r="V117" s="300">
        <v>3.9251999750401252</v>
      </c>
      <c r="W117" s="300">
        <v>0.2155416666630163</v>
      </c>
      <c r="X117" s="300">
        <v>1.0558591567047935</v>
      </c>
      <c r="Y117" s="300">
        <f t="shared" ref="Y117:Y118" si="183">SUM(V117:X117)</f>
        <v>5.1966007984079354</v>
      </c>
    </row>
    <row r="118" spans="1:25" ht="12.5" x14ac:dyDescent="0.25">
      <c r="A118" s="264" t="s">
        <v>363</v>
      </c>
      <c r="B118" s="301">
        <f>SUM(B116:B117)</f>
        <v>5.1362136774116856</v>
      </c>
      <c r="C118" s="301">
        <f t="shared" ref="C118" si="184">SUM(C116:C117)</f>
        <v>0.72338652333442843</v>
      </c>
      <c r="D118" s="301">
        <f t="shared" ref="D118" si="185">SUM(D116:D117)</f>
        <v>0.67839979925388749</v>
      </c>
      <c r="E118" s="301">
        <f t="shared" si="179"/>
        <v>6.538000000000002</v>
      </c>
      <c r="F118" s="301"/>
      <c r="G118" s="301">
        <f>SUM(G116:G117)</f>
        <v>5.3013164319257005</v>
      </c>
      <c r="H118" s="301">
        <f t="shared" ref="H118" si="186">SUM(H116:H117)</f>
        <v>0.57035680750384321</v>
      </c>
      <c r="I118" s="301">
        <f t="shared" ref="I118" si="187">SUM(I116:I117)</f>
        <v>0.5223267605704669</v>
      </c>
      <c r="J118" s="301">
        <f t="shared" si="180"/>
        <v>6.3940000000000108</v>
      </c>
      <c r="K118" s="301"/>
      <c r="L118" s="301">
        <f>SUM(L116:L117)</f>
        <v>5.2578135855323271</v>
      </c>
      <c r="M118" s="301">
        <f t="shared" ref="M118" si="188">SUM(M116:M117)</f>
        <v>0.51829021868255665</v>
      </c>
      <c r="N118" s="301">
        <f t="shared" ref="N118" si="189">SUM(N116:N117)</f>
        <v>1.0968961957851038</v>
      </c>
      <c r="O118" s="301">
        <f t="shared" si="181"/>
        <v>6.8729999999999878</v>
      </c>
      <c r="P118" s="301"/>
      <c r="Q118" s="301">
        <f>SUM(Q116:Q117)</f>
        <v>5.4548873222565462</v>
      </c>
      <c r="R118" s="301">
        <f t="shared" ref="R118" si="190">SUM(R116:R117)</f>
        <v>0.53379341754814724</v>
      </c>
      <c r="S118" s="301">
        <f t="shared" ref="S118" si="191">SUM(S116:S117)</f>
        <v>1.1613192601952789</v>
      </c>
      <c r="T118" s="301">
        <f t="shared" si="182"/>
        <v>7.1499999999999719</v>
      </c>
      <c r="U118" s="301"/>
      <c r="V118" s="301">
        <f>SUM(V116:V117)</f>
        <v>5.6338609031868279</v>
      </c>
      <c r="W118" s="301">
        <f t="shared" ref="W118" si="192">SUM(W116:W117)</f>
        <v>0.53894635727706042</v>
      </c>
      <c r="X118" s="301">
        <f t="shared" ref="X118" si="193">SUM(X116:X117)</f>
        <v>1.2171927395361026</v>
      </c>
      <c r="Y118" s="301">
        <f t="shared" si="183"/>
        <v>7.3899999999999908</v>
      </c>
    </row>
    <row r="119" spans="1:25" x14ac:dyDescent="0.3">
      <c r="A119" s="262"/>
    </row>
    <row r="120" spans="1:25" x14ac:dyDescent="0.3">
      <c r="A120" s="261"/>
    </row>
    <row r="121" spans="1:25" ht="12.5" x14ac:dyDescent="0.25">
      <c r="C121" s="263"/>
    </row>
    <row r="122" spans="1:25" ht="14" x14ac:dyDescent="0.3">
      <c r="A122" s="265" t="str">
        <f>"Industry 14 : "&amp; name!B17</f>
        <v>Industry 14 : Finance and insurance</v>
      </c>
      <c r="B122" s="375">
        <f>$B$5</f>
        <v>2015</v>
      </c>
      <c r="C122" s="375"/>
      <c r="D122" s="375"/>
      <c r="E122" s="375"/>
      <c r="F122" s="320"/>
      <c r="G122" s="375">
        <f>$G$5</f>
        <v>2019</v>
      </c>
      <c r="H122" s="375"/>
      <c r="I122" s="375"/>
      <c r="J122" s="375"/>
      <c r="K122" s="320"/>
      <c r="L122" s="375">
        <f>$L$5</f>
        <v>2020</v>
      </c>
      <c r="M122" s="375"/>
      <c r="N122" s="375"/>
      <c r="O122" s="375"/>
      <c r="P122" s="318"/>
      <c r="Q122" s="375">
        <f>$Q$5</f>
        <v>2025</v>
      </c>
      <c r="R122" s="375"/>
      <c r="S122" s="375"/>
      <c r="T122" s="375"/>
      <c r="U122" s="320"/>
      <c r="V122" s="375">
        <f>$V$5</f>
        <v>2035</v>
      </c>
      <c r="W122" s="375"/>
      <c r="X122" s="375"/>
      <c r="Y122" s="375"/>
    </row>
    <row r="123" spans="1:25" x14ac:dyDescent="0.3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3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ht="12.5" x14ac:dyDescent="0.25">
      <c r="A125" s="260" t="s">
        <v>365</v>
      </c>
      <c r="B125" s="300">
        <v>3.3315549106231046</v>
      </c>
      <c r="C125" s="300">
        <v>1.2706948595045728</v>
      </c>
      <c r="D125" s="300">
        <v>0.51591239010255641</v>
      </c>
      <c r="E125" s="300">
        <f>SUM(B125:D125)</f>
        <v>5.1181621602302343</v>
      </c>
      <c r="F125" s="300"/>
      <c r="G125" s="300">
        <v>3.5896396059547113</v>
      </c>
      <c r="H125" s="300">
        <v>1.2997123739963894</v>
      </c>
      <c r="I125" s="300">
        <v>0.1139943141033528</v>
      </c>
      <c r="J125" s="300">
        <f>SUM(G125:I125)</f>
        <v>5.0033462940544542</v>
      </c>
      <c r="K125" s="300"/>
      <c r="L125" s="300">
        <v>3.4175384789241572</v>
      </c>
      <c r="M125" s="300">
        <v>1.5304397394025089</v>
      </c>
      <c r="N125" s="300">
        <v>0.14121448803024822</v>
      </c>
      <c r="O125" s="300">
        <f>SUM(L125:N125)</f>
        <v>5.089192706356914</v>
      </c>
      <c r="P125" s="300"/>
      <c r="Q125" s="300">
        <v>3.4007523195932556</v>
      </c>
      <c r="R125" s="300">
        <v>1.506756144174402</v>
      </c>
      <c r="S125" s="300">
        <v>0.14689946879748908</v>
      </c>
      <c r="T125" s="300">
        <f>SUM(Q125:S125)</f>
        <v>5.0544079325651463</v>
      </c>
      <c r="U125" s="300"/>
      <c r="V125" s="300">
        <v>3.2514925153660155</v>
      </c>
      <c r="W125" s="300">
        <v>1.4273978076252212</v>
      </c>
      <c r="X125" s="300">
        <v>0.1429471652490526</v>
      </c>
      <c r="Y125" s="300">
        <f>SUM(V125:X125)</f>
        <v>4.8218374882402895</v>
      </c>
    </row>
    <row r="126" spans="1:25" ht="12.5" x14ac:dyDescent="0.25">
      <c r="A126" s="260" t="s">
        <v>364</v>
      </c>
      <c r="B126" s="300">
        <v>4.1290609160132679</v>
      </c>
      <c r="C126" s="300">
        <v>0.15738704672211828</v>
      </c>
      <c r="D126" s="300">
        <v>0.81438987703441224</v>
      </c>
      <c r="E126" s="300">
        <f t="shared" ref="E126:E127" si="194">SUM(B126:D126)</f>
        <v>5.1008378397697989</v>
      </c>
      <c r="F126" s="300"/>
      <c r="G126" s="300">
        <v>4.3223336301208555</v>
      </c>
      <c r="H126" s="300">
        <v>0.11355133101610936</v>
      </c>
      <c r="I126" s="300">
        <v>0.84476874480860031</v>
      </c>
      <c r="J126" s="300">
        <f t="shared" ref="J126:J127" si="195">SUM(G126:I126)</f>
        <v>5.2806537059455643</v>
      </c>
      <c r="K126" s="300"/>
      <c r="L126" s="300">
        <v>4.2714794930292435</v>
      </c>
      <c r="M126" s="300">
        <v>0.33477445120701227</v>
      </c>
      <c r="N126" s="300">
        <v>0.74555334940682294</v>
      </c>
      <c r="O126" s="300">
        <f t="shared" ref="O126:O127" si="196">SUM(L126:N126)</f>
        <v>5.3518072936430787</v>
      </c>
      <c r="P126" s="300"/>
      <c r="Q126" s="300">
        <v>4.2686734754367208</v>
      </c>
      <c r="R126" s="300">
        <v>0.34829390182532688</v>
      </c>
      <c r="S126" s="300">
        <v>0.78262469017279801</v>
      </c>
      <c r="T126" s="300">
        <f t="shared" ref="T126:T127" si="197">SUM(Q126:S126)</f>
        <v>5.3995920674348463</v>
      </c>
      <c r="U126" s="300"/>
      <c r="V126" s="300">
        <v>4.0945104608205698</v>
      </c>
      <c r="W126" s="300">
        <v>0.35684945190028533</v>
      </c>
      <c r="X126" s="300">
        <v>0.78080259903885751</v>
      </c>
      <c r="Y126" s="300">
        <f t="shared" ref="Y126:Y127" si="198">SUM(V126:X126)</f>
        <v>5.2321625117597126</v>
      </c>
    </row>
    <row r="127" spans="1:25" ht="12.5" x14ac:dyDescent="0.25">
      <c r="A127" s="264" t="s">
        <v>363</v>
      </c>
      <c r="B127" s="301">
        <f>SUM(B125:B126)</f>
        <v>7.4606158266363725</v>
      </c>
      <c r="C127" s="301">
        <f t="shared" ref="C127" si="199">SUM(C125:C126)</f>
        <v>1.4280819062266912</v>
      </c>
      <c r="D127" s="301">
        <f t="shared" ref="D127" si="200">SUM(D125:D126)</f>
        <v>1.3303022671369686</v>
      </c>
      <c r="E127" s="301">
        <f t="shared" si="194"/>
        <v>10.219000000000031</v>
      </c>
      <c r="F127" s="301"/>
      <c r="G127" s="301">
        <f>SUM(G125:G126)</f>
        <v>7.9119732360755668</v>
      </c>
      <c r="H127" s="301">
        <f t="shared" ref="H127" si="201">SUM(H125:H126)</f>
        <v>1.4132637050124988</v>
      </c>
      <c r="I127" s="301">
        <f t="shared" ref="I127" si="202">SUM(I125:I126)</f>
        <v>0.95876305891195313</v>
      </c>
      <c r="J127" s="301">
        <f t="shared" si="195"/>
        <v>10.284000000000018</v>
      </c>
      <c r="K127" s="301"/>
      <c r="L127" s="301">
        <f>SUM(L125:L126)</f>
        <v>7.6890179719534011</v>
      </c>
      <c r="M127" s="301">
        <f t="shared" ref="M127" si="203">SUM(M125:M126)</f>
        <v>1.8652141906095212</v>
      </c>
      <c r="N127" s="301">
        <f t="shared" ref="N127" si="204">SUM(N125:N126)</f>
        <v>0.8867678374370711</v>
      </c>
      <c r="O127" s="301">
        <f t="shared" si="196"/>
        <v>10.440999999999994</v>
      </c>
      <c r="P127" s="301"/>
      <c r="Q127" s="301">
        <f>SUM(Q125:Q126)</f>
        <v>7.6694257950299765</v>
      </c>
      <c r="R127" s="301">
        <f t="shared" ref="R127" si="205">SUM(R125:R126)</f>
        <v>1.8550500459997288</v>
      </c>
      <c r="S127" s="301">
        <f t="shared" ref="S127" si="206">SUM(S125:S126)</f>
        <v>0.92952415897028706</v>
      </c>
      <c r="T127" s="301">
        <f t="shared" si="197"/>
        <v>10.453999999999992</v>
      </c>
      <c r="U127" s="301"/>
      <c r="V127" s="301">
        <f>SUM(V125:V126)</f>
        <v>7.3460029761865853</v>
      </c>
      <c r="W127" s="301">
        <f t="shared" ref="W127" si="207">SUM(W125:W126)</f>
        <v>1.7842472595255066</v>
      </c>
      <c r="X127" s="301">
        <f t="shared" ref="X127" si="208">SUM(X125:X126)</f>
        <v>0.92374976428791011</v>
      </c>
      <c r="Y127" s="301">
        <f t="shared" si="198"/>
        <v>10.054000000000002</v>
      </c>
    </row>
    <row r="131" spans="1:25" ht="14" x14ac:dyDescent="0.3">
      <c r="A131" s="265" t="str">
        <f>"Industry 15 : "&amp; name!B18</f>
        <v>Industry 15 : Real estate</v>
      </c>
      <c r="B131" s="375">
        <f>$B$5</f>
        <v>2015</v>
      </c>
      <c r="C131" s="375"/>
      <c r="D131" s="375"/>
      <c r="E131" s="375"/>
      <c r="F131" s="320"/>
      <c r="G131" s="375">
        <f>$G$5</f>
        <v>2019</v>
      </c>
      <c r="H131" s="375"/>
      <c r="I131" s="375"/>
      <c r="J131" s="375"/>
      <c r="K131" s="320"/>
      <c r="L131" s="375">
        <f>$L$5</f>
        <v>2020</v>
      </c>
      <c r="M131" s="375"/>
      <c r="N131" s="375"/>
      <c r="O131" s="375"/>
      <c r="P131" s="318"/>
      <c r="Q131" s="375">
        <f>$Q$5</f>
        <v>2025</v>
      </c>
      <c r="R131" s="375"/>
      <c r="S131" s="375"/>
      <c r="T131" s="375"/>
      <c r="U131" s="320"/>
      <c r="V131" s="375">
        <f>$V$5</f>
        <v>2035</v>
      </c>
      <c r="W131" s="375"/>
      <c r="X131" s="375"/>
      <c r="Y131" s="375"/>
    </row>
    <row r="132" spans="1:25" x14ac:dyDescent="0.3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3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ht="12.5" x14ac:dyDescent="0.25">
      <c r="A134" s="260" t="s">
        <v>365</v>
      </c>
      <c r="B134" s="300">
        <v>2.6052823629935635</v>
      </c>
      <c r="C134" s="300">
        <v>1.6416895402965057</v>
      </c>
      <c r="D134" s="300">
        <v>0.33383223018922581</v>
      </c>
      <c r="E134" s="300">
        <f>SUM(B134:D134)</f>
        <v>4.5808041334792948</v>
      </c>
      <c r="F134" s="300"/>
      <c r="G134" s="300">
        <v>3.2802163142025265</v>
      </c>
      <c r="H134" s="300">
        <v>1.9585218692349298</v>
      </c>
      <c r="I134" s="300">
        <v>0.86249241959399958</v>
      </c>
      <c r="J134" s="300">
        <f>SUM(G134:I134)</f>
        <v>6.1012306030314551</v>
      </c>
      <c r="K134" s="300"/>
      <c r="L134" s="300">
        <v>2.8005649650685482</v>
      </c>
      <c r="M134" s="300">
        <v>2.074790990459181</v>
      </c>
      <c r="N134" s="300">
        <v>0.37265663419400791</v>
      </c>
      <c r="O134" s="300">
        <f>SUM(L134:N134)</f>
        <v>5.2480125897217365</v>
      </c>
      <c r="P134" s="300"/>
      <c r="Q134" s="300">
        <v>2.9048393309999789</v>
      </c>
      <c r="R134" s="300">
        <v>1.9875322234680732</v>
      </c>
      <c r="S134" s="300">
        <v>0.37837662285942497</v>
      </c>
      <c r="T134" s="300">
        <f>SUM(Q134:S134)</f>
        <v>5.2707481773274774</v>
      </c>
      <c r="U134" s="300"/>
      <c r="V134" s="300">
        <v>3.3504656695093318</v>
      </c>
      <c r="W134" s="300">
        <v>1.959772410931742</v>
      </c>
      <c r="X134" s="300">
        <v>0.41051521760585991</v>
      </c>
      <c r="Y134" s="300">
        <f>SUM(V134:X134)</f>
        <v>5.720753298046934</v>
      </c>
    </row>
    <row r="135" spans="1:25" ht="12.5" x14ac:dyDescent="0.25">
      <c r="A135" s="260" t="s">
        <v>364</v>
      </c>
      <c r="B135" s="300">
        <v>2.1304407897538749</v>
      </c>
      <c r="C135" s="300">
        <v>0.29627610428144036</v>
      </c>
      <c r="D135" s="300">
        <v>0.71547897248539449</v>
      </c>
      <c r="E135" s="300">
        <f t="shared" ref="E135:E136" si="209">SUM(B135:D135)</f>
        <v>3.1421958665207095</v>
      </c>
      <c r="F135" s="300"/>
      <c r="G135" s="300">
        <v>3.0709009294929737</v>
      </c>
      <c r="H135" s="300">
        <v>0.7474396044381233</v>
      </c>
      <c r="I135" s="300">
        <v>0.26542886303744889</v>
      </c>
      <c r="J135" s="300">
        <f t="shared" ref="J135:J136" si="210">SUM(G135:I135)</f>
        <v>4.0837693969685454</v>
      </c>
      <c r="K135" s="300"/>
      <c r="L135" s="300">
        <v>3.1939695092273661</v>
      </c>
      <c r="M135" s="300">
        <v>1.0629778695864152</v>
      </c>
      <c r="N135" s="300">
        <v>0.73504003146447949</v>
      </c>
      <c r="O135" s="300">
        <f t="shared" ref="O135:O136" si="211">SUM(L135:N135)</f>
        <v>4.9919874102782611</v>
      </c>
      <c r="P135" s="300"/>
      <c r="Q135" s="300">
        <v>3.1964083590106322</v>
      </c>
      <c r="R135" s="300">
        <v>1.066608132877843</v>
      </c>
      <c r="S135" s="300">
        <v>0.77423533078403439</v>
      </c>
      <c r="T135" s="300">
        <f t="shared" ref="T135:T136" si="212">SUM(Q135:S135)</f>
        <v>5.0372518226725091</v>
      </c>
      <c r="U135" s="300"/>
      <c r="V135" s="300">
        <v>3.441907447795673</v>
      </c>
      <c r="W135" s="300">
        <v>1.1694819777775876</v>
      </c>
      <c r="X135" s="300">
        <v>0.90585727637981306</v>
      </c>
      <c r="Y135" s="300">
        <f t="shared" ref="Y135:Y136" si="213">SUM(V135:X135)</f>
        <v>5.5172467019530744</v>
      </c>
    </row>
    <row r="136" spans="1:25" ht="12.5" x14ac:dyDescent="0.25">
      <c r="A136" s="264" t="s">
        <v>363</v>
      </c>
      <c r="B136" s="301">
        <f>SUM(B134:B135)</f>
        <v>4.7357231527474379</v>
      </c>
      <c r="C136" s="301">
        <f t="shared" ref="C136" si="214">SUM(C134:C135)</f>
        <v>1.9379656445779461</v>
      </c>
      <c r="D136" s="301">
        <f t="shared" ref="D136" si="215">SUM(D134:D135)</f>
        <v>1.0493112026746203</v>
      </c>
      <c r="E136" s="301">
        <f t="shared" si="209"/>
        <v>7.7230000000000043</v>
      </c>
      <c r="F136" s="301"/>
      <c r="G136" s="301">
        <f>SUM(G134:G135)</f>
        <v>6.3511172436954997</v>
      </c>
      <c r="H136" s="301">
        <f t="shared" ref="H136" si="216">SUM(H134:H135)</f>
        <v>2.7059614736730531</v>
      </c>
      <c r="I136" s="301">
        <f t="shared" ref="I136" si="217">SUM(I134:I135)</f>
        <v>1.1279212826314484</v>
      </c>
      <c r="J136" s="301">
        <f t="shared" si="210"/>
        <v>10.185</v>
      </c>
      <c r="K136" s="301"/>
      <c r="L136" s="301">
        <f>SUM(L134:L135)</f>
        <v>5.9945344742959144</v>
      </c>
      <c r="M136" s="301">
        <f t="shared" ref="M136" si="218">SUM(M134:M135)</f>
        <v>3.137768860045596</v>
      </c>
      <c r="N136" s="301">
        <f t="shared" ref="N136" si="219">SUM(N134:N135)</f>
        <v>1.1076966656584875</v>
      </c>
      <c r="O136" s="301">
        <f t="shared" si="211"/>
        <v>10.239999999999998</v>
      </c>
      <c r="P136" s="301"/>
      <c r="Q136" s="301">
        <f>SUM(Q134:Q135)</f>
        <v>6.1012476900106112</v>
      </c>
      <c r="R136" s="301">
        <f t="shared" ref="R136" si="220">SUM(R134:R135)</f>
        <v>3.0541403563459162</v>
      </c>
      <c r="S136" s="301">
        <f t="shared" ref="S136" si="221">SUM(S134:S135)</f>
        <v>1.1526119536434594</v>
      </c>
      <c r="T136" s="301">
        <f t="shared" si="212"/>
        <v>10.307999999999987</v>
      </c>
      <c r="U136" s="301"/>
      <c r="V136" s="301">
        <f>SUM(V134:V135)</f>
        <v>6.7923731173050044</v>
      </c>
      <c r="W136" s="301">
        <f t="shared" ref="W136" si="222">SUM(W134:W135)</f>
        <v>3.1292543887093296</v>
      </c>
      <c r="X136" s="301">
        <f t="shared" ref="X136" si="223">SUM(X134:X135)</f>
        <v>1.3163724939856729</v>
      </c>
      <c r="Y136" s="301">
        <f t="shared" si="213"/>
        <v>11.238000000000007</v>
      </c>
    </row>
    <row r="137" spans="1:25" ht="12.5" x14ac:dyDescent="0.25">
      <c r="C137" s="263"/>
    </row>
    <row r="138" spans="1:25" x14ac:dyDescent="0.3">
      <c r="A138" s="261"/>
    </row>
    <row r="139" spans="1:25" ht="12.5" x14ac:dyDescent="0.25">
      <c r="C139" s="263"/>
    </row>
    <row r="140" spans="1:25" ht="14" x14ac:dyDescent="0.3">
      <c r="A140" s="265" t="str">
        <f>"Industry 16 : "&amp; name!B19</f>
        <v>Industry 16 : Professional services</v>
      </c>
      <c r="B140" s="375">
        <f>$B$5</f>
        <v>2015</v>
      </c>
      <c r="C140" s="375"/>
      <c r="D140" s="375"/>
      <c r="E140" s="375"/>
      <c r="F140" s="320"/>
      <c r="G140" s="375">
        <f>$G$5</f>
        <v>2019</v>
      </c>
      <c r="H140" s="375"/>
      <c r="I140" s="375"/>
      <c r="J140" s="375"/>
      <c r="K140" s="320"/>
      <c r="L140" s="375">
        <f>$L$5</f>
        <v>2020</v>
      </c>
      <c r="M140" s="375"/>
      <c r="N140" s="375"/>
      <c r="O140" s="375"/>
      <c r="P140" s="318"/>
      <c r="Q140" s="375">
        <f>$Q$5</f>
        <v>2025</v>
      </c>
      <c r="R140" s="375"/>
      <c r="S140" s="375"/>
      <c r="T140" s="375"/>
      <c r="U140" s="320"/>
      <c r="V140" s="375">
        <f>$V$5</f>
        <v>2035</v>
      </c>
      <c r="W140" s="375"/>
      <c r="X140" s="375"/>
      <c r="Y140" s="375"/>
    </row>
    <row r="141" spans="1:25" x14ac:dyDescent="0.3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5" x14ac:dyDescent="0.25">
      <c r="A143" s="260" t="s">
        <v>365</v>
      </c>
      <c r="B143" s="300">
        <v>6.2890337458827261</v>
      </c>
      <c r="C143" s="300">
        <v>4.1285515243502413</v>
      </c>
      <c r="D143" s="300">
        <v>2.409429554500083</v>
      </c>
      <c r="E143" s="300">
        <f>SUM(B143:D143)</f>
        <v>12.82701482473305</v>
      </c>
      <c r="F143" s="300"/>
      <c r="G143" s="300">
        <v>5.640705636102104</v>
      </c>
      <c r="H143" s="300">
        <v>3.4919756766848744</v>
      </c>
      <c r="I143" s="300">
        <v>2.0633875375836599</v>
      </c>
      <c r="J143" s="300">
        <f>SUM(G143:I143)</f>
        <v>11.196068850370638</v>
      </c>
      <c r="K143" s="300"/>
      <c r="L143" s="300">
        <v>4.9721707152368158</v>
      </c>
      <c r="M143" s="300">
        <v>3.5674229943904225</v>
      </c>
      <c r="N143" s="300">
        <v>1.1207554018324237</v>
      </c>
      <c r="O143" s="300">
        <f>SUM(L143:N143)</f>
        <v>9.6603491114596629</v>
      </c>
      <c r="P143" s="300"/>
      <c r="Q143" s="300">
        <v>5.1718270385174003</v>
      </c>
      <c r="R143" s="300">
        <v>3.7361354941943281</v>
      </c>
      <c r="S143" s="300">
        <v>1.1863012775461601</v>
      </c>
      <c r="T143" s="300">
        <f>SUM(Q143:S143)</f>
        <v>10.094263810257889</v>
      </c>
      <c r="U143" s="300"/>
      <c r="V143" s="300">
        <v>5.4801240972792096</v>
      </c>
      <c r="W143" s="300">
        <v>3.982586369479916</v>
      </c>
      <c r="X143" s="300">
        <v>1.303427320534597</v>
      </c>
      <c r="Y143" s="300">
        <f>SUM(V143:X143)</f>
        <v>10.766137787293722</v>
      </c>
    </row>
    <row r="144" spans="1:25" ht="12.5" x14ac:dyDescent="0.25">
      <c r="A144" s="260" t="s">
        <v>364</v>
      </c>
      <c r="B144" s="300">
        <v>11.136859745108351</v>
      </c>
      <c r="C144" s="300">
        <v>1.664126859212532</v>
      </c>
      <c r="D144" s="300">
        <v>2.9639985709460457</v>
      </c>
      <c r="E144" s="300">
        <f t="shared" ref="E144:E145" si="224">SUM(B144:D144)</f>
        <v>15.764985175266929</v>
      </c>
      <c r="F144" s="300"/>
      <c r="G144" s="300">
        <v>9.0544025108925847</v>
      </c>
      <c r="H144" s="300">
        <v>1.0227194978269676</v>
      </c>
      <c r="I144" s="300">
        <v>3.5208091409097908</v>
      </c>
      <c r="J144" s="300">
        <f t="shared" ref="J144:J145" si="225">SUM(G144:I144)</f>
        <v>13.597931149629343</v>
      </c>
      <c r="K144" s="300"/>
      <c r="L144" s="300">
        <v>9.372899094009842</v>
      </c>
      <c r="M144" s="300">
        <v>1.4432434329240442</v>
      </c>
      <c r="N144" s="300">
        <v>4.2525083616064165</v>
      </c>
      <c r="O144" s="300">
        <f t="shared" ref="O144:O145" si="226">SUM(L144:N144)</f>
        <v>15.068650888540303</v>
      </c>
      <c r="P144" s="300"/>
      <c r="Q144" s="300">
        <v>9.5411629236459063</v>
      </c>
      <c r="R144" s="300">
        <v>1.5299465641803165</v>
      </c>
      <c r="S144" s="300">
        <v>4.3906267019158873</v>
      </c>
      <c r="T144" s="300">
        <f t="shared" ref="T144:T145" si="227">SUM(Q144:S144)</f>
        <v>15.461736189742112</v>
      </c>
      <c r="U144" s="300"/>
      <c r="V144" s="300">
        <v>9.8154093056058027</v>
      </c>
      <c r="W144" s="300">
        <v>1.6792727369129037</v>
      </c>
      <c r="X144" s="300">
        <v>4.6321801701876204</v>
      </c>
      <c r="Y144" s="300">
        <f t="shared" ref="Y144:Y145" si="228">SUM(V144:X144)</f>
        <v>16.126862212706328</v>
      </c>
    </row>
    <row r="145" spans="1:25" ht="12.5" x14ac:dyDescent="0.25">
      <c r="A145" s="264" t="s">
        <v>363</v>
      </c>
      <c r="B145" s="301">
        <f>SUM(B143:B144)</f>
        <v>17.425893490991079</v>
      </c>
      <c r="C145" s="301">
        <f t="shared" ref="C145" si="229">SUM(C143:C144)</f>
        <v>5.7926783835627731</v>
      </c>
      <c r="D145" s="301">
        <f t="shared" ref="D145" si="230">SUM(D143:D144)</f>
        <v>5.3734281254461287</v>
      </c>
      <c r="E145" s="301">
        <f t="shared" si="224"/>
        <v>28.591999999999981</v>
      </c>
      <c r="F145" s="301"/>
      <c r="G145" s="301">
        <f>SUM(G143:G144)</f>
        <v>14.695108146994688</v>
      </c>
      <c r="H145" s="301">
        <f t="shared" ref="H145" si="231">SUM(H143:H144)</f>
        <v>4.514695174511842</v>
      </c>
      <c r="I145" s="301">
        <f t="shared" ref="I145" si="232">SUM(I143:I144)</f>
        <v>5.5841966784934502</v>
      </c>
      <c r="J145" s="301">
        <f t="shared" si="225"/>
        <v>24.793999999999983</v>
      </c>
      <c r="K145" s="301"/>
      <c r="L145" s="301">
        <f>SUM(L143:L144)</f>
        <v>14.345069809246658</v>
      </c>
      <c r="M145" s="301">
        <f t="shared" ref="M145" si="233">SUM(M143:M144)</f>
        <v>5.010666427314467</v>
      </c>
      <c r="N145" s="301">
        <f t="shared" ref="N145" si="234">SUM(N143:N144)</f>
        <v>5.3732637634388407</v>
      </c>
      <c r="O145" s="301">
        <f t="shared" si="226"/>
        <v>24.728999999999964</v>
      </c>
      <c r="P145" s="301"/>
      <c r="Q145" s="301">
        <f>SUM(Q143:Q144)</f>
        <v>14.712989962163306</v>
      </c>
      <c r="R145" s="301">
        <f t="shared" ref="R145" si="235">SUM(R143:R144)</f>
        <v>5.2660820583746446</v>
      </c>
      <c r="S145" s="301">
        <f t="shared" ref="S145" si="236">SUM(S143:S144)</f>
        <v>5.576927979462047</v>
      </c>
      <c r="T145" s="301">
        <f t="shared" si="227"/>
        <v>25.555999999999997</v>
      </c>
      <c r="U145" s="301"/>
      <c r="V145" s="301">
        <f>SUM(V143:V144)</f>
        <v>15.295533402885013</v>
      </c>
      <c r="W145" s="301">
        <f t="shared" ref="W145" si="237">SUM(W143:W144)</f>
        <v>5.6618591063928196</v>
      </c>
      <c r="X145" s="301">
        <f t="shared" ref="X145" si="238">SUM(X143:X144)</f>
        <v>5.9356074907222176</v>
      </c>
      <c r="Y145" s="301">
        <f t="shared" si="228"/>
        <v>26.89300000000005</v>
      </c>
    </row>
    <row r="146" spans="1:25" ht="12.5" x14ac:dyDescent="0.25">
      <c r="C146" s="263"/>
    </row>
    <row r="147" spans="1:25" x14ac:dyDescent="0.3">
      <c r="A147" s="261"/>
    </row>
    <row r="148" spans="1:25" ht="12.5" x14ac:dyDescent="0.25">
      <c r="C148" s="263"/>
    </row>
    <row r="149" spans="1:25" ht="14" x14ac:dyDescent="0.3">
      <c r="A149" s="265" t="str">
        <f>"Industry 17 : "&amp; name!B20</f>
        <v>Industry 17 : Support services</v>
      </c>
      <c r="B149" s="375">
        <f>$B$5</f>
        <v>2015</v>
      </c>
      <c r="C149" s="375"/>
      <c r="D149" s="375"/>
      <c r="E149" s="375"/>
      <c r="F149" s="320"/>
      <c r="G149" s="375">
        <f>$G$5</f>
        <v>2019</v>
      </c>
      <c r="H149" s="375"/>
      <c r="I149" s="375"/>
      <c r="J149" s="375"/>
      <c r="K149" s="320"/>
      <c r="L149" s="375">
        <f>$L$5</f>
        <v>2020</v>
      </c>
      <c r="M149" s="375"/>
      <c r="N149" s="375"/>
      <c r="O149" s="375"/>
      <c r="P149" s="318"/>
      <c r="Q149" s="375">
        <f>$Q$5</f>
        <v>2025</v>
      </c>
      <c r="R149" s="375"/>
      <c r="S149" s="375"/>
      <c r="T149" s="375"/>
      <c r="U149" s="320"/>
      <c r="V149" s="375">
        <f>$V$5</f>
        <v>2035</v>
      </c>
      <c r="W149" s="375"/>
      <c r="X149" s="375"/>
      <c r="Y149" s="375"/>
    </row>
    <row r="150" spans="1:25" x14ac:dyDescent="0.3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3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ht="12.5" x14ac:dyDescent="0.25">
      <c r="A152" s="260" t="s">
        <v>365</v>
      </c>
      <c r="B152" s="300">
        <v>6.9352684578446411</v>
      </c>
      <c r="C152" s="300">
        <v>7.7519346857189104</v>
      </c>
      <c r="D152" s="300">
        <v>1.4599507441762478</v>
      </c>
      <c r="E152" s="300">
        <f>SUM(B152:D152)</f>
        <v>16.147153887739798</v>
      </c>
      <c r="F152" s="300"/>
      <c r="G152" s="300">
        <v>7.0444766632208324</v>
      </c>
      <c r="H152" s="300">
        <v>6.0629087930430732</v>
      </c>
      <c r="I152" s="300">
        <v>1.7952394035554504</v>
      </c>
      <c r="J152" s="300">
        <f>SUM(G152:I152)</f>
        <v>14.902624859819356</v>
      </c>
      <c r="K152" s="300"/>
      <c r="L152" s="300">
        <v>6.4415799888387504</v>
      </c>
      <c r="M152" s="300">
        <v>6.0683825109222838</v>
      </c>
      <c r="N152" s="300">
        <v>1.4309449981918625</v>
      </c>
      <c r="O152" s="300">
        <f>SUM(L152:N152)</f>
        <v>13.940907497952896</v>
      </c>
      <c r="P152" s="300"/>
      <c r="Q152" s="300">
        <v>6.9122255603816134</v>
      </c>
      <c r="R152" s="300">
        <v>6.2763559647332672</v>
      </c>
      <c r="S152" s="300">
        <v>1.4831704279805185</v>
      </c>
      <c r="T152" s="300">
        <f>SUM(Q152:S152)</f>
        <v>14.671751953095399</v>
      </c>
      <c r="U152" s="300"/>
      <c r="V152" s="300">
        <v>7.4669569878852595</v>
      </c>
      <c r="W152" s="300">
        <v>6.4054109067746312</v>
      </c>
      <c r="X152" s="300">
        <v>1.5813358175805035</v>
      </c>
      <c r="Y152" s="300">
        <f>SUM(V152:X152)</f>
        <v>15.453703712240396</v>
      </c>
    </row>
    <row r="153" spans="1:25" ht="12.5" x14ac:dyDescent="0.25">
      <c r="A153" s="260" t="s">
        <v>364</v>
      </c>
      <c r="B153" s="300">
        <v>15.121479569344229</v>
      </c>
      <c r="C153" s="300">
        <v>6.3144559652943855</v>
      </c>
      <c r="D153" s="300">
        <v>2.657910577621593</v>
      </c>
      <c r="E153" s="300">
        <f t="shared" ref="E153:E154" si="239">SUM(B153:D153)</f>
        <v>24.093846112260209</v>
      </c>
      <c r="F153" s="300"/>
      <c r="G153" s="300">
        <v>13.010271503667116</v>
      </c>
      <c r="H153" s="300">
        <v>4.5691788827158737</v>
      </c>
      <c r="I153" s="300">
        <v>1.8119247537976377</v>
      </c>
      <c r="J153" s="300">
        <f t="shared" ref="J153:J154" si="240">SUM(G153:I153)</f>
        <v>19.391375140180628</v>
      </c>
      <c r="K153" s="300"/>
      <c r="L153" s="300">
        <v>12.581782399296857</v>
      </c>
      <c r="M153" s="300">
        <v>4.4323517995482824</v>
      </c>
      <c r="N153" s="300">
        <v>1.2129583032019806</v>
      </c>
      <c r="O153" s="300">
        <f t="shared" ref="O153:O154" si="241">SUM(L153:N153)</f>
        <v>18.227092502047121</v>
      </c>
      <c r="P153" s="300"/>
      <c r="Q153" s="300">
        <v>13.262122824817832</v>
      </c>
      <c r="R153" s="300">
        <v>4.6625184058812277</v>
      </c>
      <c r="S153" s="300">
        <v>1.2586068162055843</v>
      </c>
      <c r="T153" s="300">
        <f t="shared" ref="T153:T154" si="242">SUM(Q153:S153)</f>
        <v>19.183248046904644</v>
      </c>
      <c r="U153" s="300"/>
      <c r="V153" s="300">
        <v>14.013786057424932</v>
      </c>
      <c r="W153" s="300">
        <v>4.8816561977555368</v>
      </c>
      <c r="X153" s="300">
        <v>1.3338540325791264</v>
      </c>
      <c r="Y153" s="300">
        <f t="shared" ref="Y153:Y154" si="243">SUM(V153:X153)</f>
        <v>20.229296287759595</v>
      </c>
    </row>
    <row r="154" spans="1:25" ht="12.5" x14ac:dyDescent="0.25">
      <c r="A154" s="264" t="s">
        <v>363</v>
      </c>
      <c r="B154" s="301">
        <f>SUM(B152:B153)</f>
        <v>22.056748027188871</v>
      </c>
      <c r="C154" s="301">
        <f t="shared" ref="C154" si="244">SUM(C152:C153)</f>
        <v>14.066390651013297</v>
      </c>
      <c r="D154" s="301">
        <f t="shared" ref="D154" si="245">SUM(D152:D153)</f>
        <v>4.1178613217978413</v>
      </c>
      <c r="E154" s="301">
        <f t="shared" si="239"/>
        <v>40.241000000000007</v>
      </c>
      <c r="F154" s="301"/>
      <c r="G154" s="301">
        <f>SUM(G152:G153)</f>
        <v>20.054748166887947</v>
      </c>
      <c r="H154" s="301">
        <f t="shared" ref="H154" si="246">SUM(H152:H153)</f>
        <v>10.632087675758946</v>
      </c>
      <c r="I154" s="301">
        <f t="shared" ref="I154" si="247">SUM(I152:I153)</f>
        <v>3.6071641573530879</v>
      </c>
      <c r="J154" s="301">
        <f t="shared" si="240"/>
        <v>34.293999999999983</v>
      </c>
      <c r="K154" s="301"/>
      <c r="L154" s="301">
        <f>SUM(L152:L153)</f>
        <v>19.02336238813561</v>
      </c>
      <c r="M154" s="301">
        <f t="shared" ref="M154" si="248">SUM(M152:M153)</f>
        <v>10.500734310470566</v>
      </c>
      <c r="N154" s="301">
        <f t="shared" ref="N154" si="249">SUM(N152:N153)</f>
        <v>2.6439033013938431</v>
      </c>
      <c r="O154" s="301">
        <f t="shared" si="241"/>
        <v>32.168000000000021</v>
      </c>
      <c r="P154" s="301"/>
      <c r="Q154" s="301">
        <f>SUM(Q152:Q153)</f>
        <v>20.174348385199444</v>
      </c>
      <c r="R154" s="301">
        <f t="shared" ref="R154" si="250">SUM(R152:R153)</f>
        <v>10.938874370614496</v>
      </c>
      <c r="S154" s="301">
        <f t="shared" ref="S154" si="251">SUM(S152:S153)</f>
        <v>2.7417772441861028</v>
      </c>
      <c r="T154" s="301">
        <f t="shared" si="242"/>
        <v>33.85500000000004</v>
      </c>
      <c r="U154" s="301"/>
      <c r="V154" s="301">
        <f>SUM(V152:V153)</f>
        <v>21.480743045310192</v>
      </c>
      <c r="W154" s="301">
        <f t="shared" ref="W154" si="252">SUM(W152:W153)</f>
        <v>11.287067104530168</v>
      </c>
      <c r="X154" s="301">
        <f t="shared" ref="X154" si="253">SUM(X152:X153)</f>
        <v>2.9151898501596296</v>
      </c>
      <c r="Y154" s="301">
        <f t="shared" si="243"/>
        <v>35.682999999999986</v>
      </c>
    </row>
    <row r="155" spans="1:25" ht="12.5" x14ac:dyDescent="0.25">
      <c r="C155" s="263"/>
    </row>
    <row r="156" spans="1:25" x14ac:dyDescent="0.3">
      <c r="A156" s="261"/>
    </row>
    <row r="157" spans="1:25" ht="12.5" x14ac:dyDescent="0.25">
      <c r="C157" s="263"/>
    </row>
    <row r="158" spans="1:25" ht="14" x14ac:dyDescent="0.3">
      <c r="A158" s="265" t="str">
        <f>"Industry 18 : "&amp; name!B21</f>
        <v>Industry 18 : Public admin. and defence</v>
      </c>
      <c r="B158" s="375">
        <f>$B$5</f>
        <v>2015</v>
      </c>
      <c r="C158" s="375"/>
      <c r="D158" s="375"/>
      <c r="E158" s="375"/>
      <c r="F158" s="320"/>
      <c r="G158" s="375">
        <f>$G$5</f>
        <v>2019</v>
      </c>
      <c r="H158" s="375"/>
      <c r="I158" s="375"/>
      <c r="J158" s="375"/>
      <c r="K158" s="320"/>
      <c r="L158" s="375">
        <f>$L$5</f>
        <v>2020</v>
      </c>
      <c r="M158" s="375"/>
      <c r="N158" s="375"/>
      <c r="O158" s="375"/>
      <c r="P158" s="318"/>
      <c r="Q158" s="375">
        <f>$Q$5</f>
        <v>2025</v>
      </c>
      <c r="R158" s="375"/>
      <c r="S158" s="375"/>
      <c r="T158" s="375"/>
      <c r="U158" s="320"/>
      <c r="V158" s="375">
        <f>$V$5</f>
        <v>2035</v>
      </c>
      <c r="W158" s="375"/>
      <c r="X158" s="375"/>
      <c r="Y158" s="375"/>
    </row>
    <row r="159" spans="1:25" x14ac:dyDescent="0.3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3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ht="12.5" x14ac:dyDescent="0.25">
      <c r="A161" s="260" t="s">
        <v>365</v>
      </c>
      <c r="B161" s="300">
        <v>4.4265813443400654</v>
      </c>
      <c r="C161" s="300">
        <v>4.4732739001469488</v>
      </c>
      <c r="D161" s="300">
        <v>0.46787846728438287</v>
      </c>
      <c r="E161" s="300">
        <f>SUM(B161:D161)</f>
        <v>9.3677337117713968</v>
      </c>
      <c r="F161" s="300"/>
      <c r="G161" s="300">
        <v>4.5152475228659839</v>
      </c>
      <c r="H161" s="300">
        <v>4.0412053651285875</v>
      </c>
      <c r="I161" s="300">
        <v>0.7433806295620915</v>
      </c>
      <c r="J161" s="300">
        <f>SUM(G161:I161)</f>
        <v>9.299833517556662</v>
      </c>
      <c r="K161" s="300"/>
      <c r="L161" s="300">
        <v>4.732441209408921</v>
      </c>
      <c r="M161" s="300">
        <v>4.1334143778165151</v>
      </c>
      <c r="N161" s="300">
        <v>0.27721953695810336</v>
      </c>
      <c r="O161" s="300">
        <f>SUM(L161:N161)</f>
        <v>9.1430751241835395</v>
      </c>
      <c r="P161" s="300"/>
      <c r="Q161" s="300">
        <v>4.8356524541812131</v>
      </c>
      <c r="R161" s="300">
        <v>4.2321079553547767</v>
      </c>
      <c r="S161" s="300">
        <v>0.28361039782732705</v>
      </c>
      <c r="T161" s="300">
        <f>SUM(Q161:S161)</f>
        <v>9.3513708073633168</v>
      </c>
      <c r="U161" s="300"/>
      <c r="V161" s="300">
        <v>5.0870278704893073</v>
      </c>
      <c r="W161" s="300">
        <v>4.4540460561225643</v>
      </c>
      <c r="X161" s="300">
        <v>0.30093618853016718</v>
      </c>
      <c r="Y161" s="300">
        <f>SUM(V161:X161)</f>
        <v>9.84201011514204</v>
      </c>
    </row>
    <row r="162" spans="1:25" ht="12.5" x14ac:dyDescent="0.25">
      <c r="A162" s="260" t="s">
        <v>364</v>
      </c>
      <c r="B162" s="300">
        <v>5.1241109534276612</v>
      </c>
      <c r="C162" s="300">
        <v>0.81680209005092297</v>
      </c>
      <c r="D162" s="300">
        <v>0.69435324475000071</v>
      </c>
      <c r="E162" s="300">
        <f t="shared" ref="E162:E163" si="254">SUM(B162:D162)</f>
        <v>6.6352662882285856</v>
      </c>
      <c r="F162" s="300"/>
      <c r="G162" s="300">
        <v>5.1773914141178574</v>
      </c>
      <c r="H162" s="300">
        <v>0.74660430964909574</v>
      </c>
      <c r="I162" s="300">
        <v>0.23017075867638212</v>
      </c>
      <c r="J162" s="300">
        <f t="shared" ref="J162:J163" si="255">SUM(G162:I162)</f>
        <v>6.154166482443336</v>
      </c>
      <c r="K162" s="300"/>
      <c r="L162" s="300">
        <v>5.37831749659306</v>
      </c>
      <c r="M162" s="300">
        <v>0.75960737922340005</v>
      </c>
      <c r="N162" s="300">
        <v>0</v>
      </c>
      <c r="O162" s="300">
        <f t="shared" ref="O162:O163" si="256">SUM(L162:N162)</f>
        <v>6.1379248758164602</v>
      </c>
      <c r="P162" s="300"/>
      <c r="Q162" s="300">
        <v>5.3846320888486234</v>
      </c>
      <c r="R162" s="300">
        <v>0.8179971037880529</v>
      </c>
      <c r="S162" s="300">
        <v>0</v>
      </c>
      <c r="T162" s="300">
        <f t="shared" ref="T162:T163" si="257">SUM(Q162:S162)</f>
        <v>6.2026291926366763</v>
      </c>
      <c r="U162" s="300"/>
      <c r="V162" s="300">
        <v>5.4336758850706692</v>
      </c>
      <c r="W162" s="300">
        <v>0.94931399978726139</v>
      </c>
      <c r="X162" s="300">
        <v>0</v>
      </c>
      <c r="Y162" s="300">
        <f t="shared" ref="Y162:Y163" si="258">SUM(V162:X162)</f>
        <v>6.3829898848579303</v>
      </c>
    </row>
    <row r="163" spans="1:25" ht="12.5" x14ac:dyDescent="0.25">
      <c r="A163" s="264" t="s">
        <v>363</v>
      </c>
      <c r="B163" s="301">
        <f>SUM(B161:B162)</f>
        <v>9.5506922977677267</v>
      </c>
      <c r="C163" s="301">
        <f t="shared" ref="C163" si="259">SUM(C161:C162)</f>
        <v>5.290075990197872</v>
      </c>
      <c r="D163" s="301">
        <f t="shared" ref="D163" si="260">SUM(D161:D162)</f>
        <v>1.1622317120343837</v>
      </c>
      <c r="E163" s="301">
        <f t="shared" si="254"/>
        <v>16.002999999999982</v>
      </c>
      <c r="F163" s="301"/>
      <c r="G163" s="301">
        <f>SUM(G161:G162)</f>
        <v>9.6926389369838404</v>
      </c>
      <c r="H163" s="301">
        <f t="shared" ref="H163" si="261">SUM(H161:H162)</f>
        <v>4.7878096747776837</v>
      </c>
      <c r="I163" s="301">
        <f t="shared" ref="I163" si="262">SUM(I161:I162)</f>
        <v>0.97355138823847365</v>
      </c>
      <c r="J163" s="301">
        <f t="shared" si="255"/>
        <v>15.453999999999997</v>
      </c>
      <c r="K163" s="301"/>
      <c r="L163" s="301">
        <f>SUM(L161:L162)</f>
        <v>10.110758706001981</v>
      </c>
      <c r="M163" s="301">
        <f t="shared" ref="M163" si="263">SUM(M161:M162)</f>
        <v>4.8930217570399153</v>
      </c>
      <c r="N163" s="301">
        <f t="shared" ref="N163" si="264">SUM(N161:N162)</f>
        <v>0.27721953695810336</v>
      </c>
      <c r="O163" s="301">
        <f t="shared" si="256"/>
        <v>15.280999999999999</v>
      </c>
      <c r="P163" s="301"/>
      <c r="Q163" s="301">
        <f>SUM(Q161:Q162)</f>
        <v>10.220284543029837</v>
      </c>
      <c r="R163" s="301">
        <f t="shared" ref="R163" si="265">SUM(R161:R162)</f>
        <v>5.0501050591428296</v>
      </c>
      <c r="S163" s="301">
        <f t="shared" ref="S163" si="266">SUM(S161:S162)</f>
        <v>0.28361039782732705</v>
      </c>
      <c r="T163" s="301">
        <f t="shared" si="257"/>
        <v>15.553999999999995</v>
      </c>
      <c r="U163" s="301"/>
      <c r="V163" s="301">
        <f>SUM(V161:V162)</f>
        <v>10.520703755559976</v>
      </c>
      <c r="W163" s="301">
        <f t="shared" ref="W163" si="267">SUM(W161:W162)</f>
        <v>5.4033600559098254</v>
      </c>
      <c r="X163" s="301">
        <f t="shared" ref="X163" si="268">SUM(X161:X162)</f>
        <v>0.30093618853016718</v>
      </c>
      <c r="Y163" s="301">
        <f t="shared" si="258"/>
        <v>16.224999999999969</v>
      </c>
    </row>
    <row r="167" spans="1:25" ht="14" x14ac:dyDescent="0.3">
      <c r="A167" s="265" t="str">
        <f>"Industry 19 : "&amp; name!B22</f>
        <v>Industry 19 : Education</v>
      </c>
      <c r="B167" s="375">
        <f>$B$5</f>
        <v>2015</v>
      </c>
      <c r="C167" s="375"/>
      <c r="D167" s="375"/>
      <c r="E167" s="375"/>
      <c r="F167" s="320"/>
      <c r="G167" s="375">
        <f>$G$5</f>
        <v>2019</v>
      </c>
      <c r="H167" s="375"/>
      <c r="I167" s="375"/>
      <c r="J167" s="375"/>
      <c r="K167" s="320"/>
      <c r="L167" s="375">
        <f>$L$5</f>
        <v>2020</v>
      </c>
      <c r="M167" s="375"/>
      <c r="N167" s="375"/>
      <c r="O167" s="375"/>
      <c r="P167" s="318"/>
      <c r="Q167" s="375">
        <f>$Q$5</f>
        <v>2025</v>
      </c>
      <c r="R167" s="375"/>
      <c r="S167" s="375"/>
      <c r="T167" s="375"/>
      <c r="U167" s="320"/>
      <c r="V167" s="375">
        <f>$V$5</f>
        <v>2035</v>
      </c>
      <c r="W167" s="375"/>
      <c r="X167" s="375"/>
      <c r="Y167" s="375"/>
    </row>
    <row r="168" spans="1:25" x14ac:dyDescent="0.3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3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ht="12.5" x14ac:dyDescent="0.25">
      <c r="A170" s="260" t="s">
        <v>365</v>
      </c>
      <c r="B170" s="300">
        <v>13.335318942186374</v>
      </c>
      <c r="C170" s="300">
        <v>17.449516651222559</v>
      </c>
      <c r="D170" s="300">
        <v>1.4233099034796184</v>
      </c>
      <c r="E170" s="300">
        <f>SUM(B170:D170)</f>
        <v>32.208145496888555</v>
      </c>
      <c r="F170" s="300"/>
      <c r="G170" s="300">
        <v>13.914945097508911</v>
      </c>
      <c r="H170" s="300">
        <v>16.361991655363056</v>
      </c>
      <c r="I170" s="300">
        <v>1.5858604407666654</v>
      </c>
      <c r="J170" s="300">
        <f>SUM(G170:I170)</f>
        <v>31.862797193638634</v>
      </c>
      <c r="K170" s="300"/>
      <c r="L170" s="300">
        <v>14.084943498681369</v>
      </c>
      <c r="M170" s="300">
        <v>16.524920696941948</v>
      </c>
      <c r="N170" s="300">
        <v>1.7573062026264166</v>
      </c>
      <c r="O170" s="300">
        <f>SUM(L170:N170)</f>
        <v>32.367170398249733</v>
      </c>
      <c r="P170" s="300"/>
      <c r="Q170" s="300">
        <v>14.81108444003605</v>
      </c>
      <c r="R170" s="300">
        <v>16.633172836695021</v>
      </c>
      <c r="S170" s="300">
        <v>1.8278889168379453</v>
      </c>
      <c r="T170" s="300">
        <f>SUM(Q170:S170)</f>
        <v>33.272146193569014</v>
      </c>
      <c r="U170" s="300"/>
      <c r="V170" s="300">
        <v>16.519711341794121</v>
      </c>
      <c r="W170" s="300">
        <v>16.95894999036291</v>
      </c>
      <c r="X170" s="300">
        <v>1.951087231248412</v>
      </c>
      <c r="Y170" s="300">
        <f>SUM(V170:X170)</f>
        <v>35.429748563405447</v>
      </c>
    </row>
    <row r="171" spans="1:25" ht="12.5" x14ac:dyDescent="0.25">
      <c r="A171" s="260" t="s">
        <v>364</v>
      </c>
      <c r="B171" s="300">
        <v>8.3681863497217428</v>
      </c>
      <c r="C171" s="300">
        <v>2.7970448280110403</v>
      </c>
      <c r="D171" s="300">
        <v>1.4366233253787433</v>
      </c>
      <c r="E171" s="300">
        <f t="shared" ref="E171" si="269">SUM(B171:D171)</f>
        <v>12.601854503111527</v>
      </c>
      <c r="F171" s="300"/>
      <c r="G171" s="300">
        <v>8.4488457690811654</v>
      </c>
      <c r="H171" s="300">
        <v>2.781064783875562</v>
      </c>
      <c r="I171" s="300">
        <v>1.312292253404747</v>
      </c>
      <c r="J171" s="300">
        <f t="shared" ref="J171:J172" si="270">SUM(G171:I171)</f>
        <v>12.542202806361475</v>
      </c>
      <c r="K171" s="300"/>
      <c r="L171" s="300">
        <v>8.7368096280798593</v>
      </c>
      <c r="M171" s="300">
        <v>2.5570220676497093</v>
      </c>
      <c r="N171" s="300">
        <v>1.4019979060206686</v>
      </c>
      <c r="O171" s="300">
        <f t="shared" ref="O171:O172" si="271">SUM(L171:N171)</f>
        <v>12.695829601750237</v>
      </c>
      <c r="P171" s="300"/>
      <c r="Q171" s="300">
        <v>8.8700829291628747</v>
      </c>
      <c r="R171" s="300">
        <v>2.6657015479236787</v>
      </c>
      <c r="S171" s="300">
        <v>1.470069329344442</v>
      </c>
      <c r="T171" s="300">
        <f t="shared" ref="T171:T172" si="272">SUM(Q171:S171)</f>
        <v>13.005853806430995</v>
      </c>
      <c r="U171" s="300"/>
      <c r="V171" s="300">
        <v>9.2160583263201801</v>
      </c>
      <c r="W171" s="300">
        <v>2.9029517261329598</v>
      </c>
      <c r="X171" s="300">
        <v>1.6152413841413418</v>
      </c>
      <c r="Y171" s="300">
        <f t="shared" ref="Y171:Y172" si="273">SUM(V171:X171)</f>
        <v>13.734251436594482</v>
      </c>
    </row>
    <row r="172" spans="1:25" ht="12.5" x14ac:dyDescent="0.25">
      <c r="A172" s="264" t="s">
        <v>363</v>
      </c>
      <c r="B172" s="301">
        <f>SUM(B170:B171)</f>
        <v>21.703505291908115</v>
      </c>
      <c r="C172" s="301">
        <f t="shared" ref="C172" si="274">SUM(C170:C171)</f>
        <v>20.246561479233598</v>
      </c>
      <c r="D172" s="301">
        <f t="shared" ref="D172" si="275">SUM(D170:D171)</f>
        <v>2.8599332288583614</v>
      </c>
      <c r="E172" s="301">
        <f>SUM(B172:D172)</f>
        <v>44.810000000000073</v>
      </c>
      <c r="F172" s="301"/>
      <c r="G172" s="301">
        <f>SUM(G170:G171)</f>
        <v>22.363790866590076</v>
      </c>
      <c r="H172" s="301">
        <f t="shared" ref="H172" si="276">SUM(H170:H171)</f>
        <v>19.143056439238617</v>
      </c>
      <c r="I172" s="301">
        <f t="shared" ref="I172" si="277">SUM(I170:I171)</f>
        <v>2.8981526941714124</v>
      </c>
      <c r="J172" s="301">
        <f t="shared" si="270"/>
        <v>44.405000000000108</v>
      </c>
      <c r="K172" s="301"/>
      <c r="L172" s="301">
        <f>SUM(L170:L171)</f>
        <v>22.82175312676123</v>
      </c>
      <c r="M172" s="301">
        <f t="shared" ref="M172" si="278">SUM(M170:M171)</f>
        <v>19.081942764591656</v>
      </c>
      <c r="N172" s="301">
        <f t="shared" ref="N172" si="279">SUM(N170:N171)</f>
        <v>3.1593041086470852</v>
      </c>
      <c r="O172" s="301">
        <f t="shared" si="271"/>
        <v>45.062999999999967</v>
      </c>
      <c r="P172" s="301"/>
      <c r="Q172" s="301">
        <f>SUM(Q170:Q171)</f>
        <v>23.681167369198924</v>
      </c>
      <c r="R172" s="301">
        <f t="shared" ref="R172" si="280">SUM(R170:R171)</f>
        <v>19.298874384618699</v>
      </c>
      <c r="S172" s="301">
        <f t="shared" ref="S172" si="281">SUM(S170:S171)</f>
        <v>3.2979582461823873</v>
      </c>
      <c r="T172" s="301">
        <f t="shared" si="272"/>
        <v>46.278000000000013</v>
      </c>
      <c r="U172" s="301"/>
      <c r="V172" s="301">
        <f>SUM(V170:V171)</f>
        <v>25.735769668114301</v>
      </c>
      <c r="W172" s="301">
        <f t="shared" ref="W172" si="282">SUM(W170:W171)</f>
        <v>19.861901716495872</v>
      </c>
      <c r="X172" s="301">
        <f t="shared" ref="X172" si="283">SUM(X170:X171)</f>
        <v>3.5663286153897538</v>
      </c>
      <c r="Y172" s="301">
        <f t="shared" si="273"/>
        <v>49.16399999999993</v>
      </c>
    </row>
    <row r="176" spans="1:25" ht="14" x14ac:dyDescent="0.3">
      <c r="A176" s="265" t="str">
        <f>"Industry 20 : "&amp; name!B23</f>
        <v>Industry 20 : Health and social work</v>
      </c>
      <c r="B176" s="375">
        <f>$B$5</f>
        <v>2015</v>
      </c>
      <c r="C176" s="375"/>
      <c r="D176" s="375"/>
      <c r="E176" s="375"/>
      <c r="F176" s="320"/>
      <c r="G176" s="375">
        <f>$G$5</f>
        <v>2019</v>
      </c>
      <c r="H176" s="375"/>
      <c r="I176" s="375"/>
      <c r="J176" s="375"/>
      <c r="K176" s="320"/>
      <c r="L176" s="375">
        <f>$L$5</f>
        <v>2020</v>
      </c>
      <c r="M176" s="375"/>
      <c r="N176" s="375"/>
      <c r="O176" s="375"/>
      <c r="P176" s="318"/>
      <c r="Q176" s="375">
        <f>$Q$5</f>
        <v>2025</v>
      </c>
      <c r="R176" s="375"/>
      <c r="S176" s="375"/>
      <c r="T176" s="375"/>
      <c r="U176" s="320"/>
      <c r="V176" s="375">
        <f>$V$5</f>
        <v>2035</v>
      </c>
      <c r="W176" s="375"/>
      <c r="X176" s="375"/>
      <c r="Y176" s="375"/>
    </row>
    <row r="177" spans="1:25" x14ac:dyDescent="0.3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3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ht="12.5" x14ac:dyDescent="0.25">
      <c r="A179" s="260" t="s">
        <v>365</v>
      </c>
      <c r="B179" s="300">
        <v>23.251604993116352</v>
      </c>
      <c r="C179" s="300">
        <v>21.856362712129322</v>
      </c>
      <c r="D179" s="300">
        <v>3.0182524827200243</v>
      </c>
      <c r="E179" s="300">
        <f>SUM(B179:D179)</f>
        <v>48.126220187965693</v>
      </c>
      <c r="F179" s="300"/>
      <c r="G179" s="300">
        <v>28.449227888703575</v>
      </c>
      <c r="H179" s="300">
        <v>26.056347728169943</v>
      </c>
      <c r="I179" s="300">
        <v>3.3183325077709034</v>
      </c>
      <c r="J179" s="300">
        <f>SUM(G179:I179)</f>
        <v>57.823908124644419</v>
      </c>
      <c r="K179" s="300"/>
      <c r="L179" s="300">
        <v>28.946679698156814</v>
      </c>
      <c r="M179" s="300">
        <v>25.353827852907315</v>
      </c>
      <c r="N179" s="300">
        <v>2.3276041055154866</v>
      </c>
      <c r="O179" s="300">
        <f>SUM(L179:N179)</f>
        <v>56.628111656579613</v>
      </c>
      <c r="P179" s="300"/>
      <c r="Q179" s="300">
        <v>31.674450141240523</v>
      </c>
      <c r="R179" s="300">
        <v>26.15257525079755</v>
      </c>
      <c r="S179" s="300">
        <v>2.6225915257025103</v>
      </c>
      <c r="T179" s="300">
        <f>SUM(Q179:S179)</f>
        <v>60.449616917740585</v>
      </c>
      <c r="U179" s="300"/>
      <c r="V179" s="300">
        <v>35.47322187450763</v>
      </c>
      <c r="W179" s="300">
        <v>25.78526819630115</v>
      </c>
      <c r="X179" s="300">
        <v>3.0157054248986834</v>
      </c>
      <c r="Y179" s="300">
        <f>SUM(V179:X179)</f>
        <v>64.27419549570746</v>
      </c>
    </row>
    <row r="180" spans="1:25" ht="12.5" x14ac:dyDescent="0.25">
      <c r="A180" s="260" t="s">
        <v>364</v>
      </c>
      <c r="B180" s="300">
        <v>9.3772259195502325</v>
      </c>
      <c r="C180" s="300">
        <v>2.3328900105314294</v>
      </c>
      <c r="D180" s="300">
        <v>1.0306638819527518</v>
      </c>
      <c r="E180" s="300">
        <f t="shared" ref="E180:E181" si="284">SUM(B180:D180)</f>
        <v>12.740779812034413</v>
      </c>
      <c r="F180" s="300"/>
      <c r="G180" s="300">
        <v>9.8602492956187202</v>
      </c>
      <c r="H180" s="300">
        <v>2.9537662786107823</v>
      </c>
      <c r="I180" s="300">
        <v>2.19207630112603</v>
      </c>
      <c r="J180" s="300">
        <f t="shared" ref="J180:J181" si="285">SUM(G180:I180)</f>
        <v>15.006091875355533</v>
      </c>
      <c r="K180" s="300"/>
      <c r="L180" s="300">
        <v>9.6901075714728844</v>
      </c>
      <c r="M180" s="300">
        <v>2.9097972017943849</v>
      </c>
      <c r="N180" s="300">
        <v>2.5419835701530942</v>
      </c>
      <c r="O180" s="300">
        <f t="shared" ref="O180:O181" si="286">SUM(L180:N180)</f>
        <v>15.141888343420364</v>
      </c>
      <c r="P180" s="300"/>
      <c r="Q180" s="300">
        <v>10.320154540033348</v>
      </c>
      <c r="R180" s="300">
        <v>3.1742103354512285</v>
      </c>
      <c r="S180" s="300">
        <v>2.5710182067748515</v>
      </c>
      <c r="T180" s="300">
        <f t="shared" ref="T180:T181" si="287">SUM(Q180:S180)</f>
        <v>16.065383082259427</v>
      </c>
      <c r="U180" s="300"/>
      <c r="V180" s="300">
        <v>10.972786289955964</v>
      </c>
      <c r="W180" s="300">
        <v>3.5035865642958366</v>
      </c>
      <c r="X180" s="300">
        <v>2.4524316500407877</v>
      </c>
      <c r="Y180" s="300">
        <f t="shared" ref="Y180:Y181" si="288">SUM(V180:X180)</f>
        <v>16.928804504292589</v>
      </c>
    </row>
    <row r="181" spans="1:25" ht="12.5" x14ac:dyDescent="0.25">
      <c r="A181" s="264" t="s">
        <v>363</v>
      </c>
      <c r="B181" s="301">
        <f>SUM(B179:B180)</f>
        <v>32.628830912666587</v>
      </c>
      <c r="C181" s="301">
        <f t="shared" ref="C181" si="289">SUM(C179:C180)</f>
        <v>24.189252722660751</v>
      </c>
      <c r="D181" s="301">
        <f t="shared" ref="D181" si="290">SUM(D179:D180)</f>
        <v>4.0489163646727757</v>
      </c>
      <c r="E181" s="301">
        <f t="shared" si="284"/>
        <v>60.867000000000118</v>
      </c>
      <c r="F181" s="301"/>
      <c r="G181" s="301">
        <f>SUM(G179:G180)</f>
        <v>38.309477184322297</v>
      </c>
      <c r="H181" s="301">
        <f t="shared" ref="H181" si="291">SUM(H179:H180)</f>
        <v>29.010114006780725</v>
      </c>
      <c r="I181" s="301">
        <f t="shared" ref="I181" si="292">SUM(I179:I180)</f>
        <v>5.5104088088969334</v>
      </c>
      <c r="J181" s="301">
        <f t="shared" si="285"/>
        <v>72.829999999999956</v>
      </c>
      <c r="K181" s="301"/>
      <c r="L181" s="301">
        <f>SUM(L179:L180)</f>
        <v>38.6367872696297</v>
      </c>
      <c r="M181" s="301">
        <f t="shared" ref="M181" si="293">SUM(M179:M180)</f>
        <v>28.263625054701699</v>
      </c>
      <c r="N181" s="301">
        <f t="shared" ref="N181" si="294">SUM(N179:N180)</f>
        <v>4.8695876756685808</v>
      </c>
      <c r="O181" s="301">
        <f t="shared" si="286"/>
        <v>71.769999999999982</v>
      </c>
      <c r="P181" s="301"/>
      <c r="Q181" s="301">
        <f>SUM(Q179:Q180)</f>
        <v>41.99460468127387</v>
      </c>
      <c r="R181" s="301">
        <f t="shared" ref="R181" si="295">SUM(R179:R180)</f>
        <v>29.326785586248779</v>
      </c>
      <c r="S181" s="301">
        <f t="shared" ref="S181" si="296">SUM(S179:S180)</f>
        <v>5.1936097324773618</v>
      </c>
      <c r="T181" s="301">
        <f t="shared" si="287"/>
        <v>76.515000000000001</v>
      </c>
      <c r="U181" s="301"/>
      <c r="V181" s="301">
        <f>SUM(V179:V180)</f>
        <v>46.446008164463592</v>
      </c>
      <c r="W181" s="301">
        <f t="shared" ref="W181" si="297">SUM(W179:W180)</f>
        <v>29.288854760596987</v>
      </c>
      <c r="X181" s="301">
        <f t="shared" ref="X181" si="298">SUM(X179:X180)</f>
        <v>5.4681370749394711</v>
      </c>
      <c r="Y181" s="301">
        <f t="shared" si="288"/>
        <v>81.20300000000006</v>
      </c>
    </row>
    <row r="182" spans="1:25" ht="12.5" x14ac:dyDescent="0.25">
      <c r="C182" s="263"/>
    </row>
    <row r="183" spans="1:25" x14ac:dyDescent="0.3">
      <c r="A183" s="261"/>
    </row>
    <row r="184" spans="1:25" ht="12.5" x14ac:dyDescent="0.25">
      <c r="C184" s="263"/>
    </row>
    <row r="185" spans="1:25" ht="14" x14ac:dyDescent="0.3">
      <c r="A185" s="265" t="str">
        <f>"Industry 21 : "&amp; name!B24</f>
        <v>Industry 21 : Arts and entertainment</v>
      </c>
      <c r="B185" s="375">
        <f>$B$5</f>
        <v>2015</v>
      </c>
      <c r="C185" s="375"/>
      <c r="D185" s="375"/>
      <c r="E185" s="375"/>
      <c r="F185" s="320"/>
      <c r="G185" s="375">
        <f>$G$5</f>
        <v>2019</v>
      </c>
      <c r="H185" s="375"/>
      <c r="I185" s="375"/>
      <c r="J185" s="375"/>
      <c r="K185" s="320"/>
      <c r="L185" s="375">
        <f>$L$5</f>
        <v>2020</v>
      </c>
      <c r="M185" s="375"/>
      <c r="N185" s="375"/>
      <c r="O185" s="375"/>
      <c r="P185" s="318"/>
      <c r="Q185" s="375">
        <f>$Q$5</f>
        <v>2025</v>
      </c>
      <c r="R185" s="375"/>
      <c r="S185" s="375"/>
      <c r="T185" s="375"/>
      <c r="U185" s="320"/>
      <c r="V185" s="375">
        <f>$V$5</f>
        <v>2035</v>
      </c>
      <c r="W185" s="375"/>
      <c r="X185" s="375"/>
      <c r="Y185" s="375"/>
    </row>
    <row r="186" spans="1:25" x14ac:dyDescent="0.3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3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ht="12.5" x14ac:dyDescent="0.25">
      <c r="A188" s="260" t="s">
        <v>365</v>
      </c>
      <c r="B188" s="300">
        <v>1.7110716905871906</v>
      </c>
      <c r="C188" s="300">
        <v>2.897269183737142</v>
      </c>
      <c r="D188" s="300">
        <v>1.1349532762697325</v>
      </c>
      <c r="E188" s="300">
        <f>SUM(B188:D188)</f>
        <v>5.7432941505940649</v>
      </c>
      <c r="F188" s="300"/>
      <c r="G188" s="300">
        <v>1.6460411057065467</v>
      </c>
      <c r="H188" s="300">
        <v>2.599587147700499</v>
      </c>
      <c r="I188" s="300">
        <v>1.1900991102194352</v>
      </c>
      <c r="J188" s="300">
        <f>SUM(G188:I188)</f>
        <v>5.4357273636264809</v>
      </c>
      <c r="K188" s="300"/>
      <c r="L188" s="300">
        <v>2.0005158661247031</v>
      </c>
      <c r="M188" s="300">
        <v>2.9623938372715197</v>
      </c>
      <c r="N188" s="300">
        <v>0.96171937626058857</v>
      </c>
      <c r="O188" s="300">
        <f>SUM(L188:N188)</f>
        <v>5.9246290796568113</v>
      </c>
      <c r="P188" s="300"/>
      <c r="Q188" s="300">
        <v>1.8383701763898876</v>
      </c>
      <c r="R188" s="300">
        <v>2.9088604577464494</v>
      </c>
      <c r="S188" s="300">
        <v>0.80669261616685128</v>
      </c>
      <c r="T188" s="300">
        <f>SUM(Q188:S188)</f>
        <v>5.553923250303189</v>
      </c>
      <c r="U188" s="300"/>
      <c r="V188" s="300">
        <v>1.8279029542647047</v>
      </c>
      <c r="W188" s="300">
        <v>3.0715796955751786</v>
      </c>
      <c r="X188" s="300">
        <v>0.87953355780107989</v>
      </c>
      <c r="Y188" s="300">
        <f>SUM(V188:X188)</f>
        <v>5.7790162076409626</v>
      </c>
    </row>
    <row r="189" spans="1:25" ht="12.5" x14ac:dyDescent="0.25">
      <c r="A189" s="260" t="s">
        <v>364</v>
      </c>
      <c r="B189" s="300">
        <v>2.1229963568507895</v>
      </c>
      <c r="C189" s="300">
        <v>2.0740262916492038</v>
      </c>
      <c r="D189" s="300">
        <v>1.9616832009059593</v>
      </c>
      <c r="E189" s="300">
        <f t="shared" ref="E189:E190" si="299">SUM(B189:D189)</f>
        <v>6.158705849405953</v>
      </c>
      <c r="F189" s="300"/>
      <c r="G189" s="300">
        <v>2.5763375387773708</v>
      </c>
      <c r="H189" s="300">
        <v>1.5688024719607525</v>
      </c>
      <c r="I189" s="300">
        <v>2.5891326256354024</v>
      </c>
      <c r="J189" s="300">
        <f t="shared" ref="J189:J190" si="300">SUM(G189:I189)</f>
        <v>6.7342726363735252</v>
      </c>
      <c r="K189" s="300"/>
      <c r="L189" s="300">
        <v>2.2125572259793849</v>
      </c>
      <c r="M189" s="300">
        <v>1.69537930939642</v>
      </c>
      <c r="N189" s="300">
        <v>2.0774343849673809</v>
      </c>
      <c r="O189" s="300">
        <f t="shared" ref="O189:O190" si="301">SUM(L189:N189)</f>
        <v>5.9853709203431862</v>
      </c>
      <c r="P189" s="300"/>
      <c r="Q189" s="300">
        <v>2.1752839222146481</v>
      </c>
      <c r="R189" s="300">
        <v>1.7217709640994712</v>
      </c>
      <c r="S189" s="300">
        <v>1.8340218633827003</v>
      </c>
      <c r="T189" s="300">
        <f t="shared" ref="T189:T190" si="302">SUM(Q189:S189)</f>
        <v>5.73107674969682</v>
      </c>
      <c r="U189" s="300"/>
      <c r="V189" s="300">
        <v>2.322690490468363</v>
      </c>
      <c r="W189" s="300">
        <v>1.9021689982280636</v>
      </c>
      <c r="X189" s="300">
        <v>1.9491243036626058</v>
      </c>
      <c r="Y189" s="300">
        <f t="shared" ref="Y189:Y190" si="303">SUM(V189:X189)</f>
        <v>6.1739837923590324</v>
      </c>
    </row>
    <row r="190" spans="1:25" ht="12.5" x14ac:dyDescent="0.25">
      <c r="A190" s="264" t="s">
        <v>363</v>
      </c>
      <c r="B190" s="301">
        <f>SUM(B188:B189)</f>
        <v>3.83406804743798</v>
      </c>
      <c r="C190" s="301">
        <f t="shared" ref="C190" si="304">SUM(C188:C189)</f>
        <v>4.9712954753863459</v>
      </c>
      <c r="D190" s="301">
        <f t="shared" ref="D190" si="305">SUM(D188:D189)</f>
        <v>3.096636477175692</v>
      </c>
      <c r="E190" s="301">
        <f t="shared" si="299"/>
        <v>11.902000000000019</v>
      </c>
      <c r="F190" s="301"/>
      <c r="G190" s="301">
        <f>SUM(G188:G189)</f>
        <v>4.2223786444839178</v>
      </c>
      <c r="H190" s="301">
        <f t="shared" ref="H190" si="306">SUM(H188:H189)</f>
        <v>4.1683896196612515</v>
      </c>
      <c r="I190" s="301">
        <f t="shared" ref="I190" si="307">SUM(I188:I189)</f>
        <v>3.7792317358548377</v>
      </c>
      <c r="J190" s="301">
        <f t="shared" si="300"/>
        <v>12.170000000000007</v>
      </c>
      <c r="K190" s="301"/>
      <c r="L190" s="301">
        <f>SUM(L188:L189)</f>
        <v>4.2130730921040875</v>
      </c>
      <c r="M190" s="301">
        <f t="shared" ref="M190" si="308">SUM(M188:M189)</f>
        <v>4.6577731466679397</v>
      </c>
      <c r="N190" s="301">
        <f t="shared" ref="N190" si="309">SUM(N188:N189)</f>
        <v>3.0391537612279693</v>
      </c>
      <c r="O190" s="301">
        <f t="shared" si="301"/>
        <v>11.909999999999997</v>
      </c>
      <c r="P190" s="301"/>
      <c r="Q190" s="301">
        <f>SUM(Q188:Q189)</f>
        <v>4.0136540986045359</v>
      </c>
      <c r="R190" s="301">
        <f t="shared" ref="R190" si="310">SUM(R188:R189)</f>
        <v>4.630631421845921</v>
      </c>
      <c r="S190" s="301">
        <f t="shared" ref="S190" si="311">SUM(S188:S189)</f>
        <v>2.6407144795495516</v>
      </c>
      <c r="T190" s="301">
        <f t="shared" si="302"/>
        <v>11.285000000000007</v>
      </c>
      <c r="U190" s="301"/>
      <c r="V190" s="301">
        <f>SUM(V188:V189)</f>
        <v>4.1505934447330679</v>
      </c>
      <c r="W190" s="301">
        <f t="shared" ref="W190" si="312">SUM(W188:W189)</f>
        <v>4.973748693803242</v>
      </c>
      <c r="X190" s="301">
        <f t="shared" ref="X190" si="313">SUM(X188:X189)</f>
        <v>2.8286578614636859</v>
      </c>
      <c r="Y190" s="301">
        <f t="shared" si="303"/>
        <v>11.952999999999996</v>
      </c>
    </row>
    <row r="194" spans="1:25" ht="14" x14ac:dyDescent="0.3">
      <c r="A194" s="265" t="str">
        <f>"Industry 22 : "&amp; name!B25</f>
        <v>Industry 22 : Other services</v>
      </c>
      <c r="B194" s="375">
        <f>$B$5</f>
        <v>2015</v>
      </c>
      <c r="C194" s="375"/>
      <c r="D194" s="375"/>
      <c r="E194" s="375"/>
      <c r="F194" s="320"/>
      <c r="G194" s="375">
        <f>$G$5</f>
        <v>2019</v>
      </c>
      <c r="H194" s="375"/>
      <c r="I194" s="375"/>
      <c r="J194" s="375"/>
      <c r="K194" s="320"/>
      <c r="L194" s="375">
        <f>$L$5</f>
        <v>2020</v>
      </c>
      <c r="M194" s="375"/>
      <c r="N194" s="375"/>
      <c r="O194" s="375"/>
      <c r="P194" s="318"/>
      <c r="Q194" s="375">
        <f>$Q$5</f>
        <v>2025</v>
      </c>
      <c r="R194" s="375"/>
      <c r="S194" s="375"/>
      <c r="T194" s="375"/>
      <c r="U194" s="320"/>
      <c r="V194" s="375">
        <f>$V$5</f>
        <v>2035</v>
      </c>
      <c r="W194" s="375"/>
      <c r="X194" s="375"/>
      <c r="Y194" s="375"/>
    </row>
    <row r="195" spans="1:25" x14ac:dyDescent="0.3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3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ht="12.5" x14ac:dyDescent="0.25">
      <c r="A197" s="260" t="s">
        <v>365</v>
      </c>
      <c r="B197" s="300">
        <v>3.6503110279571649</v>
      </c>
      <c r="C197" s="300">
        <v>3.3462304248895172</v>
      </c>
      <c r="D197" s="300">
        <v>3.1198977032706861</v>
      </c>
      <c r="E197" s="300">
        <f>SUM(B197:D197)</f>
        <v>10.116439156117368</v>
      </c>
      <c r="F197" s="300"/>
      <c r="G197" s="300">
        <v>2.922620674335255</v>
      </c>
      <c r="H197" s="300">
        <v>2.8441587988900712</v>
      </c>
      <c r="I197" s="300">
        <v>3.0660745754896479</v>
      </c>
      <c r="J197" s="300">
        <f>SUM(G197:I197)</f>
        <v>8.8328540487149745</v>
      </c>
      <c r="K197" s="300"/>
      <c r="L197" s="300">
        <v>2.9862109679900359</v>
      </c>
      <c r="M197" s="300">
        <v>2.5062274032067062</v>
      </c>
      <c r="N197" s="300">
        <v>2.9975953008708669</v>
      </c>
      <c r="O197" s="300">
        <f>SUM(L197:N197)</f>
        <v>8.4900336720676091</v>
      </c>
      <c r="P197" s="300"/>
      <c r="Q197" s="300">
        <v>2.8196894166435205</v>
      </c>
      <c r="R197" s="300">
        <v>2.4079522913051283</v>
      </c>
      <c r="S197" s="300">
        <v>2.9307665721286145</v>
      </c>
      <c r="T197" s="300">
        <f>SUM(Q197:S197)</f>
        <v>8.1584082800772642</v>
      </c>
      <c r="U197" s="300"/>
      <c r="V197" s="300">
        <v>2.7091623578274864</v>
      </c>
      <c r="W197" s="300">
        <v>2.3461372735985688</v>
      </c>
      <c r="X197" s="300">
        <v>2.9038667037788404</v>
      </c>
      <c r="Y197" s="300">
        <f>SUM(V197:X197)</f>
        <v>7.9591663352048956</v>
      </c>
    </row>
    <row r="198" spans="1:25" ht="12.5" x14ac:dyDescent="0.25">
      <c r="A198" s="260" t="s">
        <v>364</v>
      </c>
      <c r="B198" s="300">
        <v>3.7812346209645051</v>
      </c>
      <c r="C198" s="300">
        <v>1.0875104903243236</v>
      </c>
      <c r="D198" s="300">
        <v>1.4388157325938031</v>
      </c>
      <c r="E198" s="300">
        <f t="shared" ref="E198:E199" si="314">SUM(B198:D198)</f>
        <v>6.3075608438826318</v>
      </c>
      <c r="F198" s="300"/>
      <c r="G198" s="300">
        <v>2.5804864878317955</v>
      </c>
      <c r="H198" s="300">
        <v>1.3111215111856296</v>
      </c>
      <c r="I198" s="300">
        <v>0.95753795226759397</v>
      </c>
      <c r="J198" s="300">
        <f t="shared" ref="J198:J199" si="315">SUM(G198:I198)</f>
        <v>4.8491459512850188</v>
      </c>
      <c r="K198" s="300"/>
      <c r="L198" s="300">
        <v>2.6398258980854208</v>
      </c>
      <c r="M198" s="300">
        <v>1.138433289367377</v>
      </c>
      <c r="N198" s="300">
        <v>0.67870714047960645</v>
      </c>
      <c r="O198" s="300">
        <f t="shared" ref="O198:O199" si="316">SUM(L198:N198)</f>
        <v>4.4569663279324043</v>
      </c>
      <c r="P198" s="300"/>
      <c r="Q198" s="300">
        <v>2.6575000662685437</v>
      </c>
      <c r="R198" s="300">
        <v>1.1055935222069766</v>
      </c>
      <c r="S198" s="300">
        <v>0.6824981314472196</v>
      </c>
      <c r="T198" s="300">
        <f t="shared" ref="T198:T199" si="317">SUM(Q198:S198)</f>
        <v>4.4455917199227404</v>
      </c>
      <c r="U198" s="300"/>
      <c r="V198" s="300">
        <v>2.8025068941664819</v>
      </c>
      <c r="W198" s="300">
        <v>1.1164607694819471</v>
      </c>
      <c r="X198" s="300">
        <v>0.71686600114665944</v>
      </c>
      <c r="Y198" s="300">
        <f t="shared" ref="Y198:Y199" si="318">SUM(V198:X198)</f>
        <v>4.6358336647950882</v>
      </c>
    </row>
    <row r="199" spans="1:25" ht="12.5" x14ac:dyDescent="0.25">
      <c r="A199" s="264" t="s">
        <v>363</v>
      </c>
      <c r="B199" s="301">
        <f>SUM(B197:B198)</f>
        <v>7.43154564892167</v>
      </c>
      <c r="C199" s="301">
        <f t="shared" ref="C199" si="319">SUM(C197:C198)</f>
        <v>4.4337409152138409</v>
      </c>
      <c r="D199" s="301">
        <f t="shared" ref="D199" si="320">SUM(D197:D198)</f>
        <v>4.5587134358644894</v>
      </c>
      <c r="E199" s="301">
        <f t="shared" si="314"/>
        <v>16.423999999999999</v>
      </c>
      <c r="F199" s="301"/>
      <c r="G199" s="301">
        <f>SUM(G197:G198)</f>
        <v>5.5031071621670504</v>
      </c>
      <c r="H199" s="301">
        <f t="shared" ref="H199" si="321">SUM(H197:H198)</f>
        <v>4.1552803100757005</v>
      </c>
      <c r="I199" s="301">
        <f t="shared" ref="I199" si="322">SUM(I197:I198)</f>
        <v>4.0236125277572423</v>
      </c>
      <c r="J199" s="301">
        <f t="shared" si="315"/>
        <v>13.681999999999993</v>
      </c>
      <c r="K199" s="301"/>
      <c r="L199" s="301">
        <f>SUM(L197:L198)</f>
        <v>5.6260368660754567</v>
      </c>
      <c r="M199" s="301">
        <f t="shared" ref="M199" si="323">SUM(M197:M198)</f>
        <v>3.6446606925740834</v>
      </c>
      <c r="N199" s="301">
        <f t="shared" ref="N199" si="324">SUM(N197:N198)</f>
        <v>3.6763024413504732</v>
      </c>
      <c r="O199" s="301">
        <f t="shared" si="316"/>
        <v>12.947000000000013</v>
      </c>
      <c r="P199" s="301"/>
      <c r="Q199" s="301">
        <f>SUM(Q197:Q198)</f>
        <v>5.4771894829120642</v>
      </c>
      <c r="R199" s="301">
        <f t="shared" ref="R199" si="325">SUM(R197:R198)</f>
        <v>3.5135458135121049</v>
      </c>
      <c r="S199" s="301">
        <f t="shared" ref="S199" si="326">SUM(S197:S198)</f>
        <v>3.6132647035758341</v>
      </c>
      <c r="T199" s="301">
        <f t="shared" si="317"/>
        <v>12.604000000000003</v>
      </c>
      <c r="U199" s="301"/>
      <c r="V199" s="301">
        <f>SUM(V197:V198)</f>
        <v>5.5116692519939683</v>
      </c>
      <c r="W199" s="301">
        <f t="shared" ref="W199" si="327">SUM(W197:W198)</f>
        <v>3.4625980430805159</v>
      </c>
      <c r="X199" s="301">
        <f t="shared" ref="X199" si="328">SUM(X197:X198)</f>
        <v>3.6207327049254996</v>
      </c>
      <c r="Y199" s="301">
        <f t="shared" si="318"/>
        <v>12.594999999999983</v>
      </c>
    </row>
    <row r="211" spans="1:3" x14ac:dyDescent="0.3">
      <c r="A211" s="261"/>
    </row>
    <row r="212" spans="1:3" ht="12.5" x14ac:dyDescent="0.25">
      <c r="C212" s="263"/>
    </row>
    <row r="213" spans="1:3" ht="12.5" x14ac:dyDescent="0.25">
      <c r="C213" s="263"/>
    </row>
    <row r="214" spans="1:3" ht="12.5" x14ac:dyDescent="0.25">
      <c r="C214" s="263"/>
    </row>
    <row r="215" spans="1:3" ht="12.5" x14ac:dyDescent="0.25">
      <c r="C215" s="263"/>
    </row>
    <row r="220" spans="1:3" ht="12.5" x14ac:dyDescent="0.25">
      <c r="C220" s="263"/>
    </row>
    <row r="221" spans="1:3" x14ac:dyDescent="0.3">
      <c r="A221" s="262"/>
    </row>
    <row r="222" spans="1:3" x14ac:dyDescent="0.3">
      <c r="A222" s="261"/>
    </row>
    <row r="225" spans="1:3" ht="12.5" x14ac:dyDescent="0.25">
      <c r="C225" s="263"/>
    </row>
    <row r="226" spans="1:3" x14ac:dyDescent="0.3">
      <c r="A226" s="261"/>
    </row>
    <row r="227" spans="1:3" ht="12.5" x14ac:dyDescent="0.25">
      <c r="C227" s="263"/>
    </row>
    <row r="228" spans="1:3" ht="12.5" x14ac:dyDescent="0.25">
      <c r="C228" s="263"/>
    </row>
    <row r="229" spans="1:3" ht="12.5" x14ac:dyDescent="0.25">
      <c r="C229" s="263"/>
    </row>
    <row r="231" spans="1:3" x14ac:dyDescent="0.3">
      <c r="A231" s="261"/>
    </row>
    <row r="232" spans="1:3" ht="12.5" x14ac:dyDescent="0.25">
      <c r="C232" s="263"/>
    </row>
    <row r="233" spans="1:3" ht="12.5" x14ac:dyDescent="0.25">
      <c r="C233" s="263"/>
    </row>
    <row r="234" spans="1:3" ht="12.5" x14ac:dyDescent="0.25">
      <c r="C234" s="263"/>
    </row>
    <row r="235" spans="1:3" ht="12.5" x14ac:dyDescent="0.25">
      <c r="C235" s="263"/>
    </row>
    <row r="236" spans="1:3" ht="12.5" x14ac:dyDescent="0.25">
      <c r="C236" s="263"/>
    </row>
    <row r="237" spans="1:3" ht="12.5" x14ac:dyDescent="0.25">
      <c r="C237" s="263"/>
    </row>
    <row r="238" spans="1:3" ht="12.5" x14ac:dyDescent="0.25">
      <c r="C238" s="263"/>
    </row>
    <row r="239" spans="1:3" ht="12.5" x14ac:dyDescent="0.25">
      <c r="C239" s="263"/>
    </row>
    <row r="240" spans="1:3" x14ac:dyDescent="0.3">
      <c r="A240" s="261"/>
    </row>
    <row r="241" spans="1:3" ht="12.5" x14ac:dyDescent="0.25">
      <c r="C241" s="263"/>
    </row>
    <row r="242" spans="1:3" ht="12.5" x14ac:dyDescent="0.25">
      <c r="C242" s="263"/>
    </row>
    <row r="243" spans="1:3" x14ac:dyDescent="0.3">
      <c r="A243" s="261"/>
    </row>
    <row r="244" spans="1:3" ht="12.5" x14ac:dyDescent="0.25">
      <c r="C244" s="263"/>
    </row>
    <row r="245" spans="1:3" ht="12.5" x14ac:dyDescent="0.25">
      <c r="C245" s="263"/>
    </row>
    <row r="246" spans="1:3" ht="12.5" x14ac:dyDescent="0.25">
      <c r="C246" s="263"/>
    </row>
    <row r="271" spans="1:3" x14ac:dyDescent="0.3">
      <c r="A271" s="261"/>
    </row>
    <row r="272" spans="1:3" ht="12.5" x14ac:dyDescent="0.25">
      <c r="C272" s="263"/>
    </row>
    <row r="273" spans="1:3" ht="12.5" x14ac:dyDescent="0.25">
      <c r="C273" s="263"/>
    </row>
    <row r="274" spans="1:3" ht="12.5" x14ac:dyDescent="0.25">
      <c r="C274" s="263"/>
    </row>
    <row r="276" spans="1:3" x14ac:dyDescent="0.3">
      <c r="A276" s="261"/>
    </row>
    <row r="277" spans="1:3" ht="12.5" x14ac:dyDescent="0.25">
      <c r="C277" s="263"/>
    </row>
    <row r="278" spans="1:3" ht="12.5" x14ac:dyDescent="0.25">
      <c r="C278" s="263"/>
    </row>
    <row r="279" spans="1:3" ht="12.5" x14ac:dyDescent="0.25">
      <c r="C279" s="263"/>
    </row>
    <row r="280" spans="1:3" ht="12.5" x14ac:dyDescent="0.25">
      <c r="C280" s="263"/>
    </row>
    <row r="281" spans="1:3" x14ac:dyDescent="0.3">
      <c r="A281" s="261"/>
    </row>
    <row r="282" spans="1:3" ht="12.5" x14ac:dyDescent="0.25">
      <c r="C282" s="263"/>
    </row>
    <row r="283" spans="1:3" ht="12.5" x14ac:dyDescent="0.25">
      <c r="C283" s="263"/>
    </row>
    <row r="284" spans="1:3" ht="12.5" x14ac:dyDescent="0.25">
      <c r="C284" s="263"/>
    </row>
    <row r="285" spans="1:3" x14ac:dyDescent="0.3">
      <c r="A285" s="262"/>
    </row>
    <row r="286" spans="1:3" x14ac:dyDescent="0.3">
      <c r="A286" s="261"/>
    </row>
    <row r="287" spans="1:3" ht="12.5" x14ac:dyDescent="0.25">
      <c r="C287" s="263"/>
    </row>
    <row r="288" spans="1:3" ht="12.5" x14ac:dyDescent="0.25">
      <c r="C288" s="263"/>
    </row>
    <row r="289" spans="1:3" ht="12.5" x14ac:dyDescent="0.25">
      <c r="C289" s="263"/>
    </row>
    <row r="291" spans="1:3" x14ac:dyDescent="0.3">
      <c r="A291" s="261"/>
    </row>
    <row r="292" spans="1:3" ht="12.5" x14ac:dyDescent="0.25">
      <c r="C292" s="263"/>
    </row>
    <row r="293" spans="1:3" ht="12.5" x14ac:dyDescent="0.25">
      <c r="C293" s="263"/>
    </row>
    <row r="294" spans="1:3" ht="12.5" x14ac:dyDescent="0.25">
      <c r="C294" s="263"/>
    </row>
    <row r="295" spans="1:3" ht="12.5" x14ac:dyDescent="0.25">
      <c r="C295" s="263"/>
    </row>
    <row r="296" spans="1:3" x14ac:dyDescent="0.3">
      <c r="A296" s="261"/>
    </row>
    <row r="297" spans="1:3" ht="12.5" x14ac:dyDescent="0.25">
      <c r="C297" s="263"/>
    </row>
    <row r="298" spans="1:3" ht="12.5" x14ac:dyDescent="0.25">
      <c r="C298" s="263"/>
    </row>
    <row r="299" spans="1:3" x14ac:dyDescent="0.3">
      <c r="A299" s="261"/>
    </row>
    <row r="300" spans="1:3" ht="12.5" x14ac:dyDescent="0.25">
      <c r="C300" s="263"/>
    </row>
    <row r="301" spans="1:3" ht="12.5" x14ac:dyDescent="0.25">
      <c r="C301" s="263"/>
    </row>
    <row r="302" spans="1:3" ht="12.5" x14ac:dyDescent="0.25">
      <c r="C302" s="263"/>
    </row>
    <row r="303" spans="1:3" ht="12.5" x14ac:dyDescent="0.25">
      <c r="C303" s="263"/>
    </row>
    <row r="304" spans="1:3" ht="12.5" x14ac:dyDescent="0.25">
      <c r="C304" s="263"/>
    </row>
    <row r="305" spans="1:3" ht="12.5" x14ac:dyDescent="0.25">
      <c r="C305" s="263"/>
    </row>
    <row r="306" spans="1:3" x14ac:dyDescent="0.3">
      <c r="A306" s="261"/>
      <c r="C306" s="263"/>
    </row>
    <row r="307" spans="1:3" ht="12.5" x14ac:dyDescent="0.25">
      <c r="C307" s="263"/>
    </row>
    <row r="308" spans="1:3" ht="12.5" x14ac:dyDescent="0.25">
      <c r="C308" s="263"/>
    </row>
    <row r="309" spans="1:3" ht="12.5" x14ac:dyDescent="0.25">
      <c r="C309" s="263"/>
    </row>
    <row r="310" spans="1:3" x14ac:dyDescent="0.3">
      <c r="A310" s="262"/>
    </row>
    <row r="311" spans="1:3" x14ac:dyDescent="0.3">
      <c r="A311" s="261"/>
    </row>
    <row r="312" spans="1:3" ht="12.5" x14ac:dyDescent="0.25">
      <c r="C312" s="263"/>
    </row>
    <row r="313" spans="1:3" ht="12.5" x14ac:dyDescent="0.25">
      <c r="C313" s="263"/>
    </row>
    <row r="314" spans="1:3" ht="12.5" x14ac:dyDescent="0.25">
      <c r="C314" s="263"/>
    </row>
    <row r="316" spans="1:3" x14ac:dyDescent="0.3">
      <c r="A316" s="261"/>
    </row>
    <row r="317" spans="1:3" ht="12.5" x14ac:dyDescent="0.25">
      <c r="C317" s="263"/>
    </row>
    <row r="318" spans="1:3" ht="12.5" x14ac:dyDescent="0.25">
      <c r="C318" s="263"/>
    </row>
    <row r="319" spans="1:3" ht="12.5" x14ac:dyDescent="0.25">
      <c r="C319" s="263"/>
    </row>
    <row r="320" spans="1:3" x14ac:dyDescent="0.3">
      <c r="A320" s="262"/>
    </row>
    <row r="321" spans="1:3" x14ac:dyDescent="0.3">
      <c r="A321" s="261"/>
    </row>
    <row r="322" spans="1:3" ht="12.5" x14ac:dyDescent="0.25">
      <c r="C322" s="263"/>
    </row>
    <row r="323" spans="1:3" ht="12.5" x14ac:dyDescent="0.25">
      <c r="C323" s="263"/>
    </row>
    <row r="324" spans="1:3" ht="12.5" x14ac:dyDescent="0.25">
      <c r="C324" s="263"/>
    </row>
    <row r="326" spans="1:3" x14ac:dyDescent="0.3">
      <c r="A326" s="261"/>
    </row>
    <row r="327" spans="1:3" x14ac:dyDescent="0.3">
      <c r="A327" s="261"/>
    </row>
    <row r="328" spans="1:3" ht="12.5" x14ac:dyDescent="0.25">
      <c r="C328" s="263"/>
    </row>
    <row r="329" spans="1:3" ht="12.5" x14ac:dyDescent="0.25">
      <c r="C329" s="263"/>
    </row>
    <row r="330" spans="1:3" ht="12.5" x14ac:dyDescent="0.25">
      <c r="C330" s="263"/>
    </row>
    <row r="332" spans="1:3" x14ac:dyDescent="0.3">
      <c r="A332" s="261"/>
    </row>
    <row r="333" spans="1:3" ht="12.5" x14ac:dyDescent="0.25">
      <c r="C333" s="263"/>
    </row>
    <row r="334" spans="1:3" ht="12.5" x14ac:dyDescent="0.25">
      <c r="C334" s="263"/>
    </row>
    <row r="335" spans="1:3" ht="12.5" x14ac:dyDescent="0.25">
      <c r="C335" s="263"/>
    </row>
    <row r="336" spans="1:3" ht="12.5" x14ac:dyDescent="0.25">
      <c r="C336" s="263"/>
    </row>
    <row r="337" spans="1:3" x14ac:dyDescent="0.3">
      <c r="A337" s="261"/>
    </row>
    <row r="338" spans="1:3" ht="12.5" x14ac:dyDescent="0.25">
      <c r="C338" s="263"/>
    </row>
    <row r="339" spans="1:3" ht="12.5" x14ac:dyDescent="0.25">
      <c r="C339" s="263"/>
    </row>
    <row r="340" spans="1:3" ht="12.5" x14ac:dyDescent="0.25">
      <c r="C340" s="263"/>
    </row>
    <row r="341" spans="1:3" x14ac:dyDescent="0.3">
      <c r="A341" s="262"/>
    </row>
    <row r="342" spans="1:3" x14ac:dyDescent="0.3">
      <c r="A342" s="261"/>
    </row>
    <row r="343" spans="1:3" ht="12.5" x14ac:dyDescent="0.25">
      <c r="C343" s="263"/>
    </row>
    <row r="344" spans="1:3" ht="12.5" x14ac:dyDescent="0.25">
      <c r="C344" s="263"/>
    </row>
    <row r="345" spans="1:3" ht="12.5" x14ac:dyDescent="0.25">
      <c r="C345" s="263"/>
    </row>
    <row r="347" spans="1:3" x14ac:dyDescent="0.3">
      <c r="A347" s="261"/>
    </row>
    <row r="348" spans="1:3" ht="12.5" x14ac:dyDescent="0.25">
      <c r="C348" s="263"/>
    </row>
    <row r="349" spans="1:3" ht="12.5" x14ac:dyDescent="0.25">
      <c r="C349" s="263"/>
    </row>
    <row r="350" spans="1:3" ht="12.5" x14ac:dyDescent="0.25">
      <c r="C350" s="263"/>
    </row>
    <row r="351" spans="1:3" ht="12.5" x14ac:dyDescent="0.25">
      <c r="C351" s="263"/>
    </row>
    <row r="352" spans="1:3" x14ac:dyDescent="0.3">
      <c r="A352" s="261"/>
    </row>
    <row r="353" spans="1:3" ht="12.5" x14ac:dyDescent="0.25">
      <c r="C353" s="263"/>
    </row>
    <row r="354" spans="1:3" ht="12.5" x14ac:dyDescent="0.25">
      <c r="C354" s="263"/>
    </row>
    <row r="355" spans="1:3" x14ac:dyDescent="0.3">
      <c r="A355" s="261"/>
    </row>
    <row r="356" spans="1:3" ht="12.5" x14ac:dyDescent="0.25">
      <c r="C356" s="263"/>
    </row>
    <row r="357" spans="1:3" ht="12.5" x14ac:dyDescent="0.25">
      <c r="C357" s="263"/>
    </row>
    <row r="358" spans="1:3" ht="12.5" x14ac:dyDescent="0.25">
      <c r="C358" s="263"/>
    </row>
    <row r="359" spans="1:3" ht="12.5" x14ac:dyDescent="0.25">
      <c r="C359" s="263"/>
    </row>
    <row r="361" spans="1:3" x14ac:dyDescent="0.3">
      <c r="A361" s="261"/>
    </row>
    <row r="362" spans="1:3" ht="12.5" x14ac:dyDescent="0.25">
      <c r="C362" s="263"/>
    </row>
    <row r="363" spans="1:3" ht="12.5" x14ac:dyDescent="0.25">
      <c r="C363" s="263"/>
    </row>
    <row r="364" spans="1:3" ht="12.5" x14ac:dyDescent="0.25">
      <c r="C364" s="263"/>
    </row>
    <row r="365" spans="1:3" x14ac:dyDescent="0.3">
      <c r="A365" s="262"/>
    </row>
    <row r="366" spans="1:3" x14ac:dyDescent="0.3">
      <c r="A366" s="261"/>
    </row>
    <row r="367" spans="1:3" ht="12.5" x14ac:dyDescent="0.25">
      <c r="C367" s="263"/>
    </row>
    <row r="368" spans="1:3" ht="12.5" x14ac:dyDescent="0.25">
      <c r="C368" s="263"/>
    </row>
    <row r="369" spans="1:3" ht="12.5" x14ac:dyDescent="0.25">
      <c r="C369" s="263"/>
    </row>
    <row r="371" spans="1:3" x14ac:dyDescent="0.3">
      <c r="A371" s="261"/>
    </row>
    <row r="372" spans="1:3" ht="12.5" x14ac:dyDescent="0.25">
      <c r="C372" s="263"/>
    </row>
    <row r="373" spans="1:3" ht="12.5" x14ac:dyDescent="0.25">
      <c r="C373" s="263"/>
    </row>
    <row r="374" spans="1:3" ht="12.5" x14ac:dyDescent="0.25">
      <c r="C374" s="263"/>
    </row>
    <row r="376" spans="1:3" x14ac:dyDescent="0.3">
      <c r="A376" s="261"/>
    </row>
    <row r="377" spans="1:3" ht="12.5" x14ac:dyDescent="0.25">
      <c r="C377" s="263"/>
    </row>
    <row r="378" spans="1:3" ht="12.5" x14ac:dyDescent="0.25">
      <c r="C378" s="263"/>
    </row>
    <row r="379" spans="1:3" ht="12.5" x14ac:dyDescent="0.25">
      <c r="C379" s="263"/>
    </row>
    <row r="380" spans="1:3" ht="12.5" x14ac:dyDescent="0.25">
      <c r="C380" s="263"/>
    </row>
    <row r="381" spans="1:3" x14ac:dyDescent="0.3">
      <c r="A381" s="261"/>
    </row>
    <row r="382" spans="1:3" ht="12.5" x14ac:dyDescent="0.25">
      <c r="C382" s="263"/>
    </row>
    <row r="383" spans="1:3" x14ac:dyDescent="0.3">
      <c r="A383" s="261"/>
    </row>
    <row r="384" spans="1:3" ht="12.5" x14ac:dyDescent="0.25">
      <c r="C384" s="263"/>
    </row>
    <row r="385" spans="1:3" ht="12.5" x14ac:dyDescent="0.25">
      <c r="C385" s="263"/>
    </row>
    <row r="386" spans="1:3" ht="12.5" x14ac:dyDescent="0.25">
      <c r="C386" s="263"/>
    </row>
    <row r="388" spans="1:3" x14ac:dyDescent="0.3">
      <c r="A388" s="261"/>
    </row>
    <row r="389" spans="1:3" ht="12.5" x14ac:dyDescent="0.25">
      <c r="C389" s="263"/>
    </row>
    <row r="390" spans="1:3" ht="12.5" x14ac:dyDescent="0.25">
      <c r="C390" s="263"/>
    </row>
    <row r="391" spans="1:3" ht="12.5" x14ac:dyDescent="0.25">
      <c r="C391" s="263"/>
    </row>
    <row r="392" spans="1:3" ht="12.5" x14ac:dyDescent="0.25">
      <c r="C392" s="263"/>
    </row>
    <row r="393" spans="1:3" x14ac:dyDescent="0.3">
      <c r="A393" s="261"/>
    </row>
    <row r="394" spans="1:3" ht="12.5" x14ac:dyDescent="0.25">
      <c r="C394" s="263"/>
    </row>
    <row r="395" spans="1:3" ht="12.5" x14ac:dyDescent="0.25">
      <c r="C395" s="263"/>
    </row>
    <row r="396" spans="1:3" ht="12.5" x14ac:dyDescent="0.25">
      <c r="C396" s="263"/>
    </row>
    <row r="397" spans="1:3" x14ac:dyDescent="0.3">
      <c r="A397" s="262"/>
    </row>
    <row r="398" spans="1:3" x14ac:dyDescent="0.3">
      <c r="A398" s="261"/>
    </row>
    <row r="399" spans="1:3" ht="12.5" x14ac:dyDescent="0.25">
      <c r="C399" s="263"/>
    </row>
    <row r="400" spans="1:3" ht="12.5" x14ac:dyDescent="0.25">
      <c r="C400" s="263"/>
    </row>
    <row r="401" spans="1:3" ht="12.5" x14ac:dyDescent="0.25">
      <c r="C401" s="263"/>
    </row>
    <row r="403" spans="1:3" x14ac:dyDescent="0.3">
      <c r="A403" s="261"/>
    </row>
    <row r="404" spans="1:3" ht="12.5" x14ac:dyDescent="0.25">
      <c r="C404" s="263"/>
    </row>
    <row r="405" spans="1:3" ht="12.5" x14ac:dyDescent="0.25">
      <c r="C405" s="263"/>
    </row>
    <row r="406" spans="1:3" ht="12.5" x14ac:dyDescent="0.25">
      <c r="C406" s="263"/>
    </row>
    <row r="407" spans="1:3" ht="12.5" x14ac:dyDescent="0.25">
      <c r="C407" s="263"/>
    </row>
    <row r="408" spans="1:3" x14ac:dyDescent="0.3">
      <c r="A408" s="261"/>
    </row>
    <row r="409" spans="1:3" ht="12.5" x14ac:dyDescent="0.25">
      <c r="C409" s="263"/>
    </row>
    <row r="410" spans="1:3" ht="12.5" x14ac:dyDescent="0.25">
      <c r="C410" s="263"/>
    </row>
    <row r="411" spans="1:3" x14ac:dyDescent="0.3">
      <c r="A411" s="261"/>
    </row>
    <row r="412" spans="1:3" ht="12.5" x14ac:dyDescent="0.25">
      <c r="C412" s="263"/>
    </row>
    <row r="413" spans="1:3" ht="12.5" x14ac:dyDescent="0.25">
      <c r="C413" s="263"/>
    </row>
    <row r="414" spans="1:3" ht="12.5" x14ac:dyDescent="0.25">
      <c r="C414" s="263"/>
    </row>
    <row r="415" spans="1:3" ht="12.5" x14ac:dyDescent="0.25">
      <c r="C415" s="263"/>
    </row>
    <row r="416" spans="1:3" ht="12.5" x14ac:dyDescent="0.25">
      <c r="C416" s="263"/>
    </row>
    <row r="417" spans="1:3" ht="12.5" x14ac:dyDescent="0.25">
      <c r="C417" s="263"/>
    </row>
    <row r="418" spans="1:3" x14ac:dyDescent="0.3">
      <c r="A418" s="261"/>
      <c r="C418" s="263"/>
    </row>
    <row r="419" spans="1:3" ht="12.5" x14ac:dyDescent="0.25">
      <c r="C419" s="263"/>
    </row>
    <row r="420" spans="1:3" ht="12.5" x14ac:dyDescent="0.25">
      <c r="C420" s="263"/>
    </row>
    <row r="421" spans="1:3" ht="12.5" x14ac:dyDescent="0.25">
      <c r="C421" s="263"/>
    </row>
    <row r="422" spans="1:3" x14ac:dyDescent="0.3">
      <c r="A422" s="262"/>
    </row>
    <row r="423" spans="1:3" x14ac:dyDescent="0.3">
      <c r="A423" s="261"/>
    </row>
    <row r="424" spans="1:3" ht="12.5" x14ac:dyDescent="0.25">
      <c r="C424" s="263"/>
    </row>
    <row r="425" spans="1:3" ht="12.5" x14ac:dyDescent="0.25">
      <c r="C425" s="263"/>
    </row>
    <row r="426" spans="1:3" ht="12.5" x14ac:dyDescent="0.25">
      <c r="C426" s="263"/>
    </row>
    <row r="428" spans="1:3" x14ac:dyDescent="0.3">
      <c r="A428" s="261"/>
    </row>
    <row r="429" spans="1:3" ht="12.5" x14ac:dyDescent="0.25">
      <c r="C429" s="263"/>
    </row>
    <row r="430" spans="1:3" ht="12.5" x14ac:dyDescent="0.25">
      <c r="C430" s="263"/>
    </row>
    <row r="431" spans="1:3" ht="12.5" x14ac:dyDescent="0.25">
      <c r="C431" s="263"/>
    </row>
    <row r="432" spans="1:3" x14ac:dyDescent="0.3">
      <c r="A432" s="262"/>
    </row>
    <row r="433" spans="1:3" x14ac:dyDescent="0.3">
      <c r="A433" s="261"/>
    </row>
    <row r="434" spans="1:3" ht="12.5" x14ac:dyDescent="0.25">
      <c r="C434" s="263"/>
    </row>
    <row r="435" spans="1:3" ht="12.5" x14ac:dyDescent="0.25">
      <c r="C435" s="263"/>
    </row>
    <row r="436" spans="1:3" ht="12.5" x14ac:dyDescent="0.25">
      <c r="C436" s="263"/>
    </row>
    <row r="438" spans="1:3" x14ac:dyDescent="0.3">
      <c r="A438" s="261"/>
    </row>
    <row r="439" spans="1:3" x14ac:dyDescent="0.3">
      <c r="A439" s="261"/>
    </row>
    <row r="440" spans="1:3" ht="12.5" x14ac:dyDescent="0.25">
      <c r="C440" s="263"/>
    </row>
    <row r="441" spans="1:3" ht="12.5" x14ac:dyDescent="0.25">
      <c r="C441" s="263"/>
    </row>
    <row r="442" spans="1:3" ht="12.5" x14ac:dyDescent="0.25">
      <c r="C442" s="263"/>
    </row>
    <row r="444" spans="1:3" x14ac:dyDescent="0.3">
      <c r="A444" s="261"/>
    </row>
    <row r="445" spans="1:3" ht="12.5" x14ac:dyDescent="0.25">
      <c r="C445" s="263"/>
    </row>
    <row r="446" spans="1:3" ht="12.5" x14ac:dyDescent="0.25">
      <c r="C446" s="263"/>
    </row>
    <row r="447" spans="1:3" ht="12.5" x14ac:dyDescent="0.25">
      <c r="C447" s="263"/>
    </row>
    <row r="448" spans="1:3" ht="12.5" x14ac:dyDescent="0.25">
      <c r="C448" s="263"/>
    </row>
    <row r="449" spans="1:3" x14ac:dyDescent="0.3">
      <c r="A449" s="261"/>
    </row>
    <row r="450" spans="1:3" ht="12.5" x14ac:dyDescent="0.25">
      <c r="C450" s="263"/>
    </row>
    <row r="451" spans="1:3" ht="12.5" x14ac:dyDescent="0.25">
      <c r="C451" s="263"/>
    </row>
    <row r="452" spans="1:3" ht="12.5" x14ac:dyDescent="0.25">
      <c r="C452" s="263"/>
    </row>
    <row r="453" spans="1:3" x14ac:dyDescent="0.3">
      <c r="A453" s="262"/>
    </row>
    <row r="454" spans="1:3" x14ac:dyDescent="0.3">
      <c r="A454" s="261"/>
    </row>
    <row r="455" spans="1:3" ht="12.5" x14ac:dyDescent="0.25">
      <c r="C455" s="263"/>
    </row>
    <row r="456" spans="1:3" ht="12.5" x14ac:dyDescent="0.25">
      <c r="C456" s="263"/>
    </row>
    <row r="457" spans="1:3" ht="12.5" x14ac:dyDescent="0.25">
      <c r="C457" s="263"/>
    </row>
    <row r="459" spans="1:3" x14ac:dyDescent="0.3">
      <c r="A459" s="261"/>
    </row>
    <row r="460" spans="1:3" ht="12.5" x14ac:dyDescent="0.25">
      <c r="C460" s="263"/>
    </row>
    <row r="461" spans="1:3" ht="12.5" x14ac:dyDescent="0.25">
      <c r="C461" s="263"/>
    </row>
    <row r="462" spans="1:3" ht="12.5" x14ac:dyDescent="0.25">
      <c r="C462" s="263"/>
    </row>
    <row r="463" spans="1:3" ht="12.5" x14ac:dyDescent="0.25">
      <c r="C463" s="263"/>
    </row>
    <row r="464" spans="1:3" x14ac:dyDescent="0.3">
      <c r="A464" s="261"/>
    </row>
    <row r="465" spans="1:25" ht="12.5" x14ac:dyDescent="0.25">
      <c r="C465" s="263"/>
    </row>
    <row r="466" spans="1:25" ht="12.5" x14ac:dyDescent="0.25">
      <c r="C466" s="263"/>
    </row>
    <row r="467" spans="1:25" x14ac:dyDescent="0.3">
      <c r="A467" s="261"/>
    </row>
    <row r="468" spans="1:25" ht="12.5" x14ac:dyDescent="0.25">
      <c r="C468" s="263"/>
    </row>
    <row r="469" spans="1:25" ht="12.5" x14ac:dyDescent="0.25">
      <c r="C469" s="263"/>
    </row>
    <row r="470" spans="1:25" ht="12.5" x14ac:dyDescent="0.25">
      <c r="C470" s="263"/>
    </row>
    <row r="471" spans="1:25" x14ac:dyDescent="0.3">
      <c r="A471" s="261"/>
    </row>
    <row r="472" spans="1:25" ht="12.5" x14ac:dyDescent="0.25">
      <c r="C472" s="263"/>
    </row>
    <row r="473" spans="1:25" ht="12.5" x14ac:dyDescent="0.25">
      <c r="C473" s="263"/>
    </row>
    <row r="474" spans="1:25" ht="12.5" x14ac:dyDescent="0.25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3">
      <c r="A475" s="262"/>
    </row>
    <row r="476" spans="1:25" x14ac:dyDescent="0.3">
      <c r="A476" s="261"/>
    </row>
    <row r="477" spans="1:25" ht="12.5" x14ac:dyDescent="0.25">
      <c r="C477" s="263"/>
    </row>
    <row r="478" spans="1:25" ht="12.5" x14ac:dyDescent="0.25">
      <c r="C478" s="263"/>
    </row>
    <row r="479" spans="1:25" ht="12.5" x14ac:dyDescent="0.25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3">
      <c r="A480" s="262"/>
    </row>
    <row r="481" spans="1:3" x14ac:dyDescent="0.3">
      <c r="A481" s="261"/>
    </row>
    <row r="482" spans="1:3" ht="12.5" x14ac:dyDescent="0.25">
      <c r="C482" s="263"/>
    </row>
    <row r="483" spans="1:3" ht="12.5" x14ac:dyDescent="0.25">
      <c r="C483" s="263"/>
    </row>
    <row r="484" spans="1:3" ht="12.5" x14ac:dyDescent="0.25">
      <c r="C484" s="263"/>
    </row>
    <row r="486" spans="1:3" x14ac:dyDescent="0.3">
      <c r="A486" s="261"/>
    </row>
    <row r="487" spans="1:3" ht="12.5" x14ac:dyDescent="0.25">
      <c r="C487" s="263"/>
    </row>
    <row r="488" spans="1:3" ht="12.5" x14ac:dyDescent="0.25">
      <c r="C488" s="263"/>
    </row>
    <row r="489" spans="1:3" ht="12.5" x14ac:dyDescent="0.25">
      <c r="C489" s="263"/>
    </row>
    <row r="490" spans="1:3" ht="12.5" x14ac:dyDescent="0.25">
      <c r="C490" s="263"/>
    </row>
    <row r="491" spans="1:3" x14ac:dyDescent="0.3">
      <c r="A491" s="261"/>
    </row>
    <row r="492" spans="1:3" ht="12.5" x14ac:dyDescent="0.25">
      <c r="C492" s="263"/>
    </row>
    <row r="493" spans="1:3" ht="12.5" x14ac:dyDescent="0.25">
      <c r="C493" s="263"/>
    </row>
    <row r="494" spans="1:3" ht="12.5" x14ac:dyDescent="0.25">
      <c r="C494" s="263"/>
    </row>
    <row r="495" spans="1:3" x14ac:dyDescent="0.3">
      <c r="A495" s="261"/>
    </row>
    <row r="496" spans="1:3" ht="12.5" x14ac:dyDescent="0.25">
      <c r="C496" s="263"/>
    </row>
    <row r="497" spans="1:3" ht="12.5" x14ac:dyDescent="0.25">
      <c r="C497" s="263"/>
    </row>
    <row r="498" spans="1:3" ht="12.5" x14ac:dyDescent="0.25">
      <c r="C498" s="263"/>
    </row>
    <row r="500" spans="1:3" x14ac:dyDescent="0.3">
      <c r="A500" s="261"/>
    </row>
    <row r="501" spans="1:3" ht="12.5" x14ac:dyDescent="0.25">
      <c r="C501" s="263"/>
    </row>
    <row r="502" spans="1:3" ht="12.5" x14ac:dyDescent="0.25">
      <c r="C502" s="263"/>
    </row>
    <row r="503" spans="1:3" ht="12.5" x14ac:dyDescent="0.25">
      <c r="C503" s="263"/>
    </row>
    <row r="504" spans="1:3" ht="12.5" x14ac:dyDescent="0.25">
      <c r="C504" s="263"/>
    </row>
    <row r="505" spans="1:3" x14ac:dyDescent="0.3">
      <c r="A505" s="261"/>
    </row>
    <row r="506" spans="1:3" ht="12.5" x14ac:dyDescent="0.25">
      <c r="C506" s="263"/>
    </row>
    <row r="507" spans="1:3" ht="12.5" x14ac:dyDescent="0.25">
      <c r="C507" s="263"/>
    </row>
    <row r="508" spans="1:3" ht="12.5" x14ac:dyDescent="0.25">
      <c r="C508" s="263"/>
    </row>
    <row r="509" spans="1:3" x14ac:dyDescent="0.3">
      <c r="A509" s="262"/>
    </row>
    <row r="510" spans="1:3" x14ac:dyDescent="0.3">
      <c r="A510" s="261"/>
    </row>
    <row r="511" spans="1:3" ht="12.5" x14ac:dyDescent="0.25">
      <c r="C511" s="263"/>
    </row>
    <row r="512" spans="1:3" ht="12.5" x14ac:dyDescent="0.25">
      <c r="C512" s="263"/>
    </row>
    <row r="513" spans="1:3" ht="12.5" x14ac:dyDescent="0.25">
      <c r="C513" s="263"/>
    </row>
    <row r="515" spans="1:3" x14ac:dyDescent="0.3">
      <c r="A515" s="261"/>
    </row>
    <row r="516" spans="1:3" ht="12.5" x14ac:dyDescent="0.25">
      <c r="C516" s="263"/>
    </row>
    <row r="517" spans="1:3" ht="12.5" x14ac:dyDescent="0.25">
      <c r="C517" s="263"/>
    </row>
    <row r="518" spans="1:3" ht="12.5" x14ac:dyDescent="0.25">
      <c r="C518" s="263"/>
    </row>
    <row r="519" spans="1:3" ht="12.5" x14ac:dyDescent="0.25">
      <c r="C519" s="263"/>
    </row>
    <row r="520" spans="1:3" x14ac:dyDescent="0.3">
      <c r="A520" s="261"/>
    </row>
    <row r="521" spans="1:3" ht="12.5" x14ac:dyDescent="0.25">
      <c r="C521" s="263"/>
    </row>
    <row r="522" spans="1:3" ht="12.5" x14ac:dyDescent="0.25">
      <c r="C522" s="263"/>
    </row>
    <row r="523" spans="1:3" x14ac:dyDescent="0.3">
      <c r="A523" s="261"/>
    </row>
    <row r="524" spans="1:3" ht="12.5" x14ac:dyDescent="0.25">
      <c r="C524" s="263"/>
    </row>
    <row r="525" spans="1:3" ht="12.5" x14ac:dyDescent="0.25">
      <c r="C525" s="263"/>
    </row>
    <row r="526" spans="1:3" ht="12.5" x14ac:dyDescent="0.25">
      <c r="C526" s="263"/>
    </row>
    <row r="527" spans="1:3" ht="12.5" x14ac:dyDescent="0.25">
      <c r="C527" s="263"/>
    </row>
    <row r="528" spans="1:3" ht="12.5" x14ac:dyDescent="0.25">
      <c r="C528" s="263"/>
    </row>
    <row r="529" spans="1:3" ht="12.5" x14ac:dyDescent="0.25">
      <c r="C529" s="263"/>
    </row>
    <row r="530" spans="1:3" x14ac:dyDescent="0.3">
      <c r="A530" s="261"/>
      <c r="C530" s="263"/>
    </row>
    <row r="531" spans="1:3" ht="12.5" x14ac:dyDescent="0.25">
      <c r="C531" s="263"/>
    </row>
    <row r="532" spans="1:3" ht="12.5" x14ac:dyDescent="0.25">
      <c r="C532" s="263"/>
    </row>
    <row r="533" spans="1:3" ht="12.5" x14ac:dyDescent="0.25">
      <c r="C533" s="263"/>
    </row>
    <row r="534" spans="1:3" x14ac:dyDescent="0.3">
      <c r="A534" s="262"/>
    </row>
    <row r="535" spans="1:3" x14ac:dyDescent="0.3">
      <c r="A535" s="261"/>
    </row>
    <row r="536" spans="1:3" ht="12.5" x14ac:dyDescent="0.25">
      <c r="C536" s="263"/>
    </row>
    <row r="537" spans="1:3" ht="12.5" x14ac:dyDescent="0.25">
      <c r="C537" s="263"/>
    </row>
    <row r="538" spans="1:3" ht="12.5" x14ac:dyDescent="0.25">
      <c r="C538" s="263"/>
    </row>
    <row r="540" spans="1:3" x14ac:dyDescent="0.3">
      <c r="A540" s="261"/>
    </row>
    <row r="541" spans="1:3" ht="12.5" x14ac:dyDescent="0.25">
      <c r="C541" s="263"/>
    </row>
    <row r="542" spans="1:3" ht="12.5" x14ac:dyDescent="0.25">
      <c r="C542" s="263"/>
    </row>
    <row r="543" spans="1:3" ht="12.5" x14ac:dyDescent="0.25">
      <c r="C543" s="263"/>
    </row>
    <row r="544" spans="1:3" x14ac:dyDescent="0.3">
      <c r="A544" s="262"/>
    </row>
    <row r="545" spans="1:3" x14ac:dyDescent="0.3">
      <c r="A545" s="261"/>
    </row>
    <row r="546" spans="1:3" ht="12.5" x14ac:dyDescent="0.25">
      <c r="C546" s="263"/>
    </row>
    <row r="547" spans="1:3" ht="12.5" x14ac:dyDescent="0.25">
      <c r="C547" s="263"/>
    </row>
    <row r="548" spans="1:3" ht="12.5" x14ac:dyDescent="0.25">
      <c r="C548" s="263"/>
    </row>
    <row r="550" spans="1:3" x14ac:dyDescent="0.3">
      <c r="A550" s="261"/>
    </row>
    <row r="551" spans="1:3" x14ac:dyDescent="0.3">
      <c r="A551" s="261"/>
    </row>
    <row r="552" spans="1:3" ht="12.5" x14ac:dyDescent="0.25">
      <c r="C552" s="263"/>
    </row>
    <row r="553" spans="1:3" ht="12.5" x14ac:dyDescent="0.25">
      <c r="C553" s="263"/>
    </row>
    <row r="554" spans="1:3" ht="12.5" x14ac:dyDescent="0.25">
      <c r="C554" s="263"/>
    </row>
    <row r="556" spans="1:3" x14ac:dyDescent="0.3">
      <c r="A556" s="261"/>
    </row>
    <row r="557" spans="1:3" ht="12.5" x14ac:dyDescent="0.25">
      <c r="C557" s="263"/>
    </row>
    <row r="558" spans="1:3" ht="12.5" x14ac:dyDescent="0.25">
      <c r="C558" s="263"/>
    </row>
    <row r="559" spans="1:3" ht="12.5" x14ac:dyDescent="0.25">
      <c r="C559" s="263"/>
    </row>
    <row r="560" spans="1:3" ht="12.5" x14ac:dyDescent="0.25">
      <c r="C560" s="263"/>
    </row>
    <row r="561" spans="1:3" x14ac:dyDescent="0.3">
      <c r="A561" s="261"/>
    </row>
    <row r="562" spans="1:3" ht="12.5" x14ac:dyDescent="0.25">
      <c r="C562" s="263"/>
    </row>
    <row r="563" spans="1:3" ht="12.5" x14ac:dyDescent="0.25">
      <c r="C563" s="263"/>
    </row>
    <row r="564" spans="1:3" ht="12.5" x14ac:dyDescent="0.25">
      <c r="C564" s="263"/>
    </row>
    <row r="565" spans="1:3" x14ac:dyDescent="0.3">
      <c r="A565" s="262"/>
    </row>
    <row r="566" spans="1:3" x14ac:dyDescent="0.3">
      <c r="A566" s="261"/>
    </row>
    <row r="567" spans="1:3" ht="12.5" x14ac:dyDescent="0.25">
      <c r="C567" s="263"/>
    </row>
    <row r="568" spans="1:3" ht="12.5" x14ac:dyDescent="0.25">
      <c r="C568" s="263"/>
    </row>
    <row r="569" spans="1:3" ht="12.5" x14ac:dyDescent="0.25">
      <c r="C569" s="263"/>
    </row>
    <row r="571" spans="1:3" x14ac:dyDescent="0.3">
      <c r="A571" s="261"/>
    </row>
    <row r="572" spans="1:3" ht="12.5" x14ac:dyDescent="0.25">
      <c r="C572" s="263"/>
    </row>
    <row r="573" spans="1:3" ht="12.5" x14ac:dyDescent="0.25">
      <c r="C573" s="263"/>
    </row>
    <row r="574" spans="1:3" ht="12.5" x14ac:dyDescent="0.25">
      <c r="C574" s="263"/>
    </row>
    <row r="575" spans="1:3" ht="12.5" x14ac:dyDescent="0.25">
      <c r="C575" s="263"/>
    </row>
    <row r="576" spans="1:3" x14ac:dyDescent="0.3">
      <c r="A576" s="261"/>
    </row>
    <row r="577" spans="1:3" ht="12.5" x14ac:dyDescent="0.25">
      <c r="C577" s="263"/>
    </row>
    <row r="578" spans="1:3" ht="12.5" x14ac:dyDescent="0.25">
      <c r="C578" s="263"/>
    </row>
    <row r="579" spans="1:3" x14ac:dyDescent="0.3">
      <c r="A579" s="261"/>
    </row>
    <row r="580" spans="1:3" ht="12.5" x14ac:dyDescent="0.25">
      <c r="C580" s="263"/>
    </row>
    <row r="581" spans="1:3" ht="12.5" x14ac:dyDescent="0.25">
      <c r="C581" s="263"/>
    </row>
    <row r="582" spans="1:3" ht="12.5" x14ac:dyDescent="0.25">
      <c r="C582" s="263"/>
    </row>
    <row r="583" spans="1:3" ht="12.5" x14ac:dyDescent="0.25">
      <c r="C583" s="263"/>
    </row>
    <row r="585" spans="1:3" x14ac:dyDescent="0.3">
      <c r="A585" s="261"/>
    </row>
    <row r="586" spans="1:3" ht="12.5" x14ac:dyDescent="0.25">
      <c r="C586" s="263"/>
    </row>
    <row r="587" spans="1:3" ht="12.5" x14ac:dyDescent="0.25">
      <c r="C587" s="263"/>
    </row>
    <row r="588" spans="1:3" ht="12.5" x14ac:dyDescent="0.25">
      <c r="C588" s="263"/>
    </row>
    <row r="589" spans="1:3" x14ac:dyDescent="0.3">
      <c r="A589" s="262"/>
    </row>
    <row r="590" spans="1:3" x14ac:dyDescent="0.3">
      <c r="A590" s="261"/>
    </row>
    <row r="591" spans="1:3" ht="12.5" x14ac:dyDescent="0.25">
      <c r="C591" s="263"/>
    </row>
    <row r="592" spans="1:3" ht="12.5" x14ac:dyDescent="0.25">
      <c r="C592" s="263"/>
    </row>
    <row r="593" spans="1:3" ht="12.5" x14ac:dyDescent="0.25">
      <c r="C593" s="263"/>
    </row>
    <row r="595" spans="1:3" x14ac:dyDescent="0.3">
      <c r="A595" s="261"/>
    </row>
    <row r="596" spans="1:3" ht="12.5" x14ac:dyDescent="0.25">
      <c r="C596" s="263"/>
    </row>
    <row r="597" spans="1:3" ht="12.5" x14ac:dyDescent="0.25">
      <c r="C597" s="263"/>
    </row>
    <row r="598" spans="1:3" ht="12.5" x14ac:dyDescent="0.25">
      <c r="C598" s="263"/>
    </row>
    <row r="600" spans="1:3" x14ac:dyDescent="0.3">
      <c r="A600" s="261"/>
    </row>
    <row r="601" spans="1:3" ht="12.5" x14ac:dyDescent="0.25">
      <c r="C601" s="263"/>
    </row>
    <row r="602" spans="1:3" ht="12.5" x14ac:dyDescent="0.25">
      <c r="C602" s="263"/>
    </row>
    <row r="603" spans="1:3" ht="12.5" x14ac:dyDescent="0.25">
      <c r="C603" s="263"/>
    </row>
    <row r="604" spans="1:3" ht="12.5" x14ac:dyDescent="0.25">
      <c r="C604" s="263"/>
    </row>
    <row r="605" spans="1:3" x14ac:dyDescent="0.3">
      <c r="A605" s="261"/>
    </row>
    <row r="606" spans="1:3" ht="12.5" x14ac:dyDescent="0.25">
      <c r="C606" s="263"/>
    </row>
    <row r="607" spans="1:3" x14ac:dyDescent="0.3">
      <c r="A607" s="261"/>
    </row>
    <row r="608" spans="1:3" ht="12.5" x14ac:dyDescent="0.25">
      <c r="C608" s="263"/>
    </row>
    <row r="609" spans="1:3" ht="12.5" x14ac:dyDescent="0.25">
      <c r="C609" s="263"/>
    </row>
    <row r="610" spans="1:3" ht="12.5" x14ac:dyDescent="0.25">
      <c r="C610" s="263"/>
    </row>
    <row r="612" spans="1:3" x14ac:dyDescent="0.3">
      <c r="A612" s="261"/>
    </row>
    <row r="613" spans="1:3" ht="12.5" x14ac:dyDescent="0.25">
      <c r="C613" s="263"/>
    </row>
    <row r="614" spans="1:3" ht="12.5" x14ac:dyDescent="0.25">
      <c r="C614" s="263"/>
    </row>
    <row r="615" spans="1:3" ht="12.5" x14ac:dyDescent="0.25">
      <c r="C615" s="263"/>
    </row>
    <row r="616" spans="1:3" ht="12.5" x14ac:dyDescent="0.25">
      <c r="C616" s="263"/>
    </row>
    <row r="617" spans="1:3" x14ac:dyDescent="0.3">
      <c r="A617" s="261"/>
    </row>
    <row r="618" spans="1:3" ht="12.5" x14ac:dyDescent="0.25">
      <c r="C618" s="263"/>
    </row>
    <row r="619" spans="1:3" ht="12.5" x14ac:dyDescent="0.25">
      <c r="C619" s="263"/>
    </row>
    <row r="620" spans="1:3" ht="12.5" x14ac:dyDescent="0.25">
      <c r="C620" s="263"/>
    </row>
    <row r="621" spans="1:3" x14ac:dyDescent="0.3">
      <c r="A621" s="262"/>
    </row>
    <row r="622" spans="1:3" x14ac:dyDescent="0.3">
      <c r="A622" s="261"/>
    </row>
    <row r="623" spans="1:3" ht="12.5" x14ac:dyDescent="0.25">
      <c r="C623" s="263"/>
    </row>
    <row r="624" spans="1:3" ht="12.5" x14ac:dyDescent="0.25">
      <c r="C624" s="263"/>
    </row>
    <row r="625" spans="1:3" ht="12.5" x14ac:dyDescent="0.25">
      <c r="C625" s="263"/>
    </row>
    <row r="627" spans="1:3" x14ac:dyDescent="0.3">
      <c r="A627" s="261"/>
    </row>
    <row r="628" spans="1:3" ht="12.5" x14ac:dyDescent="0.25">
      <c r="C628" s="263"/>
    </row>
    <row r="629" spans="1:3" ht="12.5" x14ac:dyDescent="0.25">
      <c r="C629" s="263"/>
    </row>
    <row r="630" spans="1:3" ht="12.5" x14ac:dyDescent="0.25">
      <c r="C630" s="263"/>
    </row>
    <row r="631" spans="1:3" ht="12.5" x14ac:dyDescent="0.25">
      <c r="C631" s="263"/>
    </row>
    <row r="632" spans="1:3" x14ac:dyDescent="0.3">
      <c r="A632" s="261"/>
    </row>
    <row r="633" spans="1:3" ht="12.5" x14ac:dyDescent="0.25">
      <c r="C633" s="263"/>
    </row>
    <row r="634" spans="1:3" ht="12.5" x14ac:dyDescent="0.25">
      <c r="C634" s="263"/>
    </row>
    <row r="635" spans="1:3" x14ac:dyDescent="0.3">
      <c r="A635" s="261"/>
    </row>
    <row r="636" spans="1:3" ht="12.5" x14ac:dyDescent="0.25">
      <c r="C636" s="263"/>
    </row>
    <row r="637" spans="1:3" ht="12.5" x14ac:dyDescent="0.25">
      <c r="C637" s="263"/>
    </row>
    <row r="638" spans="1:3" ht="12.5" x14ac:dyDescent="0.25">
      <c r="C638" s="263"/>
    </row>
    <row r="639" spans="1:3" ht="12.5" x14ac:dyDescent="0.25">
      <c r="C639" s="263"/>
    </row>
    <row r="640" spans="1:3" ht="12.5" x14ac:dyDescent="0.25">
      <c r="C640" s="263"/>
    </row>
    <row r="641" spans="1:3" ht="12.5" x14ac:dyDescent="0.25">
      <c r="C641" s="263"/>
    </row>
    <row r="642" spans="1:3" x14ac:dyDescent="0.3">
      <c r="A642" s="261"/>
      <c r="C642" s="263"/>
    </row>
    <row r="643" spans="1:3" ht="12.5" x14ac:dyDescent="0.25">
      <c r="C643" s="263"/>
    </row>
    <row r="644" spans="1:3" ht="12.5" x14ac:dyDescent="0.25">
      <c r="C644" s="263"/>
    </row>
    <row r="645" spans="1:3" ht="12.5" x14ac:dyDescent="0.25">
      <c r="C645" s="263"/>
    </row>
    <row r="646" spans="1:3" x14ac:dyDescent="0.3">
      <c r="A646" s="262"/>
    </row>
    <row r="647" spans="1:3" x14ac:dyDescent="0.3">
      <c r="A647" s="261"/>
    </row>
    <row r="648" spans="1:3" ht="12.5" x14ac:dyDescent="0.25">
      <c r="C648" s="263"/>
    </row>
    <row r="649" spans="1:3" ht="12.5" x14ac:dyDescent="0.25">
      <c r="C649" s="263"/>
    </row>
    <row r="650" spans="1:3" ht="12.5" x14ac:dyDescent="0.25">
      <c r="C650" s="263"/>
    </row>
    <row r="652" spans="1:3" x14ac:dyDescent="0.3">
      <c r="A652" s="261"/>
    </row>
    <row r="653" spans="1:3" ht="12.5" x14ac:dyDescent="0.25">
      <c r="C653" s="263"/>
    </row>
    <row r="654" spans="1:3" ht="12.5" x14ac:dyDescent="0.25">
      <c r="C654" s="263"/>
    </row>
    <row r="655" spans="1:3" ht="12.5" x14ac:dyDescent="0.25">
      <c r="C655" s="263"/>
    </row>
    <row r="656" spans="1:3" x14ac:dyDescent="0.3">
      <c r="A656" s="262"/>
    </row>
    <row r="657" spans="1:3" x14ac:dyDescent="0.3">
      <c r="A657" s="261"/>
    </row>
    <row r="658" spans="1:3" ht="12.5" x14ac:dyDescent="0.25">
      <c r="C658" s="263"/>
    </row>
    <row r="659" spans="1:3" ht="12.5" x14ac:dyDescent="0.25">
      <c r="C659" s="263"/>
    </row>
    <row r="660" spans="1:3" ht="12.5" x14ac:dyDescent="0.25">
      <c r="C660" s="263"/>
    </row>
    <row r="662" spans="1:3" x14ac:dyDescent="0.3">
      <c r="A662" s="261"/>
    </row>
    <row r="663" spans="1:3" x14ac:dyDescent="0.3">
      <c r="A663" s="261"/>
    </row>
    <row r="664" spans="1:3" ht="12.5" x14ac:dyDescent="0.25">
      <c r="C664" s="263"/>
    </row>
    <row r="665" spans="1:3" ht="12.5" x14ac:dyDescent="0.25">
      <c r="C665" s="263"/>
    </row>
    <row r="666" spans="1:3" ht="12.5" x14ac:dyDescent="0.25">
      <c r="C666" s="263"/>
    </row>
    <row r="668" spans="1:3" x14ac:dyDescent="0.3">
      <c r="A668" s="261"/>
    </row>
    <row r="669" spans="1:3" ht="12.5" x14ac:dyDescent="0.25">
      <c r="C669" s="263"/>
    </row>
    <row r="670" spans="1:3" ht="12.5" x14ac:dyDescent="0.25">
      <c r="C670" s="263"/>
    </row>
    <row r="671" spans="1:3" ht="12.5" x14ac:dyDescent="0.25">
      <c r="C671" s="263"/>
    </row>
    <row r="672" spans="1:3" ht="12.5" x14ac:dyDescent="0.25">
      <c r="C672" s="263"/>
    </row>
    <row r="673" spans="1:3" x14ac:dyDescent="0.3">
      <c r="A673" s="261"/>
    </row>
    <row r="674" spans="1:3" ht="12.5" x14ac:dyDescent="0.25">
      <c r="C674" s="263"/>
    </row>
    <row r="675" spans="1:3" ht="12.5" x14ac:dyDescent="0.25">
      <c r="C675" s="263"/>
    </row>
    <row r="676" spans="1:3" ht="12.5" x14ac:dyDescent="0.25">
      <c r="C676" s="263"/>
    </row>
    <row r="677" spans="1:3" x14ac:dyDescent="0.3">
      <c r="A677" s="262"/>
    </row>
    <row r="678" spans="1:3" x14ac:dyDescent="0.3">
      <c r="A678" s="261"/>
    </row>
    <row r="679" spans="1:3" ht="12.5" x14ac:dyDescent="0.25">
      <c r="C679" s="263"/>
    </row>
    <row r="680" spans="1:3" ht="12.5" x14ac:dyDescent="0.25">
      <c r="C680" s="263"/>
    </row>
    <row r="681" spans="1:3" ht="12.5" x14ac:dyDescent="0.25">
      <c r="C681" s="263"/>
    </row>
    <row r="683" spans="1:3" x14ac:dyDescent="0.3">
      <c r="A683" s="261"/>
    </row>
    <row r="684" spans="1:3" ht="12.5" x14ac:dyDescent="0.25">
      <c r="C684" s="263"/>
    </row>
    <row r="685" spans="1:3" ht="12.5" x14ac:dyDescent="0.25">
      <c r="C685" s="263"/>
    </row>
    <row r="686" spans="1:3" ht="12.5" x14ac:dyDescent="0.25">
      <c r="C686" s="263"/>
    </row>
    <row r="687" spans="1:3" ht="12.5" x14ac:dyDescent="0.25">
      <c r="C687" s="263"/>
    </row>
    <row r="688" spans="1:3" x14ac:dyDescent="0.3">
      <c r="A688" s="261"/>
    </row>
    <row r="689" spans="1:3" ht="12.5" x14ac:dyDescent="0.25">
      <c r="C689" s="263"/>
    </row>
    <row r="690" spans="1:3" ht="12.5" x14ac:dyDescent="0.25">
      <c r="C690" s="263"/>
    </row>
    <row r="691" spans="1:3" x14ac:dyDescent="0.3">
      <c r="A691" s="261"/>
    </row>
    <row r="692" spans="1:3" ht="12.5" x14ac:dyDescent="0.25">
      <c r="C692" s="263"/>
    </row>
    <row r="693" spans="1:3" ht="12.5" x14ac:dyDescent="0.25">
      <c r="C693" s="263"/>
    </row>
    <row r="694" spans="1:3" ht="12.5" x14ac:dyDescent="0.25">
      <c r="C694" s="263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81" bestFit="1" customWidth="1"/>
    <col min="2" max="9" width="9.1796875" style="81"/>
    <col min="10" max="10" width="17.54296875" style="81" customWidth="1"/>
    <col min="11" max="11" width="8.26953125" style="81" customWidth="1"/>
    <col min="12" max="12" width="28.1796875" customWidth="1"/>
    <col min="13" max="14" width="10.1796875" customWidth="1"/>
  </cols>
  <sheetData>
    <row r="1" spans="1:16" ht="15.5" x14ac:dyDescent="0.35">
      <c r="A1" s="80" t="str">
        <f>CONCATENATE("Industry Figure 1  Growth in Employment by Industry Group (SIC 2007), ",M6," and ",N6,", ",Info!B5)</f>
        <v>Industry Figure 1  Growth in Employment by Industry Group (SIC 2007), 2015-2020 and 2020-2035, Black Country</v>
      </c>
    </row>
    <row r="2" spans="1:16" ht="13" x14ac:dyDescent="0.3">
      <c r="A2" s="182" t="s">
        <v>519</v>
      </c>
    </row>
    <row r="3" spans="1:16" ht="13" x14ac:dyDescent="0.3">
      <c r="L3" s="46" t="s">
        <v>442</v>
      </c>
    </row>
    <row r="5" spans="1:16" ht="13" x14ac:dyDescent="0.3">
      <c r="L5" s="30" t="s">
        <v>406</v>
      </c>
    </row>
    <row r="6" spans="1:16" x14ac:dyDescent="0.25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-0.37337526450474945</v>
      </c>
      <c r="N7">
        <f>'Ind T4'!C122</f>
        <v>0.33785827979149197</v>
      </c>
    </row>
    <row r="8" spans="1:16" x14ac:dyDescent="0.25">
      <c r="L8" s="13"/>
    </row>
    <row r="9" spans="1:16" x14ac:dyDescent="0.25">
      <c r="L9" s="13" t="str">
        <f>'Ind T4'!A81</f>
        <v>Health and social work</v>
      </c>
      <c r="M9">
        <f>'Ind T4'!B120</f>
        <v>3.3504114333352319</v>
      </c>
      <c r="N9">
        <f>'Ind T4'!C120</f>
        <v>0.82663545718058007</v>
      </c>
    </row>
    <row r="10" spans="1:16" x14ac:dyDescent="0.25">
      <c r="L10" s="13" t="str">
        <f>'Ind T4'!A80</f>
        <v>Education</v>
      </c>
      <c r="M10">
        <f>'Ind T4'!B119</f>
        <v>0.11266705941843647</v>
      </c>
      <c r="N10">
        <f>'Ind T4'!C119</f>
        <v>0.58235672652706683</v>
      </c>
    </row>
    <row r="11" spans="1:16" x14ac:dyDescent="0.25">
      <c r="L11" s="13" t="str">
        <f>'Ind T4'!A79</f>
        <v>Public admin. and defence</v>
      </c>
      <c r="M11">
        <f>'Ind T4'!B118</f>
        <v>-0.91907005465536873</v>
      </c>
      <c r="N11">
        <f>'Ind T4'!C118</f>
        <v>0.40041978615537044</v>
      </c>
    </row>
    <row r="12" spans="1:16" ht="13" x14ac:dyDescent="0.3">
      <c r="L12" s="1" t="str">
        <f>CONCATENATE("[",'Ind T4'!A78,"]")</f>
        <v>[Non-marketed services]</v>
      </c>
      <c r="M12">
        <f>'Ind T4'!B117</f>
        <v>1.659022200727156</v>
      </c>
      <c r="N12">
        <f>'Ind T4'!C117</f>
        <v>0.69566210813678531</v>
      </c>
    </row>
    <row r="13" spans="1:16" x14ac:dyDescent="0.25">
      <c r="L13" s="13"/>
    </row>
    <row r="14" spans="1:16" x14ac:dyDescent="0.25">
      <c r="L14" s="13" t="str">
        <f>'Ind T4'!A76</f>
        <v>Other services</v>
      </c>
      <c r="M14" s="13">
        <f>'Ind T4'!B115</f>
        <v>-4.6461918152839843</v>
      </c>
      <c r="N14" s="13">
        <f>'Ind T4'!C115</f>
        <v>-0.18359253748903015</v>
      </c>
    </row>
    <row r="15" spans="1:16" x14ac:dyDescent="0.25">
      <c r="L15" s="13" t="str">
        <f>'Ind T4'!A75</f>
        <v>Arts and entertainment</v>
      </c>
      <c r="M15" s="13">
        <f>'Ind T4'!B114</f>
        <v>1.3439505911660987E-2</v>
      </c>
      <c r="N15" s="13">
        <f>'Ind T4'!C114</f>
        <v>2.4028950014032269E-2</v>
      </c>
    </row>
    <row r="16" spans="1:16" x14ac:dyDescent="0.25">
      <c r="L16" s="13" t="str">
        <f>'Ind T4'!A74</f>
        <v>Support services</v>
      </c>
      <c r="M16" s="13">
        <f>'Ind T4'!B113</f>
        <v>-4.3794892507492804</v>
      </c>
      <c r="N16" s="13">
        <f>'Ind T4'!C113</f>
        <v>0.69374342982506665</v>
      </c>
    </row>
    <row r="17" spans="12:14" x14ac:dyDescent="0.25">
      <c r="L17" s="13" t="str">
        <f>'Ind T4'!A73</f>
        <v>Professional services</v>
      </c>
      <c r="M17" s="13">
        <f>'Ind T4'!B112</f>
        <v>-2.8612738674501315</v>
      </c>
      <c r="N17" s="13">
        <f>'Ind T4'!C112</f>
        <v>0.56082936389392213</v>
      </c>
    </row>
    <row r="18" spans="12:14" x14ac:dyDescent="0.25">
      <c r="L18" s="13" t="str">
        <f>'Ind T4'!A72</f>
        <v>Real estate</v>
      </c>
      <c r="M18" s="13">
        <f>'Ind T4'!B111</f>
        <v>5.8041699319459683</v>
      </c>
      <c r="N18" s="13">
        <f>'Ind T4'!C111</f>
        <v>0.62192110201610973</v>
      </c>
    </row>
    <row r="19" spans="12:14" x14ac:dyDescent="0.25">
      <c r="L19" t="str">
        <f>'Ind T4'!A71</f>
        <v>Finance and insurance</v>
      </c>
      <c r="M19">
        <f>'Ind T4'!B110</f>
        <v>0.43075771892968628</v>
      </c>
      <c r="N19">
        <f>'Ind T4'!C110</f>
        <v>-0.25148190668479176</v>
      </c>
    </row>
    <row r="20" spans="12:14" x14ac:dyDescent="0.25">
      <c r="L20" t="str">
        <f>'Ind T4'!A70</f>
        <v>Information technology</v>
      </c>
      <c r="M20">
        <f>'Ind T4'!B109</f>
        <v>1.004398233108228</v>
      </c>
      <c r="N20">
        <f>'Ind T4'!C109</f>
        <v>0.48468443215556878</v>
      </c>
    </row>
    <row r="21" spans="12:14" x14ac:dyDescent="0.25">
      <c r="L21" t="str">
        <f>'Ind T4'!A69</f>
        <v>Media</v>
      </c>
      <c r="M21">
        <f>'Ind T4'!B108</f>
        <v>4.317919695720529</v>
      </c>
      <c r="N21">
        <f>'Ind T4'!C108</f>
        <v>-1.2649425067379205E-2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-2.0137012202789295</v>
      </c>
      <c r="N22">
        <f>'Ind T4'!C107</f>
        <v>0.37837864603122995</v>
      </c>
    </row>
    <row r="23" spans="12:14" x14ac:dyDescent="0.25">
      <c r="L23" s="13"/>
    </row>
    <row r="24" spans="12:14" x14ac:dyDescent="0.25">
      <c r="L24" s="13" t="str">
        <f>'Ind T4'!A66</f>
        <v>Accommodation and food</v>
      </c>
      <c r="M24">
        <f>'Ind T4'!B105</f>
        <v>2.4315646878178221</v>
      </c>
      <c r="N24">
        <f>'Ind T4'!C105</f>
        <v>1.1564792740077046</v>
      </c>
    </row>
    <row r="25" spans="12:14" x14ac:dyDescent="0.25">
      <c r="L25" s="13" t="str">
        <f>'Ind T4'!A65</f>
        <v>Transport and storage</v>
      </c>
      <c r="M25">
        <f>'Ind T4'!B104</f>
        <v>-0.30613985664941223</v>
      </c>
      <c r="N25">
        <f>'Ind T4'!C104</f>
        <v>0.91311881014868312</v>
      </c>
    </row>
    <row r="26" spans="12:14" x14ac:dyDescent="0.25">
      <c r="L26" s="13" t="str">
        <f>'Ind T4'!A64</f>
        <v>Wholesale and retail trade</v>
      </c>
      <c r="M26">
        <f>'Ind T4'!B103</f>
        <v>-1.1087550815140457</v>
      </c>
      <c r="N26">
        <f>'Ind T4'!C103</f>
        <v>0.13417283261338842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-0.36967947018967662</v>
      </c>
      <c r="N27">
        <f>'Ind T4'!C102</f>
        <v>0.49954649968431131</v>
      </c>
    </row>
    <row r="28" spans="12:14" x14ac:dyDescent="0.25">
      <c r="L28" s="13"/>
    </row>
    <row r="29" spans="12:14" ht="13" x14ac:dyDescent="0.3">
      <c r="L29" s="1" t="str">
        <f>CONCATENATE("[",'Ind T4'!A61,"]")</f>
        <v>[Construction]</v>
      </c>
      <c r="M29">
        <f>'Ind T4'!B100</f>
        <v>3.1077352720810802</v>
      </c>
      <c r="N29">
        <f>'Ind T4'!C100</f>
        <v>7.7920169124223726E-2</v>
      </c>
    </row>
    <row r="30" spans="12:14" x14ac:dyDescent="0.25">
      <c r="L30" s="13"/>
    </row>
    <row r="31" spans="12:14" x14ac:dyDescent="0.25">
      <c r="L31" s="13" t="str">
        <f>'Ind T4'!A59</f>
        <v>Rest of manufacturing</v>
      </c>
      <c r="M31">
        <f>'Ind T4'!B98</f>
        <v>-1.7105723243751147</v>
      </c>
      <c r="N31">
        <f>'Ind T4'!C98</f>
        <v>-0.92945995550866023</v>
      </c>
    </row>
    <row r="32" spans="12:14" x14ac:dyDescent="0.25">
      <c r="L32" s="13" t="str">
        <f>'Ind T4'!A58</f>
        <v>Engineering</v>
      </c>
      <c r="M32">
        <f>'Ind T4'!B97</f>
        <v>1.2745642296062787</v>
      </c>
      <c r="N32">
        <f>'Ind T4'!C97</f>
        <v>-0.29741418690557575</v>
      </c>
    </row>
    <row r="33" spans="12:14" x14ac:dyDescent="0.25">
      <c r="L33" s="13" t="str">
        <f>'Ind T4'!A57</f>
        <v>Food drink and tobacco</v>
      </c>
      <c r="M33">
        <f>'Ind T4'!B96</f>
        <v>-2.1280238829763709</v>
      </c>
      <c r="N33">
        <f>'Ind T4'!C96</f>
        <v>-0.11526556315363257</v>
      </c>
    </row>
    <row r="34" spans="12:14" ht="13" x14ac:dyDescent="0.3">
      <c r="L34" s="1" t="str">
        <f>CONCATENATE("[",'Ind T4'!A56,"]")</f>
        <v>[Manufacturing]</v>
      </c>
      <c r="M34">
        <f>'Ind T4'!B95</f>
        <v>-1.4328664326009655</v>
      </c>
      <c r="N34">
        <f>'Ind T4'!C95</f>
        <v>-0.76949802181702776</v>
      </c>
    </row>
    <row r="35" spans="12:14" x14ac:dyDescent="0.25">
      <c r="L35" s="13"/>
    </row>
    <row r="36" spans="12:14" x14ac:dyDescent="0.25">
      <c r="L36" s="13" t="str">
        <f>'Ind T4'!A54</f>
        <v>Water and sewerage</v>
      </c>
      <c r="M36">
        <f>'Ind T4'!B93</f>
        <v>-2.571150201875505</v>
      </c>
      <c r="N36">
        <f>'Ind T4'!C93</f>
        <v>0.41708541045613057</v>
      </c>
    </row>
    <row r="37" spans="12:14" x14ac:dyDescent="0.25">
      <c r="L37" s="13" t="str">
        <f>'Ind T4'!A53</f>
        <v>Electricity and gas</v>
      </c>
      <c r="M37">
        <f>'Ind T4'!B92</f>
        <v>-17.715115116248835</v>
      </c>
      <c r="N37">
        <f>'Ind T4'!C92</f>
        <v>-0.53724519762726741</v>
      </c>
    </row>
    <row r="38" spans="12:14" x14ac:dyDescent="0.25">
      <c r="L38" s="13" t="str">
        <f>'Ind T4'!A52</f>
        <v>Mining and quarrying</v>
      </c>
      <c r="M38">
        <f>'Ind T4'!B91</f>
        <v>-0.87953363884922808</v>
      </c>
      <c r="N38">
        <f>'Ind T4'!C91</f>
        <v>-5.8253698205932185</v>
      </c>
    </row>
    <row r="39" spans="12:14" x14ac:dyDescent="0.25">
      <c r="L39" s="45" t="str">
        <f>'Ind T4'!A51</f>
        <v>Agriculture</v>
      </c>
      <c r="M39">
        <f>'Ind T4'!B90</f>
        <v>-17.766261616063073</v>
      </c>
      <c r="N39">
        <f>'Ind T4'!C90</f>
        <v>0.5742402872390695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-11.097776560099105</v>
      </c>
      <c r="N40">
        <f>'Ind T4'!C89</f>
        <v>9.4021859132298324E-2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5" x14ac:dyDescent="0.25"/>
  <cols>
    <col min="1" max="1" width="17" style="81" customWidth="1"/>
    <col min="2" max="10" width="9.1796875" style="81"/>
    <col min="11" max="11" width="24.54296875" style="81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80" t="str">
        <f>CONCATENATE("Industry Figure 2  Employment by Industry (SIC 2007), ",$M$2,"-",$O$2,", ",Info!B5)</f>
        <v>Industry Figure 2  Employment by Industry (SIC 2007), 2010-2035, Black Country</v>
      </c>
      <c r="L1" s="46"/>
    </row>
    <row r="2" spans="1:96" ht="13" x14ac:dyDescent="0.3">
      <c r="A2" s="182" t="s">
        <v>519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5">
      <c r="L3" s="16"/>
      <c r="M3" s="16"/>
      <c r="N3" s="47"/>
      <c r="O3" s="16"/>
    </row>
    <row r="4" spans="1:96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ht="13" x14ac:dyDescent="0.3">
      <c r="L5" s="1" t="str">
        <f>'Ind T4'!A7</f>
        <v>Primary sector and utilities</v>
      </c>
      <c r="M5" s="11">
        <f>SUM(M6:M9)</f>
        <v>13.652000000000008</v>
      </c>
      <c r="N5" s="11">
        <f t="shared" ref="N5:AL5" si="1">SUM(N6:N9)</f>
        <v>11.888999999999996</v>
      </c>
      <c r="O5" s="11">
        <f t="shared" si="1"/>
        <v>12.679000000000009</v>
      </c>
      <c r="P5" s="11">
        <f t="shared" si="1"/>
        <v>9.8109999999999999</v>
      </c>
      <c r="Q5" s="11">
        <f t="shared" si="1"/>
        <v>11.135999999999999</v>
      </c>
      <c r="R5" s="11">
        <f t="shared" si="1"/>
        <v>12.683999999999983</v>
      </c>
      <c r="S5" s="11">
        <f t="shared" si="1"/>
        <v>11.487999999999989</v>
      </c>
      <c r="T5" s="11">
        <f t="shared" si="1"/>
        <v>11.597000000000008</v>
      </c>
      <c r="U5" s="11">
        <f t="shared" si="1"/>
        <v>9.919999999999991</v>
      </c>
      <c r="V5" s="11">
        <f t="shared" si="1"/>
        <v>8.5460000000000029</v>
      </c>
      <c r="W5" s="11">
        <f t="shared" si="1"/>
        <v>7.0439999999999952</v>
      </c>
      <c r="X5" s="11">
        <f t="shared" si="1"/>
        <v>6.9100000000000019</v>
      </c>
      <c r="Y5" s="11">
        <f t="shared" si="1"/>
        <v>6.8389999999999933</v>
      </c>
      <c r="Z5" s="11">
        <f t="shared" si="1"/>
        <v>6.8740000000000094</v>
      </c>
      <c r="AA5" s="11">
        <f t="shared" si="1"/>
        <v>7.0260000000000042</v>
      </c>
      <c r="AB5" s="11">
        <f t="shared" si="1"/>
        <v>7.0899999999999981</v>
      </c>
      <c r="AC5" s="11">
        <f t="shared" si="1"/>
        <v>7.1320000000000032</v>
      </c>
      <c r="AD5" s="11">
        <f t="shared" si="1"/>
        <v>7.1539999999999901</v>
      </c>
      <c r="AE5" s="11">
        <f t="shared" si="1"/>
        <v>7.1630000000000065</v>
      </c>
      <c r="AF5" s="11">
        <f t="shared" si="1"/>
        <v>7.1640000000000166</v>
      </c>
      <c r="AG5" s="11">
        <f t="shared" si="1"/>
        <v>7.1639999999999935</v>
      </c>
      <c r="AH5" s="11">
        <f t="shared" si="1"/>
        <v>7.163000000000002</v>
      </c>
      <c r="AI5" s="11">
        <f t="shared" si="1"/>
        <v>7.1600000000000072</v>
      </c>
      <c r="AJ5" s="11">
        <f t="shared" si="1"/>
        <v>7.1549999999999976</v>
      </c>
      <c r="AK5" s="11">
        <f t="shared" si="1"/>
        <v>7.150000000000003</v>
      </c>
      <c r="AL5" s="11">
        <f t="shared" si="1"/>
        <v>7.1439999999999904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83" t="str">
        <f>'Ind T4'!A8</f>
        <v>Agriculture</v>
      </c>
      <c r="M6" s="11">
        <v>3.7519999999999949</v>
      </c>
      <c r="N6" s="11">
        <v>2.9549999999999996</v>
      </c>
      <c r="O6" s="11">
        <v>3.4950000000000019</v>
      </c>
      <c r="P6" s="11">
        <v>1.8159999999999972</v>
      </c>
      <c r="Q6" s="11">
        <v>2.237000000000001</v>
      </c>
      <c r="R6" s="11">
        <v>2.9649999999999994</v>
      </c>
      <c r="S6" s="11">
        <v>2.134999999999998</v>
      </c>
      <c r="T6" s="11">
        <v>1.8659999999999966</v>
      </c>
      <c r="U6" s="11">
        <v>3.2789999999999977</v>
      </c>
      <c r="V6" s="11">
        <v>2.2860000000000018</v>
      </c>
      <c r="W6" s="11">
        <v>1.1150000000000004</v>
      </c>
      <c r="X6" s="11">
        <v>1.1379999999999997</v>
      </c>
      <c r="Y6" s="11">
        <v>1.1599999999999979</v>
      </c>
      <c r="Z6" s="11">
        <v>1.1909999999999987</v>
      </c>
      <c r="AA6" s="11">
        <v>1.2129999999999992</v>
      </c>
      <c r="AB6" s="11">
        <v>1.2120000000000004</v>
      </c>
      <c r="AC6" s="11">
        <v>1.2130000000000012</v>
      </c>
      <c r="AD6" s="11">
        <v>1.2119999999999982</v>
      </c>
      <c r="AE6" s="11">
        <v>1.2119999999999995</v>
      </c>
      <c r="AF6" s="11">
        <v>1.2100000000000029</v>
      </c>
      <c r="AG6" s="11">
        <v>1.2119999999999971</v>
      </c>
      <c r="AH6" s="11">
        <v>1.213000000000001</v>
      </c>
      <c r="AI6" s="11">
        <v>1.2140000000000029</v>
      </c>
      <c r="AJ6" s="11">
        <v>1.2150000000000016</v>
      </c>
      <c r="AK6" s="172">
        <v>1.2150000000000003</v>
      </c>
      <c r="AL6" s="11">
        <v>1.214999999999997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83" t="str">
        <f>'Ind T4'!A9</f>
        <v>Mining and quarrying</v>
      </c>
      <c r="M7" s="11">
        <v>5.7999999999999989E-2</v>
      </c>
      <c r="N7" s="11">
        <v>2.199999999999995E-2</v>
      </c>
      <c r="O7" s="11">
        <v>0.37600000000000039</v>
      </c>
      <c r="P7" s="11">
        <v>0</v>
      </c>
      <c r="Q7" s="11">
        <v>1.0000000000000002E-2</v>
      </c>
      <c r="R7" s="11">
        <v>0.16200000000000025</v>
      </c>
      <c r="S7" s="11">
        <v>0</v>
      </c>
      <c r="T7" s="11">
        <v>2.3999999999999942E-2</v>
      </c>
      <c r="U7" s="11">
        <v>0.23600000000000002</v>
      </c>
      <c r="V7" s="11">
        <v>0.14499999999999991</v>
      </c>
      <c r="W7" s="11">
        <v>0.15500000000000022</v>
      </c>
      <c r="X7" s="11">
        <v>0.14199999999999968</v>
      </c>
      <c r="Y7" s="11">
        <v>0.13600000000000037</v>
      </c>
      <c r="Z7" s="11">
        <v>0.126</v>
      </c>
      <c r="AA7" s="11">
        <v>0.11700000000000006</v>
      </c>
      <c r="AB7" s="11">
        <v>0.10899999999999997</v>
      </c>
      <c r="AC7" s="11">
        <v>0.10200000000000015</v>
      </c>
      <c r="AD7" s="11">
        <v>9.5999999999999808E-2</v>
      </c>
      <c r="AE7" s="11">
        <v>9.0999999999999928E-2</v>
      </c>
      <c r="AF7" s="11">
        <v>8.5999999999999993E-2</v>
      </c>
      <c r="AG7" s="11">
        <v>8.0999999999999767E-2</v>
      </c>
      <c r="AH7" s="11">
        <v>7.7000000000000124E-2</v>
      </c>
      <c r="AI7" s="11">
        <v>7.3000000000000093E-2</v>
      </c>
      <c r="AJ7" s="11">
        <v>6.9000000000000117E-2</v>
      </c>
      <c r="AK7" s="172">
        <v>6.5999999999999989E-2</v>
      </c>
      <c r="AL7" s="11">
        <v>6.2999999999999945E-2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83" t="str">
        <f>'Ind T4'!A10</f>
        <v>Electricity and gas</v>
      </c>
      <c r="M8" s="11">
        <v>5.7300000000000155</v>
      </c>
      <c r="N8" s="11">
        <v>5.0710000000000006</v>
      </c>
      <c r="O8" s="11">
        <v>5.1229999999999993</v>
      </c>
      <c r="P8" s="11">
        <v>5.0430000000000064</v>
      </c>
      <c r="Q8" s="11">
        <v>4.8650000000000029</v>
      </c>
      <c r="R8" s="11">
        <v>5.225000000000005</v>
      </c>
      <c r="S8" s="11">
        <v>5.6549999999999923</v>
      </c>
      <c r="T8" s="11">
        <v>5.4660000000000153</v>
      </c>
      <c r="U8" s="11">
        <v>2.0090000000000008</v>
      </c>
      <c r="V8" s="11">
        <v>1.7090000000000003</v>
      </c>
      <c r="W8" s="11">
        <v>1.9709999999999988</v>
      </c>
      <c r="X8" s="11">
        <v>1.9319999999999993</v>
      </c>
      <c r="Y8" s="11">
        <v>1.8809999999999987</v>
      </c>
      <c r="Z8" s="11">
        <v>1.8669999999999993</v>
      </c>
      <c r="AA8" s="11">
        <v>1.860999999999998</v>
      </c>
      <c r="AB8" s="11">
        <v>1.8559999999999983</v>
      </c>
      <c r="AC8" s="11">
        <v>1.8499999999999959</v>
      </c>
      <c r="AD8" s="11">
        <v>1.8449999999999964</v>
      </c>
      <c r="AE8" s="11">
        <v>1.8389999999999975</v>
      </c>
      <c r="AF8" s="11">
        <v>1.8349999999999949</v>
      </c>
      <c r="AG8" s="11">
        <v>1.8310000000000013</v>
      </c>
      <c r="AH8" s="11">
        <v>1.828000000000003</v>
      </c>
      <c r="AI8" s="11">
        <v>1.826000000000001</v>
      </c>
      <c r="AJ8" s="11">
        <v>1.8229999999999993</v>
      </c>
      <c r="AK8" s="172">
        <v>1.8199999999999996</v>
      </c>
      <c r="AL8" s="11">
        <v>1.8180000000000041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83" t="str">
        <f>'Ind T4'!A11</f>
        <v>Water and sewerage</v>
      </c>
      <c r="M9" s="11">
        <v>4.1119999999999974</v>
      </c>
      <c r="N9" s="11">
        <v>3.8409999999999953</v>
      </c>
      <c r="O9" s="11">
        <v>3.6850000000000072</v>
      </c>
      <c r="P9" s="11">
        <v>2.9519999999999964</v>
      </c>
      <c r="Q9" s="11">
        <v>4.0239999999999956</v>
      </c>
      <c r="R9" s="11">
        <v>4.3319999999999785</v>
      </c>
      <c r="S9" s="11">
        <v>3.6979999999999982</v>
      </c>
      <c r="T9" s="11">
        <v>4.2409999999999961</v>
      </c>
      <c r="U9" s="11">
        <v>4.3959999999999928</v>
      </c>
      <c r="V9" s="11">
        <v>4.4060000000000006</v>
      </c>
      <c r="W9" s="11">
        <v>3.8029999999999959</v>
      </c>
      <c r="X9" s="11">
        <v>3.6980000000000031</v>
      </c>
      <c r="Y9" s="11">
        <v>3.6619999999999968</v>
      </c>
      <c r="Z9" s="11">
        <v>3.6900000000000115</v>
      </c>
      <c r="AA9" s="11">
        <v>3.8350000000000071</v>
      </c>
      <c r="AB9" s="11">
        <v>3.9129999999999989</v>
      </c>
      <c r="AC9" s="11">
        <v>3.9670000000000063</v>
      </c>
      <c r="AD9" s="11">
        <v>4.0009999999999959</v>
      </c>
      <c r="AE9" s="11">
        <v>4.0210000000000097</v>
      </c>
      <c r="AF9" s="11">
        <v>4.033000000000019</v>
      </c>
      <c r="AG9" s="11">
        <v>4.0399999999999956</v>
      </c>
      <c r="AH9" s="11">
        <v>4.0449999999999982</v>
      </c>
      <c r="AI9" s="11">
        <v>4.0470000000000033</v>
      </c>
      <c r="AJ9" s="11">
        <v>4.0479999999999965</v>
      </c>
      <c r="AK9" s="172">
        <v>4.049000000000003</v>
      </c>
      <c r="AL9" s="11">
        <v>4.0479999999999894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69.248999999999938</v>
      </c>
      <c r="N11" s="11">
        <f t="shared" si="2"/>
        <v>70.261999999999986</v>
      </c>
      <c r="O11" s="11">
        <f t="shared" si="2"/>
        <v>69.719000000000122</v>
      </c>
      <c r="P11" s="11">
        <f t="shared" si="2"/>
        <v>69.69699999999996</v>
      </c>
      <c r="Q11" s="11">
        <f t="shared" si="2"/>
        <v>70.717999999999705</v>
      </c>
      <c r="R11" s="11">
        <f t="shared" ref="R11" si="3">SUM(R12:R14)</f>
        <v>68.65899999999985</v>
      </c>
      <c r="S11" s="11">
        <f t="shared" ref="S11" si="4">SUM(S12:S14)</f>
        <v>65.025999999999698</v>
      </c>
      <c r="T11" s="11">
        <f t="shared" ref="T11" si="5">SUM(T12:T14)</f>
        <v>65.682000000000116</v>
      </c>
      <c r="U11" s="11">
        <f t="shared" ref="U11" si="6">SUM(U12:U14)</f>
        <v>67.220000000000041</v>
      </c>
      <c r="V11" s="11">
        <f t="shared" ref="V11" si="7">SUM(V12:V14)</f>
        <v>69.284999999999911</v>
      </c>
      <c r="W11" s="11">
        <f t="shared" ref="W11" si="8">SUM(W12:W14)</f>
        <v>63.879000000000048</v>
      </c>
      <c r="X11" s="11">
        <f t="shared" ref="X11" si="9">SUM(X12:X14)</f>
        <v>65.001999999999924</v>
      </c>
      <c r="Y11" s="11">
        <f t="shared" ref="Y11" si="10">SUM(Y12:Y14)</f>
        <v>64.118000000000109</v>
      </c>
      <c r="Z11" s="11">
        <f t="shared" ref="Z11" si="11">SUM(Z12:Z14)</f>
        <v>63.464999999999776</v>
      </c>
      <c r="AA11" s="11">
        <f t="shared" ref="AA11" si="12">SUM(AA12:AA14)</f>
        <v>63.086999999999946</v>
      </c>
      <c r="AB11" s="11">
        <f t="shared" ref="AB11" si="13">SUM(AB12:AB14)</f>
        <v>62.48700000000003</v>
      </c>
      <c r="AC11" s="11">
        <f t="shared" ref="AC11" si="14">SUM(AC12:AC14)</f>
        <v>61.830000000000027</v>
      </c>
      <c r="AD11" s="11">
        <f>SUM(AD12:AD14)</f>
        <v>61.143999999999942</v>
      </c>
      <c r="AE11" s="11">
        <f t="shared" ref="AE11" si="15">SUM(AE12:AE14)</f>
        <v>60.486999999999902</v>
      </c>
      <c r="AF11" s="11">
        <f t="shared" ref="AF11" si="16">SUM(AF12:AF14)</f>
        <v>59.863000000000113</v>
      </c>
      <c r="AG11" s="11">
        <f t="shared" ref="AG11:AL11" si="17">SUM(AG12:AG14)</f>
        <v>59.328999999999908</v>
      </c>
      <c r="AH11" s="11">
        <f t="shared" si="17"/>
        <v>58.786999999999864</v>
      </c>
      <c r="AI11" s="11">
        <f t="shared" si="17"/>
        <v>58.272999999999897</v>
      </c>
      <c r="AJ11" s="11">
        <f t="shared" si="17"/>
        <v>57.784999999999947</v>
      </c>
      <c r="AK11" s="11">
        <f t="shared" si="17"/>
        <v>57.322999999999844</v>
      </c>
      <c r="AL11" s="11">
        <f t="shared" si="17"/>
        <v>56.889999999999958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83" t="str">
        <f>'Ind T4'!A14</f>
        <v>Food drink and tobacco</v>
      </c>
      <c r="M12" s="11">
        <v>6.2319999999999949</v>
      </c>
      <c r="N12" s="11">
        <v>6.305000000000013</v>
      </c>
      <c r="O12" s="11">
        <v>6.2099999999999893</v>
      </c>
      <c r="P12" s="11">
        <v>6.3400000000000167</v>
      </c>
      <c r="Q12" s="11">
        <v>7.092000000000005</v>
      </c>
      <c r="R12" s="11">
        <v>7.0119999999999845</v>
      </c>
      <c r="S12" s="11">
        <v>7.2139999999999747</v>
      </c>
      <c r="T12" s="11">
        <v>6.3239999999999794</v>
      </c>
      <c r="U12" s="11">
        <v>6.2050000000000045</v>
      </c>
      <c r="V12" s="11">
        <v>6.3419999999999961</v>
      </c>
      <c r="W12" s="11">
        <v>6.2970000000000033</v>
      </c>
      <c r="X12" s="11">
        <v>6.3039999999999976</v>
      </c>
      <c r="Y12" s="11">
        <v>6.3139999999999761</v>
      </c>
      <c r="Z12" s="11">
        <v>6.353999999999993</v>
      </c>
      <c r="AA12" s="11">
        <v>6.356000000000007</v>
      </c>
      <c r="AB12" s="11">
        <v>6.3359999999999985</v>
      </c>
      <c r="AC12" s="11">
        <v>6.3270000000000071</v>
      </c>
      <c r="AD12" s="11">
        <v>6.3149999999999995</v>
      </c>
      <c r="AE12" s="11">
        <v>6.3009999999999824</v>
      </c>
      <c r="AF12" s="11">
        <v>6.284999999999985</v>
      </c>
      <c r="AG12" s="11">
        <v>6.2710000000000186</v>
      </c>
      <c r="AH12" s="11">
        <v>6.2559999999999842</v>
      </c>
      <c r="AI12" s="11">
        <v>6.2400000000000073</v>
      </c>
      <c r="AJ12" s="11">
        <v>6.2239999999999966</v>
      </c>
      <c r="AK12" s="172">
        <v>6.2070000000000025</v>
      </c>
      <c r="AL12" s="11">
        <v>6.1889999999999805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83" t="str">
        <f>'Ind T4'!A15</f>
        <v>Engineering</v>
      </c>
      <c r="M13" s="11">
        <v>8.2020000000000088</v>
      </c>
      <c r="N13" s="11">
        <v>10.241999999999987</v>
      </c>
      <c r="O13" s="11">
        <v>8.9029999999999987</v>
      </c>
      <c r="P13" s="11">
        <v>7.9330000000000034</v>
      </c>
      <c r="Q13" s="11">
        <v>7.841000000000002</v>
      </c>
      <c r="R13" s="11">
        <v>6.9600000000000088</v>
      </c>
      <c r="S13" s="11">
        <v>7.6329999999999911</v>
      </c>
      <c r="T13" s="11">
        <v>7.886000000000009</v>
      </c>
      <c r="U13" s="11">
        <v>8.3750000000000338</v>
      </c>
      <c r="V13" s="11">
        <v>8.166999999999998</v>
      </c>
      <c r="W13" s="11">
        <v>7.4149999999999814</v>
      </c>
      <c r="X13" s="11">
        <v>7.7769999999999984</v>
      </c>
      <c r="Y13" s="11">
        <v>7.7420000000000035</v>
      </c>
      <c r="Z13" s="11">
        <v>7.8459999999999859</v>
      </c>
      <c r="AA13" s="11">
        <v>7.8789999999999889</v>
      </c>
      <c r="AB13" s="11">
        <v>7.8680000000000101</v>
      </c>
      <c r="AC13" s="11">
        <v>7.7870000000000106</v>
      </c>
      <c r="AD13" s="11">
        <v>7.7049999999999912</v>
      </c>
      <c r="AE13" s="11">
        <v>7.6230000000000153</v>
      </c>
      <c r="AF13" s="11">
        <v>7.5419999999999936</v>
      </c>
      <c r="AG13" s="11">
        <v>7.4719999999999809</v>
      </c>
      <c r="AH13" s="11">
        <v>7.3980000000000015</v>
      </c>
      <c r="AI13" s="11">
        <v>7.3219999999999823</v>
      </c>
      <c r="AJ13" s="11">
        <v>7.2450000000000063</v>
      </c>
      <c r="AK13" s="172">
        <v>7.1680000000000055</v>
      </c>
      <c r="AL13" s="11">
        <v>7.0909999999999993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83" t="str">
        <f>'Ind T4'!A16</f>
        <v>Rest of manufacturing</v>
      </c>
      <c r="M14" s="11">
        <v>54.814999999999934</v>
      </c>
      <c r="N14" s="11">
        <v>53.714999999999982</v>
      </c>
      <c r="O14" s="11">
        <v>54.60600000000013</v>
      </c>
      <c r="P14" s="11">
        <v>55.423999999999943</v>
      </c>
      <c r="Q14" s="11">
        <v>55.784999999999698</v>
      </c>
      <c r="R14" s="11">
        <v>54.686999999999863</v>
      </c>
      <c r="S14" s="11">
        <v>50.178999999999732</v>
      </c>
      <c r="T14" s="11">
        <v>51.472000000000129</v>
      </c>
      <c r="U14" s="11">
        <v>52.64</v>
      </c>
      <c r="V14" s="11">
        <v>54.775999999999925</v>
      </c>
      <c r="W14" s="11">
        <v>50.167000000000066</v>
      </c>
      <c r="X14" s="11">
        <v>50.920999999999921</v>
      </c>
      <c r="Y14" s="11">
        <v>50.062000000000126</v>
      </c>
      <c r="Z14" s="11">
        <v>49.264999999999795</v>
      </c>
      <c r="AA14" s="11">
        <v>48.851999999999954</v>
      </c>
      <c r="AB14" s="11">
        <v>48.283000000000023</v>
      </c>
      <c r="AC14" s="11">
        <v>47.716000000000008</v>
      </c>
      <c r="AD14" s="11">
        <v>47.123999999999953</v>
      </c>
      <c r="AE14" s="11">
        <v>46.562999999999903</v>
      </c>
      <c r="AF14" s="11">
        <v>46.036000000000136</v>
      </c>
      <c r="AG14" s="11">
        <v>45.585999999999906</v>
      </c>
      <c r="AH14" s="11">
        <v>45.132999999999882</v>
      </c>
      <c r="AI14" s="11">
        <v>44.710999999999906</v>
      </c>
      <c r="AJ14" s="11">
        <v>44.315999999999946</v>
      </c>
      <c r="AK14" s="172">
        <v>43.947999999999837</v>
      </c>
      <c r="AL14" s="11">
        <v>43.609999999999978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35.561</v>
      </c>
      <c r="N16" s="11">
        <v>32.781000000000013</v>
      </c>
      <c r="O16" s="11">
        <v>32.984000000000016</v>
      </c>
      <c r="P16" s="11">
        <v>31.037999999999954</v>
      </c>
      <c r="Q16" s="11">
        <v>27.869999999999987</v>
      </c>
      <c r="R16" s="11">
        <v>31.762999999999966</v>
      </c>
      <c r="S16" s="11">
        <v>29.73800000000001</v>
      </c>
      <c r="T16" s="11">
        <v>30.231000000000048</v>
      </c>
      <c r="U16" s="11">
        <v>38.885000000000076</v>
      </c>
      <c r="V16" s="11">
        <v>39.074999999999896</v>
      </c>
      <c r="W16" s="11">
        <v>37.014999999999908</v>
      </c>
      <c r="X16" s="11">
        <v>36.344999999999956</v>
      </c>
      <c r="Y16" s="11">
        <v>36.402999999999899</v>
      </c>
      <c r="Z16" s="11">
        <v>36.59600000000006</v>
      </c>
      <c r="AA16" s="11">
        <v>36.788000000000018</v>
      </c>
      <c r="AB16" s="11">
        <v>36.903999999999947</v>
      </c>
      <c r="AC16" s="11">
        <v>36.983999999999952</v>
      </c>
      <c r="AD16" s="11">
        <v>36.986999999999902</v>
      </c>
      <c r="AE16" s="11">
        <v>37.025000000000055</v>
      </c>
      <c r="AF16" s="11">
        <v>37.043999999999997</v>
      </c>
      <c r="AG16" s="11">
        <v>37.100999999999992</v>
      </c>
      <c r="AH16" s="11">
        <v>37.162999999999862</v>
      </c>
      <c r="AI16" s="11">
        <v>37.230000000000132</v>
      </c>
      <c r="AJ16" s="11">
        <v>37.301999999999929</v>
      </c>
      <c r="AK16" s="172">
        <v>37.374999999999964</v>
      </c>
      <c r="AL16" s="11">
        <v>37.449999999999925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132.35200000000003</v>
      </c>
      <c r="N18" s="11">
        <f t="shared" ref="N18:AL18" si="18">SUM(N19:N21)</f>
        <v>128.18300000000002</v>
      </c>
      <c r="O18" s="11">
        <f t="shared" si="18"/>
        <v>136.41099999999994</v>
      </c>
      <c r="P18" s="11">
        <f t="shared" si="18"/>
        <v>134.39599999999984</v>
      </c>
      <c r="Q18" s="11">
        <f t="shared" si="18"/>
        <v>140.59800000000018</v>
      </c>
      <c r="R18" s="11">
        <f t="shared" si="18"/>
        <v>147.42899999999986</v>
      </c>
      <c r="S18" s="11">
        <f t="shared" si="18"/>
        <v>144.13500000000008</v>
      </c>
      <c r="T18" s="11">
        <f t="shared" si="18"/>
        <v>146.72099999999983</v>
      </c>
      <c r="U18" s="11">
        <f t="shared" si="18"/>
        <v>145.82500000000005</v>
      </c>
      <c r="V18" s="11">
        <f t="shared" si="18"/>
        <v>146.70800000000003</v>
      </c>
      <c r="W18" s="11">
        <f t="shared" si="18"/>
        <v>144.72400000000016</v>
      </c>
      <c r="X18" s="11">
        <f t="shared" si="18"/>
        <v>146.4140000000001</v>
      </c>
      <c r="Y18" s="11">
        <f t="shared" si="18"/>
        <v>147.57999999999993</v>
      </c>
      <c r="Z18" s="11">
        <f t="shared" si="18"/>
        <v>148.35900000000018</v>
      </c>
      <c r="AA18" s="11">
        <f t="shared" si="18"/>
        <v>149.1609999999998</v>
      </c>
      <c r="AB18" s="11">
        <f t="shared" si="18"/>
        <v>150.0100000000003</v>
      </c>
      <c r="AC18" s="11">
        <f t="shared" si="18"/>
        <v>150.70099999999982</v>
      </c>
      <c r="AD18" s="11">
        <f t="shared" si="18"/>
        <v>151.33300000000011</v>
      </c>
      <c r="AE18" s="11">
        <f t="shared" si="18"/>
        <v>151.92899999999972</v>
      </c>
      <c r="AF18" s="11">
        <f t="shared" si="18"/>
        <v>152.50600000000034</v>
      </c>
      <c r="AG18" s="11">
        <f t="shared" si="18"/>
        <v>153.10400000000013</v>
      </c>
      <c r="AH18" s="11">
        <f t="shared" si="18"/>
        <v>153.69199999999998</v>
      </c>
      <c r="AI18" s="11">
        <f t="shared" si="18"/>
        <v>154.26700000000017</v>
      </c>
      <c r="AJ18" s="11">
        <f t="shared" si="18"/>
        <v>154.84799999999981</v>
      </c>
      <c r="AK18" s="11">
        <f t="shared" si="18"/>
        <v>155.40800000000007</v>
      </c>
      <c r="AL18" s="11">
        <f t="shared" si="18"/>
        <v>155.9559999999997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83" t="str">
        <f>'Ind T4'!A21</f>
        <v>Wholesale and retail trade</v>
      </c>
      <c r="M19" s="11">
        <v>90.263000000000005</v>
      </c>
      <c r="N19" s="11">
        <v>87.678999999999959</v>
      </c>
      <c r="O19" s="11">
        <v>89.740999999999843</v>
      </c>
      <c r="P19" s="11">
        <v>91.666999999999916</v>
      </c>
      <c r="Q19" s="11">
        <v>92.72600000000017</v>
      </c>
      <c r="R19" s="11">
        <v>92.065999999999903</v>
      </c>
      <c r="S19" s="11">
        <v>90.358999999999952</v>
      </c>
      <c r="T19" s="11">
        <v>91.593999999999909</v>
      </c>
      <c r="U19" s="11">
        <v>90.236000000000004</v>
      </c>
      <c r="V19" s="11">
        <v>88.56</v>
      </c>
      <c r="W19" s="11">
        <v>87.074000000000183</v>
      </c>
      <c r="X19" s="11">
        <v>87.469000000000094</v>
      </c>
      <c r="Y19" s="11">
        <v>87.57199999999996</v>
      </c>
      <c r="Z19" s="11">
        <v>87.586000000000254</v>
      </c>
      <c r="AA19" s="11">
        <v>87.716999999999985</v>
      </c>
      <c r="AB19" s="11">
        <v>87.879000000000161</v>
      </c>
      <c r="AC19" s="11">
        <v>87.973999999999819</v>
      </c>
      <c r="AD19" s="11">
        <v>88.053000000000054</v>
      </c>
      <c r="AE19" s="11">
        <v>88.124999999999716</v>
      </c>
      <c r="AF19" s="11">
        <v>88.194000000000216</v>
      </c>
      <c r="AG19" s="11">
        <v>88.283000000000072</v>
      </c>
      <c r="AH19" s="11">
        <v>88.380999999999958</v>
      </c>
      <c r="AI19" s="11">
        <v>88.480000000000089</v>
      </c>
      <c r="AJ19" s="11">
        <v>88.603999999999843</v>
      </c>
      <c r="AK19" s="172">
        <v>88.722999999999985</v>
      </c>
      <c r="AL19" s="11">
        <v>88.842999999999677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83" t="str">
        <f>'Ind T4'!A22</f>
        <v>Transport and storage</v>
      </c>
      <c r="M20" s="11">
        <v>22.520000000000007</v>
      </c>
      <c r="N20" s="11">
        <v>21.381000000000057</v>
      </c>
      <c r="O20" s="11">
        <v>27.172000000000054</v>
      </c>
      <c r="P20" s="11">
        <v>23.774999999999917</v>
      </c>
      <c r="Q20" s="11">
        <v>25.930000000000003</v>
      </c>
      <c r="R20" s="11">
        <v>33.456999999999994</v>
      </c>
      <c r="S20" s="11">
        <v>31.619000000000135</v>
      </c>
      <c r="T20" s="11">
        <v>30.200999999999915</v>
      </c>
      <c r="U20" s="11">
        <v>32.647000000000006</v>
      </c>
      <c r="V20" s="11">
        <v>34.173000000000059</v>
      </c>
      <c r="W20" s="11">
        <v>32.947999999999944</v>
      </c>
      <c r="X20" s="11">
        <v>35.003000000000036</v>
      </c>
      <c r="Y20" s="11">
        <v>35.118000000000016</v>
      </c>
      <c r="Z20" s="11">
        <v>35.410999999999959</v>
      </c>
      <c r="AA20" s="11">
        <v>35.739999999999817</v>
      </c>
      <c r="AB20" s="11">
        <v>35.964000000000077</v>
      </c>
      <c r="AC20" s="11">
        <v>36.150000000000048</v>
      </c>
      <c r="AD20" s="11">
        <v>36.331000000000053</v>
      </c>
      <c r="AE20" s="11">
        <v>36.508000000000052</v>
      </c>
      <c r="AF20" s="11">
        <v>36.686000000000057</v>
      </c>
      <c r="AG20" s="11">
        <v>36.874000000000045</v>
      </c>
      <c r="AH20" s="11">
        <v>37.052999999999955</v>
      </c>
      <c r="AI20" s="11">
        <v>37.232000000000085</v>
      </c>
      <c r="AJ20" s="11">
        <v>37.408000000000008</v>
      </c>
      <c r="AK20" s="172">
        <v>37.583999999999968</v>
      </c>
      <c r="AL20" s="11">
        <v>37.761000000000067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83" t="str">
        <f>'Ind T4'!A23</f>
        <v>Accommodation and food</v>
      </c>
      <c r="M21" s="11">
        <v>19.56900000000001</v>
      </c>
      <c r="N21" s="11">
        <v>19.123000000000005</v>
      </c>
      <c r="O21" s="11">
        <v>19.498000000000033</v>
      </c>
      <c r="P21" s="11">
        <v>18.954000000000022</v>
      </c>
      <c r="Q21" s="11">
        <v>21.942000000000007</v>
      </c>
      <c r="R21" s="11">
        <v>21.905999999999963</v>
      </c>
      <c r="S21" s="11">
        <v>22.156999999999986</v>
      </c>
      <c r="T21" s="11">
        <v>24.926000000000013</v>
      </c>
      <c r="U21" s="11">
        <v>22.942000000000025</v>
      </c>
      <c r="V21" s="11">
        <v>23.974999999999959</v>
      </c>
      <c r="W21" s="11">
        <v>24.702000000000027</v>
      </c>
      <c r="X21" s="11">
        <v>23.941999999999975</v>
      </c>
      <c r="Y21" s="11">
        <v>24.889999999999944</v>
      </c>
      <c r="Z21" s="11">
        <v>25.361999999999977</v>
      </c>
      <c r="AA21" s="11">
        <v>25.704000000000018</v>
      </c>
      <c r="AB21" s="11">
        <v>26.167000000000062</v>
      </c>
      <c r="AC21" s="11">
        <v>26.576999999999945</v>
      </c>
      <c r="AD21" s="11">
        <v>26.949000000000005</v>
      </c>
      <c r="AE21" s="11">
        <v>27.29599999999996</v>
      </c>
      <c r="AF21" s="11">
        <v>27.626000000000055</v>
      </c>
      <c r="AG21" s="11">
        <v>27.946999999999996</v>
      </c>
      <c r="AH21" s="11">
        <v>28.258000000000063</v>
      </c>
      <c r="AI21" s="11">
        <v>28.554999999999993</v>
      </c>
      <c r="AJ21" s="11">
        <v>28.835999999999967</v>
      </c>
      <c r="AK21" s="172">
        <v>29.101000000000113</v>
      </c>
      <c r="AL21" s="11">
        <v>29.351999999999972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107.27299999999991</v>
      </c>
      <c r="N23" s="11">
        <f t="shared" ref="N23:AL23" si="19">SUM(N24:N31)</f>
        <v>106.95200000000004</v>
      </c>
      <c r="O23" s="11">
        <f t="shared" si="19"/>
        <v>106.22899999999987</v>
      </c>
      <c r="P23" s="11">
        <f t="shared" si="19"/>
        <v>106.98700000000002</v>
      </c>
      <c r="Q23" s="11">
        <f t="shared" si="19"/>
        <v>108.05700000000004</v>
      </c>
      <c r="R23" s="11">
        <f t="shared" si="19"/>
        <v>123.34700000000012</v>
      </c>
      <c r="S23" s="11">
        <f t="shared" si="19"/>
        <v>124.83900000000003</v>
      </c>
      <c r="T23" s="11">
        <f t="shared" si="19"/>
        <v>125.38399999999999</v>
      </c>
      <c r="U23" s="11">
        <f t="shared" si="19"/>
        <v>120.73799999999994</v>
      </c>
      <c r="V23" s="11">
        <f t="shared" si="19"/>
        <v>113.62800000000009</v>
      </c>
      <c r="W23" s="11">
        <f t="shared" si="19"/>
        <v>111.41800000000002</v>
      </c>
      <c r="X23" s="11">
        <f t="shared" si="19"/>
        <v>112.06099999999996</v>
      </c>
      <c r="Y23" s="11">
        <f t="shared" si="19"/>
        <v>111.96499999999995</v>
      </c>
      <c r="Z23" s="11">
        <f t="shared" si="19"/>
        <v>112.31400000000011</v>
      </c>
      <c r="AA23" s="11">
        <f t="shared" si="19"/>
        <v>112.88400000000003</v>
      </c>
      <c r="AB23" s="11">
        <f t="shared" si="19"/>
        <v>113.29000000000006</v>
      </c>
      <c r="AC23" s="11">
        <f t="shared" si="19"/>
        <v>113.73899999999995</v>
      </c>
      <c r="AD23" s="11">
        <f t="shared" si="19"/>
        <v>114.17900000000003</v>
      </c>
      <c r="AE23" s="11">
        <f t="shared" si="19"/>
        <v>114.62499999999993</v>
      </c>
      <c r="AF23" s="11">
        <f t="shared" si="19"/>
        <v>115.07700000000006</v>
      </c>
      <c r="AG23" s="11">
        <f t="shared" si="19"/>
        <v>115.55800000000004</v>
      </c>
      <c r="AH23" s="11">
        <f t="shared" si="19"/>
        <v>116.02499999999999</v>
      </c>
      <c r="AI23" s="11">
        <f t="shared" si="19"/>
        <v>116.49899999999981</v>
      </c>
      <c r="AJ23" s="11">
        <f t="shared" si="19"/>
        <v>116.97199999999998</v>
      </c>
      <c r="AK23" s="11">
        <f t="shared" si="19"/>
        <v>117.44199999999988</v>
      </c>
      <c r="AL23" s="11">
        <f t="shared" si="19"/>
        <v>117.91199999999999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83" t="str">
        <f>'Ind T4'!A26</f>
        <v>Media</v>
      </c>
      <c r="M24" s="11">
        <v>2.1739999999999959</v>
      </c>
      <c r="N24" s="11">
        <v>1.526999999999999</v>
      </c>
      <c r="O24" s="11">
        <v>1.5420000000000011</v>
      </c>
      <c r="P24" s="11">
        <v>1.586000000000001</v>
      </c>
      <c r="Q24" s="11">
        <v>2.11</v>
      </c>
      <c r="R24" s="11">
        <v>1.7079999999999989</v>
      </c>
      <c r="S24" s="11">
        <v>1.3409999999999966</v>
      </c>
      <c r="T24" s="11">
        <v>1.5949999999999995</v>
      </c>
      <c r="U24" s="11">
        <v>1.4139999999999981</v>
      </c>
      <c r="V24" s="11">
        <v>1.8249999999999982</v>
      </c>
      <c r="W24" s="11">
        <v>2.1099999999999994</v>
      </c>
      <c r="X24" s="11">
        <v>2.089000000000004</v>
      </c>
      <c r="Y24" s="11">
        <v>2.0829999999999962</v>
      </c>
      <c r="Z24" s="11">
        <v>2.0760000000000014</v>
      </c>
      <c r="AA24" s="11">
        <v>2.0720000000000014</v>
      </c>
      <c r="AB24" s="11">
        <v>2.0780000000000038</v>
      </c>
      <c r="AC24" s="11">
        <v>2.081</v>
      </c>
      <c r="AD24" s="11">
        <v>2.0840000000000001</v>
      </c>
      <c r="AE24" s="11">
        <v>2.0870000000000024</v>
      </c>
      <c r="AF24" s="11">
        <v>2.0899999999999981</v>
      </c>
      <c r="AG24" s="11">
        <v>2.0930000000000013</v>
      </c>
      <c r="AH24" s="11">
        <v>2.0950000000000029</v>
      </c>
      <c r="AI24" s="11">
        <v>2.0980000000000043</v>
      </c>
      <c r="AJ24" s="11">
        <v>2.101</v>
      </c>
      <c r="AK24" s="172">
        <v>2.1039999999999992</v>
      </c>
      <c r="AL24" s="11">
        <v>2.105999999999995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83" t="str">
        <f>'Ind T4'!A27</f>
        <v>Information technology</v>
      </c>
      <c r="M25" s="11">
        <v>7.0789999999999971</v>
      </c>
      <c r="N25" s="11">
        <v>5.9140000000000024</v>
      </c>
      <c r="O25" s="11">
        <v>6.4789999999999983</v>
      </c>
      <c r="P25" s="11">
        <v>6.3760000000000039</v>
      </c>
      <c r="Q25" s="11">
        <v>5.8740000000000068</v>
      </c>
      <c r="R25" s="11">
        <v>6.5380000000000287</v>
      </c>
      <c r="S25" s="11">
        <v>7.5250000000000181</v>
      </c>
      <c r="T25" s="11">
        <v>7.0699999999999896</v>
      </c>
      <c r="U25" s="11">
        <v>7.0200000000000227</v>
      </c>
      <c r="V25" s="11">
        <v>6.394000000000017</v>
      </c>
      <c r="W25" s="11">
        <v>6.8729999999999887</v>
      </c>
      <c r="X25" s="11">
        <v>6.9720000000000208</v>
      </c>
      <c r="Y25" s="11">
        <v>6.9980000000000002</v>
      </c>
      <c r="Z25" s="11">
        <v>7.0639999999999921</v>
      </c>
      <c r="AA25" s="11">
        <v>7.1130000000000271</v>
      </c>
      <c r="AB25" s="11">
        <v>7.1499999999999702</v>
      </c>
      <c r="AC25" s="11">
        <v>7.1830000000000007</v>
      </c>
      <c r="AD25" s="11">
        <v>7.2099999999999804</v>
      </c>
      <c r="AE25" s="11">
        <v>7.2339999999999813</v>
      </c>
      <c r="AF25" s="11">
        <v>7.258000000000016</v>
      </c>
      <c r="AG25" s="11">
        <v>7.2839999999999945</v>
      </c>
      <c r="AH25" s="11">
        <v>7.3080000000000087</v>
      </c>
      <c r="AI25" s="11">
        <v>7.3309999999999649</v>
      </c>
      <c r="AJ25" s="11">
        <v>7.352999999999998</v>
      </c>
      <c r="AK25" s="172">
        <v>7.3720000000000203</v>
      </c>
      <c r="AL25" s="11">
        <v>7.3899999999999935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83" t="str">
        <f>'Ind T4'!A28</f>
        <v>Finance and insurance</v>
      </c>
      <c r="M26" s="11">
        <v>12.460000000000008</v>
      </c>
      <c r="N26" s="11">
        <v>9.9720000000000102</v>
      </c>
      <c r="O26" s="11">
        <v>8.5779999999999959</v>
      </c>
      <c r="P26" s="11">
        <v>10.250000000000009</v>
      </c>
      <c r="Q26" s="11">
        <v>9.2219999999999747</v>
      </c>
      <c r="R26" s="11">
        <v>10.219000000000021</v>
      </c>
      <c r="S26" s="11">
        <v>8.9610000000000305</v>
      </c>
      <c r="T26" s="11">
        <v>9.4130000000000003</v>
      </c>
      <c r="U26" s="11">
        <v>10.077999999999998</v>
      </c>
      <c r="V26" s="11">
        <v>10.284000000000029</v>
      </c>
      <c r="W26" s="11">
        <v>10.441000000000011</v>
      </c>
      <c r="X26" s="11">
        <v>10.659999999999984</v>
      </c>
      <c r="Y26" s="11">
        <v>10.619999999999989</v>
      </c>
      <c r="Z26" s="11">
        <v>10.572000000000012</v>
      </c>
      <c r="AA26" s="11">
        <v>10.502000000000006</v>
      </c>
      <c r="AB26" s="11">
        <v>10.453999999999997</v>
      </c>
      <c r="AC26" s="11">
        <v>10.419000000000006</v>
      </c>
      <c r="AD26" s="11">
        <v>10.382</v>
      </c>
      <c r="AE26" s="11">
        <v>10.34499999999996</v>
      </c>
      <c r="AF26" s="11">
        <v>10.306999999999986</v>
      </c>
      <c r="AG26" s="11">
        <v>10.270999999999997</v>
      </c>
      <c r="AH26" s="11">
        <v>10.227000000000009</v>
      </c>
      <c r="AI26" s="11">
        <v>10.183999999999989</v>
      </c>
      <c r="AJ26" s="11">
        <v>10.140000000000008</v>
      </c>
      <c r="AK26" s="172">
        <v>10.096999999999989</v>
      </c>
      <c r="AL26" s="11">
        <v>10.054000000000002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83" t="str">
        <f>'Ind T4'!A29</f>
        <v>Real estate</v>
      </c>
      <c r="M27" s="11">
        <v>7.2259999999999875</v>
      </c>
      <c r="N27" s="11">
        <v>6.3920000000000083</v>
      </c>
      <c r="O27" s="11">
        <v>6.6840000000000011</v>
      </c>
      <c r="P27" s="11">
        <v>7.4509999999999952</v>
      </c>
      <c r="Q27" s="11">
        <v>8.2699999999999942</v>
      </c>
      <c r="R27" s="11">
        <v>7.7230000000000008</v>
      </c>
      <c r="S27" s="11">
        <v>8.453000000000003</v>
      </c>
      <c r="T27" s="11">
        <v>10.059999999999992</v>
      </c>
      <c r="U27" s="11">
        <v>10.287999999999993</v>
      </c>
      <c r="V27" s="11">
        <v>10.185000000000009</v>
      </c>
      <c r="W27" s="11">
        <v>10.240000000000016</v>
      </c>
      <c r="X27" s="11">
        <v>10.218999999999994</v>
      </c>
      <c r="Y27" s="11">
        <v>10.178000000000024</v>
      </c>
      <c r="Z27" s="11">
        <v>10.184999999999993</v>
      </c>
      <c r="AA27" s="11">
        <v>10.24600000000002</v>
      </c>
      <c r="AB27" s="11">
        <v>10.307999999999979</v>
      </c>
      <c r="AC27" s="11">
        <v>10.38799999999998</v>
      </c>
      <c r="AD27" s="11">
        <v>10.477000000000004</v>
      </c>
      <c r="AE27" s="11">
        <v>10.569999999999999</v>
      </c>
      <c r="AF27" s="11">
        <v>10.666000000000002</v>
      </c>
      <c r="AG27" s="11">
        <v>10.761999999999995</v>
      </c>
      <c r="AH27" s="11">
        <v>10.858000000000024</v>
      </c>
      <c r="AI27" s="11">
        <v>10.955000000000005</v>
      </c>
      <c r="AJ27" s="11">
        <v>11.050999999999991</v>
      </c>
      <c r="AK27" s="172">
        <v>11.144999999999996</v>
      </c>
      <c r="AL27" s="11">
        <v>11.238000000000005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83" t="str">
        <f>'Ind T4'!A30</f>
        <v>Professional services</v>
      </c>
      <c r="M28" s="11">
        <v>17.408999999999999</v>
      </c>
      <c r="N28" s="11">
        <v>22.55299999999998</v>
      </c>
      <c r="O28" s="11">
        <v>19.888999999999907</v>
      </c>
      <c r="P28" s="11">
        <v>21.208000000000037</v>
      </c>
      <c r="Q28" s="11">
        <v>23.673999999999968</v>
      </c>
      <c r="R28" s="11">
        <v>28.591999999999977</v>
      </c>
      <c r="S28" s="11">
        <v>24.307000000000031</v>
      </c>
      <c r="T28" s="11">
        <v>23.628999999999962</v>
      </c>
      <c r="U28" s="11">
        <v>26.37699999999997</v>
      </c>
      <c r="V28" s="11">
        <v>24.793999999999993</v>
      </c>
      <c r="W28" s="11">
        <v>24.728999999999964</v>
      </c>
      <c r="X28" s="11">
        <v>25.012000000000008</v>
      </c>
      <c r="Y28" s="11">
        <v>25.118000000000016</v>
      </c>
      <c r="Z28" s="11">
        <v>25.260000000000019</v>
      </c>
      <c r="AA28" s="11">
        <v>25.424999999999958</v>
      </c>
      <c r="AB28" s="11">
        <v>25.556000000000012</v>
      </c>
      <c r="AC28" s="11">
        <v>25.67599999999997</v>
      </c>
      <c r="AD28" s="11">
        <v>25.800000000000011</v>
      </c>
      <c r="AE28" s="11">
        <v>25.92899999999997</v>
      </c>
      <c r="AF28" s="11">
        <v>26.062000000000033</v>
      </c>
      <c r="AG28" s="11">
        <v>26.204000000000018</v>
      </c>
      <c r="AH28" s="11">
        <v>26.341999999999945</v>
      </c>
      <c r="AI28" s="11">
        <v>26.480999999999941</v>
      </c>
      <c r="AJ28" s="11">
        <v>26.618999999999996</v>
      </c>
      <c r="AK28" s="172">
        <v>26.755999999999926</v>
      </c>
      <c r="AL28" s="11">
        <v>26.893000000000079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83" t="str">
        <f>'Ind T4'!A31</f>
        <v>Support services</v>
      </c>
      <c r="M29" s="11">
        <v>38.409999999999947</v>
      </c>
      <c r="N29" s="11">
        <v>38.50600000000005</v>
      </c>
      <c r="O29" s="11">
        <v>41.116999999999983</v>
      </c>
      <c r="P29" s="11">
        <v>37.309999999999974</v>
      </c>
      <c r="Q29" s="11">
        <v>34.943000000000076</v>
      </c>
      <c r="R29" s="11">
        <v>40.241000000000078</v>
      </c>
      <c r="S29" s="11">
        <v>45.658999999999949</v>
      </c>
      <c r="T29" s="11">
        <v>45.498000000000012</v>
      </c>
      <c r="U29" s="11">
        <v>39.043999999999997</v>
      </c>
      <c r="V29" s="11">
        <v>34.294000000000032</v>
      </c>
      <c r="W29" s="11">
        <v>32.168000000000021</v>
      </c>
      <c r="X29" s="11">
        <v>32.616999999999962</v>
      </c>
      <c r="Y29" s="11">
        <v>33.142999999999958</v>
      </c>
      <c r="Z29" s="11">
        <v>33.471000000000082</v>
      </c>
      <c r="AA29" s="11">
        <v>33.689000000000007</v>
      </c>
      <c r="AB29" s="11">
        <v>33.855000000000089</v>
      </c>
      <c r="AC29" s="11">
        <v>34.043999999999954</v>
      </c>
      <c r="AD29" s="11">
        <v>34.229000000000056</v>
      </c>
      <c r="AE29" s="11">
        <v>34.412000000000027</v>
      </c>
      <c r="AF29" s="11">
        <v>34.594999999999978</v>
      </c>
      <c r="AG29" s="11">
        <v>34.783000000000008</v>
      </c>
      <c r="AH29" s="11">
        <v>34.963000000000008</v>
      </c>
      <c r="AI29" s="11">
        <v>35.142999999999944</v>
      </c>
      <c r="AJ29" s="11">
        <v>35.322999999999993</v>
      </c>
      <c r="AK29" s="172">
        <v>35.502999999999943</v>
      </c>
      <c r="AL29" s="11">
        <v>35.682999999999957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83" t="str">
        <f>'Ind T4'!A32</f>
        <v>Arts and entertainment</v>
      </c>
      <c r="M30" s="11">
        <v>11.415999999999986</v>
      </c>
      <c r="N30" s="11">
        <v>9.5530000000000097</v>
      </c>
      <c r="O30" s="11">
        <v>10.447999999999988</v>
      </c>
      <c r="P30" s="11">
        <v>10.337999999999985</v>
      </c>
      <c r="Q30" s="11">
        <v>9.8310000000000048</v>
      </c>
      <c r="R30" s="11">
        <v>11.902000000000012</v>
      </c>
      <c r="S30" s="11">
        <v>10.432000000000016</v>
      </c>
      <c r="T30" s="11">
        <v>10.223000000000013</v>
      </c>
      <c r="U30" s="11">
        <v>9.6130000000000067</v>
      </c>
      <c r="V30" s="11">
        <v>12.170000000000012</v>
      </c>
      <c r="W30" s="11">
        <v>11.910000000000011</v>
      </c>
      <c r="X30" s="11">
        <v>11.759000000000004</v>
      </c>
      <c r="Y30" s="11">
        <v>11.238999999999972</v>
      </c>
      <c r="Z30" s="11">
        <v>11.090000000000012</v>
      </c>
      <c r="AA30" s="11">
        <v>11.218999999999987</v>
      </c>
      <c r="AB30" s="11">
        <v>11.284999999999984</v>
      </c>
      <c r="AC30" s="11">
        <v>11.364999999999998</v>
      </c>
      <c r="AD30" s="11">
        <v>11.432999999999998</v>
      </c>
      <c r="AE30" s="11">
        <v>11.498000000000006</v>
      </c>
      <c r="AF30" s="11">
        <v>11.558000000000023</v>
      </c>
      <c r="AG30" s="11">
        <v>11.620999999999999</v>
      </c>
      <c r="AH30" s="11">
        <v>11.687000000000024</v>
      </c>
      <c r="AI30" s="11">
        <v>11.753999999999994</v>
      </c>
      <c r="AJ30" s="11">
        <v>11.820999999999996</v>
      </c>
      <c r="AK30" s="172">
        <v>11.887000000000006</v>
      </c>
      <c r="AL30" s="11">
        <v>11.952999999999991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83" t="str">
        <f>'Ind T4'!A33</f>
        <v>Other services</v>
      </c>
      <c r="M31" s="11">
        <v>11.099000000000006</v>
      </c>
      <c r="N31" s="11">
        <v>12.534999999999972</v>
      </c>
      <c r="O31" s="11">
        <v>11.491999999999992</v>
      </c>
      <c r="P31" s="11">
        <v>12.468000000000016</v>
      </c>
      <c r="Q31" s="11">
        <v>14.133000000000024</v>
      </c>
      <c r="R31" s="11">
        <v>16.423999999999999</v>
      </c>
      <c r="S31" s="11">
        <v>18.160999999999994</v>
      </c>
      <c r="T31" s="11">
        <v>17.896000000000019</v>
      </c>
      <c r="U31" s="11">
        <v>16.903999999999961</v>
      </c>
      <c r="V31" s="11">
        <v>13.682000000000006</v>
      </c>
      <c r="W31" s="11">
        <v>12.947000000000006</v>
      </c>
      <c r="X31" s="11">
        <v>12.732999999999993</v>
      </c>
      <c r="Y31" s="11">
        <v>12.585999999999977</v>
      </c>
      <c r="Z31" s="11">
        <v>12.595999999999997</v>
      </c>
      <c r="AA31" s="11">
        <v>12.618000000000006</v>
      </c>
      <c r="AB31" s="11">
        <v>12.604000000000022</v>
      </c>
      <c r="AC31" s="11">
        <v>12.583000000000034</v>
      </c>
      <c r="AD31" s="11">
        <v>12.563999999999995</v>
      </c>
      <c r="AE31" s="11">
        <v>12.549999999999978</v>
      </c>
      <c r="AF31" s="11">
        <v>12.541000000000025</v>
      </c>
      <c r="AG31" s="11">
        <v>12.54000000000002</v>
      </c>
      <c r="AH31" s="11">
        <v>12.544999999999979</v>
      </c>
      <c r="AI31" s="11">
        <v>12.552999999999972</v>
      </c>
      <c r="AJ31" s="11">
        <v>12.563999999999995</v>
      </c>
      <c r="AK31" s="172">
        <v>12.578000000000003</v>
      </c>
      <c r="AL31" s="11">
        <v>12.594999999999967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128.03700000000009</v>
      </c>
      <c r="N33" s="11">
        <f t="shared" ref="N33:AK33" si="20">SUM(N34:N36)</f>
        <v>130.02600000000012</v>
      </c>
      <c r="O33" s="11">
        <f t="shared" si="20"/>
        <v>129.16599999999994</v>
      </c>
      <c r="P33" s="11">
        <f t="shared" si="20"/>
        <v>128.71900000000005</v>
      </c>
      <c r="Q33" s="11">
        <f t="shared" si="20"/>
        <v>130.58599999999998</v>
      </c>
      <c r="R33" s="11">
        <f t="shared" si="20"/>
        <v>121.68000000000023</v>
      </c>
      <c r="S33" s="11">
        <f t="shared" si="20"/>
        <v>128.71299999999982</v>
      </c>
      <c r="T33" s="11">
        <f t="shared" si="20"/>
        <v>132.53799999999993</v>
      </c>
      <c r="U33" s="11">
        <f t="shared" si="20"/>
        <v>128.14700000000005</v>
      </c>
      <c r="V33" s="11">
        <f t="shared" si="20"/>
        <v>132.68899999999999</v>
      </c>
      <c r="W33" s="11">
        <f t="shared" si="20"/>
        <v>132.11400000000006</v>
      </c>
      <c r="X33" s="11">
        <f t="shared" si="20"/>
        <v>133.38300000000004</v>
      </c>
      <c r="Y33" s="11">
        <f t="shared" si="20"/>
        <v>134.67399999999992</v>
      </c>
      <c r="Z33" s="11">
        <f t="shared" si="20"/>
        <v>135.84100000000007</v>
      </c>
      <c r="AA33" s="11">
        <f t="shared" si="20"/>
        <v>137.26000000000005</v>
      </c>
      <c r="AB33" s="11">
        <f t="shared" si="20"/>
        <v>138.34700000000004</v>
      </c>
      <c r="AC33" s="11">
        <f t="shared" si="20"/>
        <v>139.17900000000017</v>
      </c>
      <c r="AD33" s="11">
        <f t="shared" si="20"/>
        <v>139.97799999999995</v>
      </c>
      <c r="AE33" s="11">
        <f t="shared" si="20"/>
        <v>140.76899999999995</v>
      </c>
      <c r="AF33" s="11">
        <f t="shared" si="20"/>
        <v>141.56799999999998</v>
      </c>
      <c r="AG33" s="11">
        <f t="shared" si="20"/>
        <v>142.40000000000023</v>
      </c>
      <c r="AH33" s="11">
        <f t="shared" si="20"/>
        <v>143.23300000000009</v>
      </c>
      <c r="AI33" s="11">
        <f t="shared" si="20"/>
        <v>144.0680000000001</v>
      </c>
      <c r="AJ33" s="11">
        <f t="shared" si="20"/>
        <v>144.90499999999997</v>
      </c>
      <c r="AK33" s="11">
        <f t="shared" si="20"/>
        <v>145.74400000000009</v>
      </c>
      <c r="AL33" s="11">
        <f>SUM(AL34:AL36)</f>
        <v>146.59199999999998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83" t="str">
        <f>'Ind T4'!A36</f>
        <v>Public admin. and defence</v>
      </c>
      <c r="M34" s="11">
        <v>18.26199999999999</v>
      </c>
      <c r="N34" s="11">
        <v>17.841000000000058</v>
      </c>
      <c r="O34" s="11">
        <v>19.266000000000009</v>
      </c>
      <c r="P34" s="11">
        <v>18.013999999999974</v>
      </c>
      <c r="Q34" s="11">
        <v>19.508999999999983</v>
      </c>
      <c r="R34" s="11">
        <v>16.002999999999975</v>
      </c>
      <c r="S34" s="11">
        <v>15.483000000000008</v>
      </c>
      <c r="T34" s="11">
        <v>15.782999999999992</v>
      </c>
      <c r="U34" s="11">
        <v>15.80899999999999</v>
      </c>
      <c r="V34" s="11">
        <v>15.454000000000013</v>
      </c>
      <c r="W34" s="11">
        <v>15.280999999999985</v>
      </c>
      <c r="X34" s="11">
        <v>15.059999999999999</v>
      </c>
      <c r="Y34" s="11">
        <v>15.226000000000004</v>
      </c>
      <c r="Z34" s="11">
        <v>15.335999999999983</v>
      </c>
      <c r="AA34" s="11">
        <v>15.471999999999982</v>
      </c>
      <c r="AB34" s="11">
        <v>15.55399999999999</v>
      </c>
      <c r="AC34" s="11">
        <v>15.617000000000004</v>
      </c>
      <c r="AD34" s="11">
        <v>15.683000000000041</v>
      </c>
      <c r="AE34" s="11">
        <v>15.74899999999997</v>
      </c>
      <c r="AF34" s="11">
        <v>15.814999999999996</v>
      </c>
      <c r="AG34" s="11">
        <v>15.882000000000016</v>
      </c>
      <c r="AH34" s="11">
        <v>15.949999999999992</v>
      </c>
      <c r="AI34" s="11">
        <v>16.019999999999996</v>
      </c>
      <c r="AJ34" s="11">
        <v>16.089000000000059</v>
      </c>
      <c r="AK34" s="172">
        <v>16.156999999999961</v>
      </c>
      <c r="AL34" s="11">
        <v>16.224999999999966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83" t="str">
        <f>'Ind T4'!A37</f>
        <v>Education</v>
      </c>
      <c r="M35" s="11">
        <v>44.774000000000044</v>
      </c>
      <c r="N35" s="11">
        <v>46.041000000000039</v>
      </c>
      <c r="O35" s="11">
        <v>42.84099999999993</v>
      </c>
      <c r="P35" s="11">
        <v>43.630000000000074</v>
      </c>
      <c r="Q35" s="11">
        <v>43.495999999999967</v>
      </c>
      <c r="R35" s="11">
        <v>44.810000000000123</v>
      </c>
      <c r="S35" s="11">
        <v>44.828999999999944</v>
      </c>
      <c r="T35" s="11">
        <v>44.91799999999995</v>
      </c>
      <c r="U35" s="11">
        <v>44.049000000000042</v>
      </c>
      <c r="V35" s="11">
        <v>44.405000000000058</v>
      </c>
      <c r="W35" s="11">
        <v>45.063000000000045</v>
      </c>
      <c r="X35" s="11">
        <v>45.227999999999966</v>
      </c>
      <c r="Y35" s="11">
        <v>45.41100000000003</v>
      </c>
      <c r="Z35" s="11">
        <v>45.672000000000018</v>
      </c>
      <c r="AA35" s="11">
        <v>45.97</v>
      </c>
      <c r="AB35" s="11">
        <v>46.277999999999977</v>
      </c>
      <c r="AC35" s="11">
        <v>46.514000000000038</v>
      </c>
      <c r="AD35" s="11">
        <v>46.759000000000007</v>
      </c>
      <c r="AE35" s="11">
        <v>47.013000000000012</v>
      </c>
      <c r="AF35" s="11">
        <v>47.281000000000077</v>
      </c>
      <c r="AG35" s="11">
        <v>47.588000000000143</v>
      </c>
      <c r="AH35" s="11">
        <v>47.899000000000008</v>
      </c>
      <c r="AI35" s="11">
        <v>48.213000000000036</v>
      </c>
      <c r="AJ35" s="11">
        <v>48.528999999999876</v>
      </c>
      <c r="AK35" s="172">
        <v>48.84500000000002</v>
      </c>
      <c r="AL35" s="11">
        <v>49.163999999999959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83" t="str">
        <f>'Ind T4'!A38</f>
        <v>Health and social work</v>
      </c>
      <c r="M36" s="11">
        <v>65.001000000000062</v>
      </c>
      <c r="N36" s="11">
        <v>66.14400000000002</v>
      </c>
      <c r="O36" s="11">
        <v>67.058999999999983</v>
      </c>
      <c r="P36" s="11">
        <v>67.074999999999989</v>
      </c>
      <c r="Q36" s="11">
        <v>67.581000000000031</v>
      </c>
      <c r="R36" s="11">
        <v>60.867000000000125</v>
      </c>
      <c r="S36" s="11">
        <v>68.400999999999868</v>
      </c>
      <c r="T36" s="11">
        <v>71.836999999999989</v>
      </c>
      <c r="U36" s="11">
        <v>68.28900000000003</v>
      </c>
      <c r="V36" s="11">
        <v>72.829999999999927</v>
      </c>
      <c r="W36" s="11">
        <v>71.770000000000039</v>
      </c>
      <c r="X36" s="11">
        <v>73.095000000000056</v>
      </c>
      <c r="Y36" s="11">
        <v>74.036999999999892</v>
      </c>
      <c r="Z36" s="11">
        <v>74.833000000000069</v>
      </c>
      <c r="AA36" s="11">
        <v>75.818000000000083</v>
      </c>
      <c r="AB36" s="11">
        <v>76.515000000000086</v>
      </c>
      <c r="AC36" s="11">
        <v>77.04800000000013</v>
      </c>
      <c r="AD36" s="11">
        <v>77.535999999999916</v>
      </c>
      <c r="AE36" s="11">
        <v>78.006999999999962</v>
      </c>
      <c r="AF36" s="11">
        <v>78.471999999999895</v>
      </c>
      <c r="AG36" s="11">
        <v>78.930000000000078</v>
      </c>
      <c r="AH36" s="11">
        <v>79.384000000000086</v>
      </c>
      <c r="AI36" s="11">
        <v>79.835000000000065</v>
      </c>
      <c r="AJ36" s="11">
        <v>80.287000000000049</v>
      </c>
      <c r="AK36" s="172">
        <v>80.74200000000009</v>
      </c>
      <c r="AL36" s="11">
        <v>81.203000000000074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486.12399999999997</v>
      </c>
      <c r="N38" s="11">
        <f t="shared" ref="N38:AL38" si="21">SUM(N5,N11,N16,N18,N23,N33)</f>
        <v>480.09300000000019</v>
      </c>
      <c r="O38" s="11">
        <f t="shared" si="21"/>
        <v>487.18799999999987</v>
      </c>
      <c r="P38" s="11">
        <f t="shared" si="21"/>
        <v>480.6479999999998</v>
      </c>
      <c r="Q38" s="11">
        <f t="shared" si="21"/>
        <v>488.96499999999992</v>
      </c>
      <c r="R38" s="11">
        <f t="shared" si="21"/>
        <v>505.56199999999995</v>
      </c>
      <c r="S38" s="11">
        <f t="shared" si="21"/>
        <v>503.93899999999962</v>
      </c>
      <c r="T38" s="11">
        <f t="shared" si="21"/>
        <v>512.15299999999991</v>
      </c>
      <c r="U38" s="11">
        <f t="shared" si="21"/>
        <v>510.73500000000013</v>
      </c>
      <c r="V38" s="11">
        <f t="shared" si="21"/>
        <v>509.93099999999993</v>
      </c>
      <c r="W38" s="11">
        <f t="shared" si="21"/>
        <v>496.19400000000019</v>
      </c>
      <c r="X38" s="11">
        <f t="shared" si="21"/>
        <v>500.11500000000001</v>
      </c>
      <c r="Y38" s="11">
        <f t="shared" si="21"/>
        <v>501.57899999999978</v>
      </c>
      <c r="Z38" s="11">
        <f t="shared" si="21"/>
        <v>503.44900000000024</v>
      </c>
      <c r="AA38" s="11">
        <f t="shared" si="21"/>
        <v>506.20599999999985</v>
      </c>
      <c r="AB38" s="11">
        <f t="shared" si="21"/>
        <v>508.12800000000038</v>
      </c>
      <c r="AC38" s="11">
        <f t="shared" si="21"/>
        <v>509.56499999999994</v>
      </c>
      <c r="AD38" s="11">
        <f t="shared" si="21"/>
        <v>510.77499999999992</v>
      </c>
      <c r="AE38" s="11">
        <f t="shared" si="21"/>
        <v>511.99799999999959</v>
      </c>
      <c r="AF38" s="11">
        <f t="shared" si="21"/>
        <v>513.22200000000043</v>
      </c>
      <c r="AG38" s="11">
        <f t="shared" si="21"/>
        <v>514.65600000000029</v>
      </c>
      <c r="AH38" s="11">
        <f t="shared" si="21"/>
        <v>516.06299999999976</v>
      </c>
      <c r="AI38" s="11">
        <f t="shared" si="21"/>
        <v>517.49700000000007</v>
      </c>
      <c r="AJ38" s="11">
        <f t="shared" si="21"/>
        <v>518.96699999999964</v>
      </c>
      <c r="AK38" s="11">
        <f t="shared" si="21"/>
        <v>520.44199999999978</v>
      </c>
      <c r="AL38" s="11">
        <f t="shared" si="21"/>
        <v>521.94399999999951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80" t="str">
        <f>CONCATENATE("Industry Figure 2.1  Change in Employment in ",$L$5,", ",$M$2,"-",$O$2,", ",Info!B5)</f>
        <v>Industry Figure 2.1  Change in Employment in Primary sector and utilities, 2010-2035, Black Country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80" t="str">
        <f>CONCATENATE("Industry Figure 2.2  Change in Employment in ",$L$11,", ",$M$2,"-",$O$2,", ",Info!B5)</f>
        <v>Industry Figure 2.2  Change in Employment in Manufacturing, 2010-2035, Black Country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80" t="str">
        <f>CONCATENATE("Industry Figure 2.3  Change in Employment in ",$L$16,", ",$M$2,"-",$O$2,", ",Info!B5)</f>
        <v>Industry Figure 2.3  Change in Employment in Construction, 2010-2035, Black Country</v>
      </c>
    </row>
    <row r="137" spans="1:1" ht="15.5" x14ac:dyDescent="0.35">
      <c r="A137" s="80" t="str">
        <f>CONCATENATE("Industry Figure 2.4  Change in Employment in ",$L$18,", ",$M$2,"-",$O$2,", ",Info!B5)</f>
        <v>Industry Figure 2.4  Change in Employment in Trade, accomod. and transport, 2010-2035, Black Country</v>
      </c>
    </row>
    <row r="167" spans="1:1" ht="15.5" x14ac:dyDescent="0.35">
      <c r="A167" s="80" t="str">
        <f>CONCATENATE("Industry Figure 2.5  Change in Employment in ",$L$23,", ",$M$2,"- ",$O$2,", ",Info!B5)</f>
        <v>Industry Figure 2.5  Change in Employment in Business and other services, 2010- 2035, Black Country</v>
      </c>
    </row>
    <row r="197" spans="1:1" ht="15.5" x14ac:dyDescent="0.35">
      <c r="A197" s="80" t="str">
        <f>CONCATENATE("Industry Figure 2.6  Change in Employment in ",$L$33,", ",$M$2,"-",$O$2,", ",Info!B5)</f>
        <v>Industry Figure 2.6  Change in Employment in Non-marketed services, 2010-2035, Black Country</v>
      </c>
    </row>
    <row r="227" spans="1:15" ht="15.5" x14ac:dyDescent="0.3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Black Country</v>
      </c>
      <c r="L227" s="46" t="s">
        <v>437</v>
      </c>
    </row>
    <row r="228" spans="1:15" ht="13" x14ac:dyDescent="0.3">
      <c r="L228" s="30" t="s">
        <v>409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40">
        <f>'Ind T1'!B25</f>
        <v>24.06826462431912</v>
      </c>
      <c r="N231" s="40">
        <f>'Ind T1'!D25</f>
        <v>26.625473101246694</v>
      </c>
      <c r="O231" s="40">
        <f>'Ind T1'!F25</f>
        <v>28.085771653664015</v>
      </c>
    </row>
    <row r="232" spans="1:15" x14ac:dyDescent="0.25">
      <c r="L232" t="str">
        <f>L23</f>
        <v>Business and other services</v>
      </c>
      <c r="M232" s="40">
        <f>'Ind T1'!B24</f>
        <v>24.397996684877448</v>
      </c>
      <c r="N232" s="40">
        <f>'Ind T1'!D24</f>
        <v>22.454523835435332</v>
      </c>
      <c r="O232" s="40">
        <f>'Ind T1'!F24</f>
        <v>22.590929295096814</v>
      </c>
    </row>
    <row r="233" spans="1:15" x14ac:dyDescent="0.25">
      <c r="L233" t="str">
        <f>L18</f>
        <v>Trade, accomod. and transport</v>
      </c>
      <c r="M233" s="40">
        <f>'Ind T1'!B23</f>
        <v>29.161408491935681</v>
      </c>
      <c r="N233" s="40">
        <f>'Ind T1'!D23</f>
        <v>29.166817817224739</v>
      </c>
      <c r="O233" s="40">
        <f>'Ind T1'!F23</f>
        <v>29.879833851907456</v>
      </c>
    </row>
    <row r="234" spans="1:15" x14ac:dyDescent="0.25">
      <c r="L234" t="str">
        <f>L16</f>
        <v>Construction</v>
      </c>
      <c r="M234" s="40">
        <f>'Ind T1'!B22</f>
        <v>6.2827111214845992</v>
      </c>
      <c r="N234" s="40">
        <f>'Ind T1'!D22</f>
        <v>7.4597838748553773</v>
      </c>
      <c r="O234" s="40">
        <f>'Ind T1'!F22</f>
        <v>7.1750992443633725</v>
      </c>
    </row>
    <row r="235" spans="1:15" x14ac:dyDescent="0.25">
      <c r="L235" t="str">
        <f>L11</f>
        <v>Manufacturing</v>
      </c>
      <c r="M235" s="40">
        <f>'Ind T1'!B21</f>
        <v>13.580727981928991</v>
      </c>
      <c r="N235" s="40">
        <f>'Ind T1'!D21</f>
        <v>12.873795330052362</v>
      </c>
      <c r="O235" s="40">
        <f>'Ind T1'!F21</f>
        <v>10.899636742639061</v>
      </c>
    </row>
    <row r="236" spans="1:15" x14ac:dyDescent="0.25">
      <c r="L236" t="str">
        <f>L5</f>
        <v>Primary sector and utilities</v>
      </c>
      <c r="M236" s="40">
        <f>'Ind T1'!B20</f>
        <v>2.5088910954541648</v>
      </c>
      <c r="N236" s="40">
        <f>'Ind T1'!D20</f>
        <v>1.4196060411855025</v>
      </c>
      <c r="O236" s="40">
        <f>'Ind T1'!F20</f>
        <v>1.3687292123292913</v>
      </c>
    </row>
    <row r="257" spans="1:16" ht="15.5" x14ac:dyDescent="0.3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Black Country</v>
      </c>
      <c r="L257" s="46" t="s">
        <v>410</v>
      </c>
    </row>
    <row r="258" spans="1:16" ht="13" x14ac:dyDescent="0.3">
      <c r="L258" s="30" t="s">
        <v>408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10.433999999999827</v>
      </c>
      <c r="O261" s="11">
        <f>'Ind T1'!F50</f>
        <v>14.477999999999923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-11.929000000000102</v>
      </c>
      <c r="O262" s="11">
        <f>'Ind T1'!F49</f>
        <v>6.4939999999999714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-2.7049999999996999</v>
      </c>
      <c r="O263" s="11">
        <f>'Ind T1'!F48</f>
        <v>11.231999999999545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5.251999999999942</v>
      </c>
      <c r="O264" s="11">
        <f>'Ind T1'!F47</f>
        <v>0.43500000000001648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-4.7799999999998022</v>
      </c>
      <c r="O265" s="11">
        <f>'Ind T1'!F46</f>
        <v>-6.9890000000000896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-5.6399999999999881</v>
      </c>
      <c r="O266" s="11">
        <f>'Ind T1'!F45</f>
        <v>9.9999999999995204E-2</v>
      </c>
    </row>
    <row r="268" spans="1:16" x14ac:dyDescent="0.25">
      <c r="L268" t="str">
        <f>L38</f>
        <v>All industries</v>
      </c>
      <c r="N268" s="11">
        <f>'Ind T1'!D14-'Ind T1'!B14</f>
        <v>-9.3679999999997676</v>
      </c>
      <c r="O268" s="11">
        <f>SUM(O261:O266)</f>
        <v>25.749999999999361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9" t="str">
        <f>CONCATENATE("Industry and Occupation Table 1  Occupation composition (SOC2020) by gender, ",B$6,"-",J$6,", ",Info!B5)</f>
        <v>Industry and Occupation Table 1  Occupation composition (SOC2020) by gender, 2015-2035, Black Country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ht="13" x14ac:dyDescent="0.3">
      <c r="A2" s="258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5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ht="13" x14ac:dyDescent="0.3">
      <c r="A6" s="241" t="s">
        <v>0</v>
      </c>
      <c r="B6" s="376">
        <v>2015</v>
      </c>
      <c r="C6" s="377"/>
      <c r="D6" s="377"/>
      <c r="E6" s="246"/>
      <c r="F6" s="376">
        <v>2020</v>
      </c>
      <c r="G6" s="376"/>
      <c r="H6" s="376"/>
      <c r="I6" s="246"/>
      <c r="J6" s="376">
        <v>2035</v>
      </c>
      <c r="K6" s="376"/>
      <c r="L6" s="376"/>
      <c r="M6" s="236"/>
      <c r="N6" s="236"/>
    </row>
    <row r="7" spans="1:14" ht="13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13.35849579741118</v>
      </c>
      <c r="C9" s="249">
        <f>SUM(C26,C43,C60,C77,C94,C111,C128,C145,C162,C179,C196,C213,C230,C247,C264,C281,C298,C315,C332,C349,C366,C383)</f>
        <v>29.03422481858918</v>
      </c>
      <c r="D9" s="249">
        <f>SUM(B9:C9)</f>
        <v>42.392720616000361</v>
      </c>
      <c r="E9" s="238"/>
      <c r="F9" s="249">
        <f>SUM(F26,F43,F60,F77,F94,F111,F128,F145,F162,F179,F196,F213,F230,F247,F264,F281,F298,F315,F332,F349,F366,F383)</f>
        <v>16.872182176572629</v>
      </c>
      <c r="G9" s="249">
        <f>SUM(G26,G43,G60,G77,G94,G111,G128,G145,G162,G179,G196,G213,G230,G247,G264,G281,G298,G315,G332,G349,G366,G383)</f>
        <v>30.928185315803244</v>
      </c>
      <c r="H9" s="249">
        <f>SUM(F9:G9)</f>
        <v>47.800367492375869</v>
      </c>
      <c r="I9" s="238"/>
      <c r="J9" s="249">
        <f>SUM(J26,J43,J60,J77,J94,J111,J128,J145,J162,J179,J196,J213,J230,J247,J264,J281,J298,J315,J332,J349,J366,J383)</f>
        <v>18.655201057778235</v>
      </c>
      <c r="K9" s="249">
        <f>SUM(K26,K43,K60,K77,K94,K111,K128,K145,K162,K179,K196,K213,K230,K247,K264,K281,K298,K315,K332,K349,K366,K383)</f>
        <v>30.570978228755934</v>
      </c>
      <c r="L9" s="249">
        <f>SUM(J9:K9)</f>
        <v>49.226179286534169</v>
      </c>
      <c r="M9" s="236"/>
      <c r="N9" s="236"/>
    </row>
    <row r="10" spans="1:14" x14ac:dyDescent="0.25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42.179446477363385</v>
      </c>
      <c r="C10" s="249">
        <f t="shared" si="0"/>
        <v>45.534461167396941</v>
      </c>
      <c r="D10" s="249">
        <f t="shared" ref="D10:D17" si="1">SUM(B10:C10)</f>
        <v>87.713907644760326</v>
      </c>
      <c r="E10" s="238"/>
      <c r="F10" s="249">
        <f t="shared" ref="F10:G17" si="2">SUM(F27,F44,F61,F78,F95,F112,F129,F146,F163,F180,F197,F214,F231,F248,F265,F282,F299,F316,F333,F350,F367,F384)</f>
        <v>51.504287210262234</v>
      </c>
      <c r="G10" s="249">
        <f t="shared" si="2"/>
        <v>52.039546029426255</v>
      </c>
      <c r="H10" s="249">
        <f t="shared" ref="H10:H17" si="3">SUM(F10:G10)</f>
        <v>103.5438332396885</v>
      </c>
      <c r="I10" s="238"/>
      <c r="J10" s="249">
        <f t="shared" ref="J10:K17" si="4">SUM(J27,J44,J61,J78,J95,J112,J129,J146,J163,J180,J197,J214,J231,J248,J265,J282,J299,J316,J333,J350,J367,J384)</f>
        <v>59.973373366994316</v>
      </c>
      <c r="K10" s="249">
        <f t="shared" si="4"/>
        <v>61.765844131556349</v>
      </c>
      <c r="L10" s="249">
        <f t="shared" ref="L10:L17" si="5">SUM(J10:K10)</f>
        <v>121.73921749855066</v>
      </c>
      <c r="M10" s="236"/>
      <c r="N10" s="236"/>
    </row>
    <row r="11" spans="1:14" x14ac:dyDescent="0.25">
      <c r="A11" s="237" t="str">
        <f>name!E$6</f>
        <v>Associate professional occupations</v>
      </c>
      <c r="B11" s="249">
        <f t="shared" si="0"/>
        <v>24.682177996602793</v>
      </c>
      <c r="C11" s="249">
        <f t="shared" si="0"/>
        <v>31.445207367233643</v>
      </c>
      <c r="D11" s="249">
        <f t="shared" si="1"/>
        <v>56.127385363836439</v>
      </c>
      <c r="E11" s="238"/>
      <c r="F11" s="249">
        <f t="shared" si="2"/>
        <v>27.97451993169927</v>
      </c>
      <c r="G11" s="249">
        <f t="shared" si="2"/>
        <v>32.84108207895131</v>
      </c>
      <c r="H11" s="249">
        <f t="shared" si="3"/>
        <v>60.815602010650579</v>
      </c>
      <c r="I11" s="238"/>
      <c r="J11" s="249">
        <f t="shared" si="4"/>
        <v>39.054030262437117</v>
      </c>
      <c r="K11" s="249">
        <f t="shared" si="4"/>
        <v>32.455914389961997</v>
      </c>
      <c r="L11" s="249">
        <f t="shared" si="5"/>
        <v>71.509944652399113</v>
      </c>
      <c r="M11" s="236"/>
      <c r="N11" s="236"/>
    </row>
    <row r="12" spans="1:14" x14ac:dyDescent="0.25">
      <c r="A12" s="237" t="str">
        <f>name!E$7</f>
        <v>Administrative and secretarial occupations</v>
      </c>
      <c r="B12" s="249">
        <f t="shared" si="0"/>
        <v>43.54000420575737</v>
      </c>
      <c r="C12" s="249">
        <f t="shared" si="0"/>
        <v>16.5979485301065</v>
      </c>
      <c r="D12" s="249">
        <f t="shared" si="1"/>
        <v>60.13795273586387</v>
      </c>
      <c r="E12" s="238"/>
      <c r="F12" s="249">
        <f t="shared" si="2"/>
        <v>39.5315581201328</v>
      </c>
      <c r="G12" s="249">
        <f t="shared" si="2"/>
        <v>16.946842163081772</v>
      </c>
      <c r="H12" s="249">
        <f t="shared" si="3"/>
        <v>56.478400283214569</v>
      </c>
      <c r="I12" s="238"/>
      <c r="J12" s="249">
        <f t="shared" si="4"/>
        <v>33.153960101494931</v>
      </c>
      <c r="K12" s="249">
        <f t="shared" si="4"/>
        <v>20.373310794522276</v>
      </c>
      <c r="L12" s="249">
        <f t="shared" si="5"/>
        <v>53.527270896017207</v>
      </c>
      <c r="M12" s="236"/>
      <c r="N12" s="236"/>
    </row>
    <row r="13" spans="1:14" x14ac:dyDescent="0.25">
      <c r="A13" s="237" t="str">
        <f>name!E$8</f>
        <v>Skilled trades occupations</v>
      </c>
      <c r="B13" s="249">
        <f t="shared" si="0"/>
        <v>4.5442185707229301</v>
      </c>
      <c r="C13" s="249">
        <f t="shared" si="0"/>
        <v>56.754509224207396</v>
      </c>
      <c r="D13" s="249">
        <f t="shared" si="1"/>
        <v>61.298727794930329</v>
      </c>
      <c r="E13" s="238"/>
      <c r="F13" s="249">
        <f t="shared" si="2"/>
        <v>4.6853447290247932</v>
      </c>
      <c r="G13" s="249">
        <f t="shared" si="2"/>
        <v>47.547502370028198</v>
      </c>
      <c r="H13" s="249">
        <f t="shared" si="3"/>
        <v>52.232847099052989</v>
      </c>
      <c r="I13" s="238"/>
      <c r="J13" s="249">
        <f t="shared" si="4"/>
        <v>5.0833172722328808</v>
      </c>
      <c r="K13" s="249">
        <f t="shared" si="4"/>
        <v>41.679606455520698</v>
      </c>
      <c r="L13" s="249">
        <f t="shared" si="5"/>
        <v>46.762923727753581</v>
      </c>
      <c r="M13" s="236"/>
      <c r="N13" s="236"/>
    </row>
    <row r="14" spans="1:14" x14ac:dyDescent="0.25">
      <c r="A14" s="237" t="str">
        <f>name!E$9</f>
        <v>Caring, leisure and other service occupations</v>
      </c>
      <c r="B14" s="249">
        <f t="shared" si="0"/>
        <v>42.829199761055989</v>
      </c>
      <c r="C14" s="249">
        <f t="shared" si="0"/>
        <v>7.6489928676305352</v>
      </c>
      <c r="D14" s="249">
        <f t="shared" si="1"/>
        <v>50.478192628686521</v>
      </c>
      <c r="E14" s="238"/>
      <c r="F14" s="249">
        <f t="shared" si="2"/>
        <v>41.988654582911224</v>
      </c>
      <c r="G14" s="249">
        <f t="shared" si="2"/>
        <v>7.349301843223202</v>
      </c>
      <c r="H14" s="249">
        <f t="shared" si="3"/>
        <v>49.337956426134426</v>
      </c>
      <c r="I14" s="238"/>
      <c r="J14" s="249">
        <f t="shared" si="4"/>
        <v>45.249881446215625</v>
      </c>
      <c r="K14" s="249">
        <f t="shared" si="4"/>
        <v>8.6698098845315421</v>
      </c>
      <c r="L14" s="249">
        <f t="shared" si="5"/>
        <v>53.91969133074717</v>
      </c>
      <c r="M14" s="236"/>
      <c r="N14" s="236"/>
    </row>
    <row r="15" spans="1:14" x14ac:dyDescent="0.25">
      <c r="A15" s="237" t="str">
        <f>name!E$10</f>
        <v>Sales and customer service occupations</v>
      </c>
      <c r="B15" s="249">
        <f t="shared" si="0"/>
        <v>25.613356768750482</v>
      </c>
      <c r="C15" s="249">
        <f t="shared" si="0"/>
        <v>17.699134073339778</v>
      </c>
      <c r="D15" s="249">
        <f t="shared" si="1"/>
        <v>43.312490842090256</v>
      </c>
      <c r="E15" s="238"/>
      <c r="F15" s="249">
        <f t="shared" si="2"/>
        <v>22.618405372358858</v>
      </c>
      <c r="G15" s="249">
        <f t="shared" si="2"/>
        <v>16.721380568434249</v>
      </c>
      <c r="H15" s="249">
        <f t="shared" si="3"/>
        <v>39.339785940793107</v>
      </c>
      <c r="I15" s="238"/>
      <c r="J15" s="249">
        <f t="shared" si="4"/>
        <v>21.302637843160692</v>
      </c>
      <c r="K15" s="249">
        <f t="shared" si="4"/>
        <v>17.77844496088888</v>
      </c>
      <c r="L15" s="249">
        <f t="shared" si="5"/>
        <v>39.081082804049572</v>
      </c>
      <c r="M15" s="236"/>
      <c r="N15" s="236"/>
    </row>
    <row r="16" spans="1:14" x14ac:dyDescent="0.25">
      <c r="A16" s="237" t="str">
        <f>name!E$11</f>
        <v>Process, plant and machine operatives</v>
      </c>
      <c r="B16" s="249">
        <f t="shared" si="0"/>
        <v>5.5996129028394135</v>
      </c>
      <c r="C16" s="249">
        <f t="shared" si="0"/>
        <v>41.541071156937683</v>
      </c>
      <c r="D16" s="249">
        <f t="shared" si="1"/>
        <v>47.140684059777094</v>
      </c>
      <c r="E16" s="238"/>
      <c r="F16" s="249">
        <f t="shared" si="2"/>
        <v>5.0496652246549036</v>
      </c>
      <c r="G16" s="249">
        <f t="shared" si="2"/>
        <v>35.308709081343146</v>
      </c>
      <c r="H16" s="249">
        <f t="shared" si="3"/>
        <v>40.358374305998048</v>
      </c>
      <c r="I16" s="238"/>
      <c r="J16" s="249">
        <f t="shared" si="4"/>
        <v>6.175171570509618</v>
      </c>
      <c r="K16" s="249">
        <f t="shared" si="4"/>
        <v>34.024566162099731</v>
      </c>
      <c r="L16" s="249">
        <f t="shared" si="5"/>
        <v>40.19973773260935</v>
      </c>
      <c r="M16" s="236"/>
      <c r="N16" s="236"/>
    </row>
    <row r="17" spans="1:14" x14ac:dyDescent="0.25">
      <c r="A17" s="237" t="str">
        <f>name!E$12</f>
        <v>Elementary occupations</v>
      </c>
      <c r="B17" s="249">
        <f t="shared" si="0"/>
        <v>24.742485044320901</v>
      </c>
      <c r="C17" s="249">
        <f t="shared" si="0"/>
        <v>32.217453269733944</v>
      </c>
      <c r="D17" s="249">
        <f t="shared" si="1"/>
        <v>56.959938314054845</v>
      </c>
      <c r="E17" s="238"/>
      <c r="F17" s="249">
        <f t="shared" si="2"/>
        <v>20.869978248242035</v>
      </c>
      <c r="G17" s="249">
        <f t="shared" si="2"/>
        <v>25.41685495384985</v>
      </c>
      <c r="H17" s="249">
        <f t="shared" si="3"/>
        <v>46.286833202091884</v>
      </c>
      <c r="I17" s="238"/>
      <c r="J17" s="249">
        <f t="shared" si="4"/>
        <v>19.851959073042799</v>
      </c>
      <c r="K17" s="249">
        <f t="shared" si="4"/>
        <v>26.125992998296038</v>
      </c>
      <c r="L17" s="249">
        <f t="shared" si="5"/>
        <v>45.977952071338834</v>
      </c>
      <c r="M17" s="236"/>
      <c r="N17" s="236"/>
    </row>
    <row r="18" spans="1:14" x14ac:dyDescent="0.25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5">
      <c r="A19" s="244" t="s">
        <v>33</v>
      </c>
      <c r="B19" s="247">
        <f>SUM(B9:B17)</f>
        <v>227.08899752482449</v>
      </c>
      <c r="C19" s="247">
        <f t="shared" ref="C19:L19" si="6">SUM(C9:C17)</f>
        <v>278.47300247517558</v>
      </c>
      <c r="D19" s="247">
        <f t="shared" si="6"/>
        <v>505.56200000000007</v>
      </c>
      <c r="E19" s="247"/>
      <c r="F19" s="247">
        <f t="shared" si="6"/>
        <v>231.09459559585875</v>
      </c>
      <c r="G19" s="247">
        <f t="shared" si="6"/>
        <v>265.0994044041413</v>
      </c>
      <c r="H19" s="247">
        <f t="shared" si="6"/>
        <v>496.19399999999996</v>
      </c>
      <c r="I19" s="247"/>
      <c r="J19" s="247">
        <f t="shared" si="6"/>
        <v>248.49953199386619</v>
      </c>
      <c r="K19" s="247">
        <f t="shared" si="6"/>
        <v>273.44446800613349</v>
      </c>
      <c r="L19" s="247">
        <f t="shared" si="6"/>
        <v>521.94399999999962</v>
      </c>
      <c r="M19" s="236"/>
      <c r="N19" s="236"/>
    </row>
    <row r="20" spans="1:14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ht="13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ht="13" x14ac:dyDescent="0.3">
      <c r="A23" s="241" t="str">
        <f>name!B4</f>
        <v>Agriculture</v>
      </c>
      <c r="B23" s="376">
        <f>B$6</f>
        <v>2015</v>
      </c>
      <c r="C23" s="376"/>
      <c r="D23" s="376"/>
      <c r="E23" s="253"/>
      <c r="F23" s="376">
        <f>F$6</f>
        <v>2020</v>
      </c>
      <c r="G23" s="376"/>
      <c r="H23" s="376"/>
      <c r="I23" s="253"/>
      <c r="J23" s="376">
        <f>J$6</f>
        <v>2035</v>
      </c>
      <c r="K23" s="376"/>
      <c r="L23" s="376"/>
      <c r="M23" s="236"/>
      <c r="N23" s="236"/>
    </row>
    <row r="24" spans="1:14" ht="13" x14ac:dyDescent="0.3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ht="13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5">
      <c r="A26" s="237" t="str">
        <f>name!E$4</f>
        <v>Managers, directors and senior officials</v>
      </c>
      <c r="B26" s="302">
        <v>3.4166716469685991E-2</v>
      </c>
      <c r="C26" s="302">
        <v>0.12197493785867468</v>
      </c>
      <c r="D26" s="302">
        <f>SUM(B26:C26)</f>
        <v>0.15614165432836066</v>
      </c>
      <c r="E26" s="303"/>
      <c r="F26" s="302">
        <v>2.3144952135252018E-2</v>
      </c>
      <c r="G26" s="302">
        <v>5.1717113582926841E-2</v>
      </c>
      <c r="H26" s="302">
        <f>SUM(F26:G26)</f>
        <v>7.4862065718178855E-2</v>
      </c>
      <c r="I26" s="303"/>
      <c r="J26" s="302">
        <v>2.577003371245214E-2</v>
      </c>
      <c r="K26" s="302">
        <v>6.3514428950488255E-2</v>
      </c>
      <c r="L26" s="302">
        <f>SUM(J26:K26)</f>
        <v>8.9284462662940392E-2</v>
      </c>
      <c r="M26" s="236"/>
      <c r="N26" s="236"/>
    </row>
    <row r="27" spans="1:14" x14ac:dyDescent="0.25">
      <c r="A27" s="237" t="str">
        <f>name!E$5</f>
        <v>Professional occupations</v>
      </c>
      <c r="B27" s="302">
        <v>3.207357490652344E-2</v>
      </c>
      <c r="C27" s="302">
        <v>9.7542779476116129E-2</v>
      </c>
      <c r="D27" s="302">
        <f t="shared" ref="D27:D34" si="7">SUM(B27:C27)</f>
        <v>0.12961635438263958</v>
      </c>
      <c r="E27" s="303"/>
      <c r="F27" s="302">
        <v>2.8878031745963217E-2</v>
      </c>
      <c r="G27" s="302">
        <v>5.724078512448149E-2</v>
      </c>
      <c r="H27" s="302">
        <f t="shared" ref="H27:H34" si="8">SUM(F27:G27)</f>
        <v>8.6118816870444703E-2</v>
      </c>
      <c r="I27" s="303"/>
      <c r="J27" s="302">
        <v>4.9375884233187915E-2</v>
      </c>
      <c r="K27" s="302">
        <v>0.11579435441003494</v>
      </c>
      <c r="L27" s="302">
        <f t="shared" ref="L27:L34" si="9">SUM(J27:K27)</f>
        <v>0.16517023864322286</v>
      </c>
      <c r="M27" s="236"/>
      <c r="N27" s="236"/>
    </row>
    <row r="28" spans="1:14" x14ac:dyDescent="0.25">
      <c r="A28" s="237" t="str">
        <f>name!E$6</f>
        <v>Associate professional occupations</v>
      </c>
      <c r="B28" s="302">
        <v>3.4362562569869186E-2</v>
      </c>
      <c r="C28" s="302">
        <v>6.8015292161640734E-2</v>
      </c>
      <c r="D28" s="302">
        <f t="shared" si="7"/>
        <v>0.10237785473150993</v>
      </c>
      <c r="E28" s="303"/>
      <c r="F28" s="302">
        <v>2.4015970346636585E-2</v>
      </c>
      <c r="G28" s="302">
        <v>3.3643756012163413E-2</v>
      </c>
      <c r="H28" s="302">
        <f t="shared" si="8"/>
        <v>5.7659726358799998E-2</v>
      </c>
      <c r="I28" s="303"/>
      <c r="J28" s="302">
        <v>3.5718163272501921E-2</v>
      </c>
      <c r="K28" s="302">
        <v>4.819185629740038E-2</v>
      </c>
      <c r="L28" s="302">
        <f t="shared" si="9"/>
        <v>8.3910019569902294E-2</v>
      </c>
      <c r="M28" s="236"/>
      <c r="N28" s="236"/>
    </row>
    <row r="29" spans="1:14" x14ac:dyDescent="0.25">
      <c r="A29" s="237" t="str">
        <f>name!E$7</f>
        <v>Administrative and secretarial occupations</v>
      </c>
      <c r="B29" s="302">
        <v>0.13315337585746775</v>
      </c>
      <c r="C29" s="302">
        <v>6.4379017050293891E-2</v>
      </c>
      <c r="D29" s="302">
        <f t="shared" si="7"/>
        <v>0.19753239290776164</v>
      </c>
      <c r="E29" s="303"/>
      <c r="F29" s="302">
        <v>4.974077798816888E-2</v>
      </c>
      <c r="G29" s="302">
        <v>1.9133213062035991E-2</v>
      </c>
      <c r="H29" s="302">
        <f t="shared" si="8"/>
        <v>6.8873991050204864E-2</v>
      </c>
      <c r="I29" s="303"/>
      <c r="J29" s="302">
        <v>3.9300004871823224E-2</v>
      </c>
      <c r="K29" s="302">
        <v>3.0764080216397153E-2</v>
      </c>
      <c r="L29" s="302">
        <f t="shared" si="9"/>
        <v>7.0064085088220374E-2</v>
      </c>
      <c r="M29" s="236"/>
      <c r="N29" s="236"/>
    </row>
    <row r="30" spans="1:14" x14ac:dyDescent="0.25">
      <c r="A30" s="237" t="str">
        <f>name!E$8</f>
        <v>Skilled trades occupations</v>
      </c>
      <c r="B30" s="302">
        <v>0.19591086858829088</v>
      </c>
      <c r="C30" s="302">
        <v>1.3972276014758866</v>
      </c>
      <c r="D30" s="302">
        <f t="shared" si="7"/>
        <v>1.5931384700641775</v>
      </c>
      <c r="E30" s="303"/>
      <c r="F30" s="302">
        <v>0.14007959001296266</v>
      </c>
      <c r="G30" s="302">
        <v>0.46086504336722733</v>
      </c>
      <c r="H30" s="302">
        <f t="shared" si="8"/>
        <v>0.60094463338019</v>
      </c>
      <c r="I30" s="303"/>
      <c r="J30" s="302">
        <v>0.1514300259993738</v>
      </c>
      <c r="K30" s="302">
        <v>0.42294984642560984</v>
      </c>
      <c r="L30" s="302">
        <f t="shared" si="9"/>
        <v>0.57437987242498367</v>
      </c>
      <c r="M30" s="236"/>
      <c r="N30" s="236"/>
    </row>
    <row r="31" spans="1:14" x14ac:dyDescent="0.25">
      <c r="A31" s="237" t="str">
        <f>name!E$9</f>
        <v>Caring, leisure and other service occupations</v>
      </c>
      <c r="B31" s="302">
        <v>9.1613865115798748E-2</v>
      </c>
      <c r="C31" s="302">
        <v>4.8788703255552235E-2</v>
      </c>
      <c r="D31" s="302">
        <f t="shared" si="7"/>
        <v>0.14040256837135098</v>
      </c>
      <c r="E31" s="303"/>
      <c r="F31" s="302">
        <v>3.4155208944892858E-2</v>
      </c>
      <c r="G31" s="302">
        <v>1.5978718745796133E-2</v>
      </c>
      <c r="H31" s="302">
        <f t="shared" si="8"/>
        <v>5.0133927690688987E-2</v>
      </c>
      <c r="I31" s="303"/>
      <c r="J31" s="302">
        <v>3.5847265753540782E-2</v>
      </c>
      <c r="K31" s="302">
        <v>1.9581862183777346E-2</v>
      </c>
      <c r="L31" s="302">
        <f t="shared" si="9"/>
        <v>5.5429127937318128E-2</v>
      </c>
      <c r="M31" s="236"/>
      <c r="N31" s="236"/>
    </row>
    <row r="32" spans="1:14" x14ac:dyDescent="0.25">
      <c r="A32" s="237" t="str">
        <f>name!E$10</f>
        <v>Sales and customer service occupations</v>
      </c>
      <c r="B32" s="302">
        <v>3.1894268504871558E-2</v>
      </c>
      <c r="C32" s="302">
        <v>2.9094281238170594E-2</v>
      </c>
      <c r="D32" s="302">
        <f t="shared" si="7"/>
        <v>6.0988549743042152E-2</v>
      </c>
      <c r="E32" s="303"/>
      <c r="F32" s="302">
        <v>1.1177402542512416E-2</v>
      </c>
      <c r="G32" s="302">
        <v>9.4419177598549873E-3</v>
      </c>
      <c r="H32" s="302">
        <f t="shared" si="8"/>
        <v>2.0619320302367405E-2</v>
      </c>
      <c r="I32" s="303"/>
      <c r="J32" s="302">
        <v>1.0411715833038874E-2</v>
      </c>
      <c r="K32" s="302">
        <v>1.1350984313054127E-2</v>
      </c>
      <c r="L32" s="302">
        <f t="shared" si="9"/>
        <v>2.1762700146093002E-2</v>
      </c>
      <c r="M32" s="236"/>
      <c r="N32" s="236"/>
    </row>
    <row r="33" spans="1:18" x14ac:dyDescent="0.25">
      <c r="A33" s="237" t="str">
        <f>name!E$11</f>
        <v>Process, plant and machine operatives</v>
      </c>
      <c r="B33" s="302">
        <v>1.9041842442549028E-2</v>
      </c>
      <c r="C33" s="302">
        <v>0.10150674974317733</v>
      </c>
      <c r="D33" s="302">
        <f t="shared" si="7"/>
        <v>0.12054859218572636</v>
      </c>
      <c r="E33" s="303"/>
      <c r="F33" s="302">
        <v>8.1874804553760012E-3</v>
      </c>
      <c r="G33" s="302">
        <v>2.6976794295751293E-2</v>
      </c>
      <c r="H33" s="302">
        <f t="shared" si="8"/>
        <v>3.5164274751127295E-2</v>
      </c>
      <c r="I33" s="303"/>
      <c r="J33" s="302">
        <v>5.7047451621701053E-3</v>
      </c>
      <c r="K33" s="302">
        <v>2.357867758474377E-2</v>
      </c>
      <c r="L33" s="302">
        <f t="shared" si="9"/>
        <v>2.9283422746913874E-2</v>
      </c>
      <c r="M33" s="236"/>
      <c r="N33" s="236"/>
    </row>
    <row r="34" spans="1:18" x14ac:dyDescent="0.25">
      <c r="A34" s="237" t="str">
        <f>name!E$12</f>
        <v>Elementary occupations</v>
      </c>
      <c r="B34" s="302">
        <v>0.16218739446901589</v>
      </c>
      <c r="C34" s="302">
        <v>0.30206616881641163</v>
      </c>
      <c r="D34" s="302">
        <f t="shared" si="7"/>
        <v>0.46425356328542755</v>
      </c>
      <c r="E34" s="303"/>
      <c r="F34" s="302">
        <v>4.7565237870216839E-2</v>
      </c>
      <c r="G34" s="302">
        <v>7.3058006007780146E-2</v>
      </c>
      <c r="H34" s="302">
        <f t="shared" si="8"/>
        <v>0.12062324387799699</v>
      </c>
      <c r="I34" s="303"/>
      <c r="J34" s="302">
        <v>4.8490043537238868E-2</v>
      </c>
      <c r="K34" s="302">
        <v>7.7226027243165338E-2</v>
      </c>
      <c r="L34" s="302">
        <f t="shared" si="9"/>
        <v>0.1257160707804042</v>
      </c>
      <c r="M34" s="236"/>
      <c r="N34" s="236"/>
    </row>
    <row r="35" spans="1:18" x14ac:dyDescent="0.25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5">
      <c r="A36" s="244" t="s">
        <v>33</v>
      </c>
      <c r="B36" s="311">
        <f>SUM(B26:B34)</f>
        <v>0.73440446892407241</v>
      </c>
      <c r="C36" s="311">
        <f t="shared" ref="C36:K36" si="10">SUM(C26:C34)</f>
        <v>2.2305955310759238</v>
      </c>
      <c r="D36" s="311">
        <f t="shared" si="10"/>
        <v>2.9649999999999963</v>
      </c>
      <c r="E36" s="311"/>
      <c r="F36" s="311">
        <f t="shared" si="10"/>
        <v>0.36694465204198146</v>
      </c>
      <c r="G36" s="311">
        <f t="shared" si="10"/>
        <v>0.74805534795801765</v>
      </c>
      <c r="H36" s="311">
        <f t="shared" si="10"/>
        <v>1.1149999999999991</v>
      </c>
      <c r="I36" s="311"/>
      <c r="J36" s="311">
        <f t="shared" si="10"/>
        <v>0.40204788237532763</v>
      </c>
      <c r="K36" s="311">
        <f t="shared" si="10"/>
        <v>0.81295211762467112</v>
      </c>
      <c r="L36" s="311">
        <f>SUM(L26:L34)</f>
        <v>1.2149999999999985</v>
      </c>
      <c r="M36" s="236"/>
      <c r="N36" s="236"/>
    </row>
    <row r="37" spans="1:18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ht="13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ht="13" x14ac:dyDescent="0.3">
      <c r="A40" s="241" t="str">
        <f>name!B5</f>
        <v>Mining and quarrying</v>
      </c>
      <c r="B40" s="376">
        <f>B$6</f>
        <v>2015</v>
      </c>
      <c r="C40" s="376"/>
      <c r="D40" s="376"/>
      <c r="E40" s="253"/>
      <c r="F40" s="376">
        <f>F23</f>
        <v>2020</v>
      </c>
      <c r="G40" s="376"/>
      <c r="H40" s="376"/>
      <c r="I40" s="253"/>
      <c r="J40" s="376">
        <f>J23</f>
        <v>2035</v>
      </c>
      <c r="K40" s="376"/>
      <c r="L40" s="376"/>
      <c r="M40" s="236"/>
      <c r="N40" s="236"/>
    </row>
    <row r="41" spans="1:18" ht="13" x14ac:dyDescent="0.3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5">
      <c r="A43" s="237" t="str">
        <f>name!E$4</f>
        <v>Managers, directors and senior officials</v>
      </c>
      <c r="B43" s="302">
        <v>6.8476087834702345E-4</v>
      </c>
      <c r="C43" s="302">
        <v>2.1860820817167215E-2</v>
      </c>
      <c r="D43" s="302">
        <f>SUM(B43:C43)</f>
        <v>2.2545581695514239E-2</v>
      </c>
      <c r="E43" s="303"/>
      <c r="F43" s="302">
        <v>2.0909451211882971E-3</v>
      </c>
      <c r="G43" s="302">
        <v>2.619248307595402E-2</v>
      </c>
      <c r="H43" s="302">
        <f>SUM(F43:G43)</f>
        <v>2.8283428197142316E-2</v>
      </c>
      <c r="I43" s="303"/>
      <c r="J43" s="302">
        <v>8.4875794380432192E-4</v>
      </c>
      <c r="K43" s="302">
        <v>1.1450969749804914E-2</v>
      </c>
      <c r="L43" s="302">
        <f>SUM(J43:K43)</f>
        <v>1.2299727693609236E-2</v>
      </c>
      <c r="M43" s="236"/>
      <c r="N43" s="236"/>
    </row>
    <row r="44" spans="1:18" x14ac:dyDescent="0.25">
      <c r="A44" s="237" t="str">
        <f>name!E$5</f>
        <v>Professional occupations</v>
      </c>
      <c r="B44" s="302">
        <v>4.3087577488290889E-3</v>
      </c>
      <c r="C44" s="302">
        <v>1.730461726690876E-2</v>
      </c>
      <c r="D44" s="302">
        <f t="shared" ref="D44:D51" si="11">SUM(B44:C44)</f>
        <v>2.1613375015737849E-2</v>
      </c>
      <c r="E44" s="303"/>
      <c r="F44" s="302">
        <v>7.6404141765534445E-3</v>
      </c>
      <c r="G44" s="302">
        <v>2.3628897030554818E-2</v>
      </c>
      <c r="H44" s="302">
        <f t="shared" ref="H44:H51" si="12">SUM(F44:G44)</f>
        <v>3.1269311207108262E-2</v>
      </c>
      <c r="I44" s="303"/>
      <c r="J44" s="302">
        <v>2.102409100680686E-3</v>
      </c>
      <c r="K44" s="302">
        <v>1.3358900958676508E-2</v>
      </c>
      <c r="L44" s="302">
        <f t="shared" ref="L44:L51" si="13">SUM(J44:K44)</f>
        <v>1.5461310059357193E-2</v>
      </c>
      <c r="M44" s="236"/>
      <c r="N44" s="236"/>
    </row>
    <row r="45" spans="1:18" x14ac:dyDescent="0.25">
      <c r="A45" s="237" t="str">
        <f>name!E$6</f>
        <v>Associate professional occupations</v>
      </c>
      <c r="B45" s="302">
        <v>1.0200678032265978E-3</v>
      </c>
      <c r="C45" s="302">
        <v>1.4164645737417441E-2</v>
      </c>
      <c r="D45" s="302">
        <f t="shared" si="11"/>
        <v>1.5184713540644039E-2</v>
      </c>
      <c r="E45" s="303"/>
      <c r="F45" s="302">
        <v>5.2353613349665727E-3</v>
      </c>
      <c r="G45" s="302">
        <v>2.2756495982385615E-2</v>
      </c>
      <c r="H45" s="302">
        <f t="shared" si="12"/>
        <v>2.7991857317352188E-2</v>
      </c>
      <c r="I45" s="303"/>
      <c r="J45" s="302">
        <v>2.7890915649497008E-3</v>
      </c>
      <c r="K45" s="302">
        <v>9.609811975207147E-3</v>
      </c>
      <c r="L45" s="302">
        <f t="shared" si="13"/>
        <v>1.2398903540156847E-2</v>
      </c>
      <c r="M45" s="236"/>
      <c r="N45" s="236"/>
    </row>
    <row r="46" spans="1:18" x14ac:dyDescent="0.25">
      <c r="A46" s="237" t="str">
        <f>name!E$7</f>
        <v>Administrative and secretarial occupations</v>
      </c>
      <c r="B46" s="302">
        <v>8.5185519292711677E-4</v>
      </c>
      <c r="C46" s="302">
        <v>3.2443014590166994E-3</v>
      </c>
      <c r="D46" s="302">
        <f t="shared" si="11"/>
        <v>4.0961566519438159E-3</v>
      </c>
      <c r="E46" s="303"/>
      <c r="F46" s="302">
        <v>6.8084112531344226E-3</v>
      </c>
      <c r="G46" s="302">
        <v>2.8111722849071645E-3</v>
      </c>
      <c r="H46" s="302">
        <f t="shared" si="12"/>
        <v>9.619583538041588E-3</v>
      </c>
      <c r="I46" s="303"/>
      <c r="J46" s="302">
        <v>3.0974199384549506E-3</v>
      </c>
      <c r="K46" s="302">
        <v>1.0553260256726785E-3</v>
      </c>
      <c r="L46" s="302">
        <f t="shared" si="13"/>
        <v>4.1527459641276295E-3</v>
      </c>
      <c r="M46" s="236"/>
      <c r="N46" s="236"/>
    </row>
    <row r="47" spans="1:18" x14ac:dyDescent="0.25">
      <c r="A47" s="237" t="str">
        <f>name!E$8</f>
        <v>Skilled trades occupations</v>
      </c>
      <c r="B47" s="302">
        <v>4.5008397405886915E-4</v>
      </c>
      <c r="C47" s="302">
        <v>3.6822988407907105E-2</v>
      </c>
      <c r="D47" s="302">
        <f t="shared" si="11"/>
        <v>3.7273072381965977E-2</v>
      </c>
      <c r="E47" s="303"/>
      <c r="F47" s="302">
        <v>1.8454347358270906E-4</v>
      </c>
      <c r="G47" s="302">
        <v>2.9050137606418246E-2</v>
      </c>
      <c r="H47" s="302">
        <f>SUM(F47:G47)</f>
        <v>2.9234681080000956E-2</v>
      </c>
      <c r="I47" s="303"/>
      <c r="J47" s="302">
        <v>7.9753909422743078E-5</v>
      </c>
      <c r="K47" s="302">
        <v>9.6843037040794961E-3</v>
      </c>
      <c r="L47" s="302">
        <f t="shared" si="13"/>
        <v>9.7640576135022399E-3</v>
      </c>
      <c r="M47" s="236"/>
      <c r="N47" s="236"/>
    </row>
    <row r="48" spans="1:18" x14ac:dyDescent="0.25">
      <c r="A48" s="237" t="str">
        <f>name!E$9</f>
        <v>Caring, leisure and other service occupations</v>
      </c>
      <c r="B48" s="302">
        <v>1.2804759695042055E-3</v>
      </c>
      <c r="C48" s="302">
        <v>2.0400948479771331E-3</v>
      </c>
      <c r="D48" s="302">
        <f t="shared" si="11"/>
        <v>3.3205708174813388E-3</v>
      </c>
      <c r="E48" s="303"/>
      <c r="F48" s="302">
        <v>9.6925155736862258E-4</v>
      </c>
      <c r="G48" s="302">
        <v>3.0942723404983191E-3</v>
      </c>
      <c r="H48" s="302">
        <f t="shared" si="12"/>
        <v>4.0635238978669417E-3</v>
      </c>
      <c r="I48" s="303"/>
      <c r="J48" s="302">
        <v>2.1711772809467639E-4</v>
      </c>
      <c r="K48" s="302">
        <v>1.2877170177808144E-3</v>
      </c>
      <c r="L48" s="302">
        <f t="shared" si="13"/>
        <v>1.5048347458754907E-3</v>
      </c>
      <c r="M48" s="236"/>
      <c r="N48" s="236"/>
    </row>
    <row r="49" spans="1:14" x14ac:dyDescent="0.25">
      <c r="A49" s="237" t="str">
        <f>name!E$10</f>
        <v>Sales and customer service occupations</v>
      </c>
      <c r="B49" s="302">
        <v>4.7731003438038867E-4</v>
      </c>
      <c r="C49" s="302">
        <v>2.8128350380603687E-3</v>
      </c>
      <c r="D49" s="302">
        <f t="shared" si="11"/>
        <v>3.2901450724407573E-3</v>
      </c>
      <c r="E49" s="303"/>
      <c r="F49" s="302">
        <v>1.4964676454164113E-3</v>
      </c>
      <c r="G49" s="302">
        <v>2.7853282881883999E-3</v>
      </c>
      <c r="H49" s="302">
        <f t="shared" si="12"/>
        <v>4.2817959336048112E-3</v>
      </c>
      <c r="I49" s="303"/>
      <c r="J49" s="302">
        <v>6.5565326507223962E-4</v>
      </c>
      <c r="K49" s="302">
        <v>1.2455321588962964E-3</v>
      </c>
      <c r="L49" s="302">
        <f t="shared" si="13"/>
        <v>1.9011854239685362E-3</v>
      </c>
      <c r="M49" s="236"/>
      <c r="N49" s="236"/>
    </row>
    <row r="50" spans="1:14" x14ac:dyDescent="0.25">
      <c r="A50" s="237" t="str">
        <f>name!E$11</f>
        <v>Process, plant and machine operatives</v>
      </c>
      <c r="B50" s="302">
        <v>1.0841971676065851E-3</v>
      </c>
      <c r="C50" s="302">
        <v>2.3287565280656734E-2</v>
      </c>
      <c r="D50" s="302">
        <f t="shared" si="11"/>
        <v>2.437176244826332E-2</v>
      </c>
      <c r="E50" s="303"/>
      <c r="F50" s="302">
        <v>1.3023324771604418E-4</v>
      </c>
      <c r="G50" s="302">
        <v>1.7961244642225673E-2</v>
      </c>
      <c r="H50" s="302">
        <f t="shared" si="12"/>
        <v>1.8091477889941716E-2</v>
      </c>
      <c r="I50" s="303"/>
      <c r="J50" s="302">
        <v>3.1096075246678498E-5</v>
      </c>
      <c r="K50" s="302">
        <v>4.854600895623346E-3</v>
      </c>
      <c r="L50" s="302">
        <f t="shared" si="13"/>
        <v>4.8856969708700243E-3</v>
      </c>
      <c r="M50" s="236"/>
      <c r="N50" s="236"/>
    </row>
    <row r="51" spans="1:14" x14ac:dyDescent="0.25">
      <c r="A51" s="237" t="str">
        <f>name!E$12</f>
        <v>Elementary occupations</v>
      </c>
      <c r="B51" s="302">
        <v>7.2786672518076773E-4</v>
      </c>
      <c r="C51" s="302">
        <v>2.9576755650828169E-2</v>
      </c>
      <c r="D51" s="302">
        <f t="shared" si="11"/>
        <v>3.0304622376008936E-2</v>
      </c>
      <c r="E51" s="303"/>
      <c r="F51" s="302">
        <v>8.233504148017441E-4</v>
      </c>
      <c r="G51" s="302">
        <v>1.3409905241397414E-3</v>
      </c>
      <c r="H51" s="302">
        <f t="shared" si="12"/>
        <v>2.1643409389414856E-3</v>
      </c>
      <c r="I51" s="303"/>
      <c r="J51" s="302">
        <v>2.8711331063887739E-4</v>
      </c>
      <c r="K51" s="302">
        <v>3.4442467789391236E-4</v>
      </c>
      <c r="L51" s="302">
        <f t="shared" si="13"/>
        <v>6.3153798853278975E-4</v>
      </c>
      <c r="M51" s="236"/>
      <c r="N51" s="236"/>
    </row>
    <row r="52" spans="1:14" x14ac:dyDescent="0.25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5">
      <c r="A53" s="244" t="s">
        <v>33</v>
      </c>
      <c r="B53" s="311">
        <f>SUM(B43:B51)</f>
        <v>1.0885375494060644E-2</v>
      </c>
      <c r="C53" s="311">
        <f t="shared" ref="C53:L53" si="14">SUM(C43:C51)</f>
        <v>0.15111462450593963</v>
      </c>
      <c r="D53" s="311">
        <f t="shared" si="14"/>
        <v>0.16200000000000025</v>
      </c>
      <c r="E53" s="311"/>
      <c r="F53" s="311">
        <f t="shared" si="14"/>
        <v>2.5378978224728267E-2</v>
      </c>
      <c r="G53" s="311">
        <f t="shared" si="14"/>
        <v>0.12962102177527199</v>
      </c>
      <c r="H53" s="311">
        <f t="shared" si="14"/>
        <v>0.15500000000000028</v>
      </c>
      <c r="I53" s="311"/>
      <c r="J53" s="311">
        <f t="shared" si="14"/>
        <v>1.0108412836364874E-2</v>
      </c>
      <c r="K53" s="311">
        <f t="shared" si="14"/>
        <v>5.2891587163635116E-2</v>
      </c>
      <c r="L53" s="311">
        <f t="shared" si="14"/>
        <v>6.2999999999999987E-2</v>
      </c>
      <c r="M53" s="236"/>
      <c r="N53" s="236"/>
    </row>
    <row r="54" spans="1:14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ht="13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ht="13" x14ac:dyDescent="0.3">
      <c r="A57" s="241" t="str">
        <f>name!B6</f>
        <v>Food drink and tobacco</v>
      </c>
      <c r="B57" s="376">
        <f>B$6</f>
        <v>2015</v>
      </c>
      <c r="C57" s="376"/>
      <c r="D57" s="376"/>
      <c r="E57" s="253"/>
      <c r="F57" s="376">
        <f>F40</f>
        <v>2020</v>
      </c>
      <c r="G57" s="376"/>
      <c r="H57" s="376"/>
      <c r="I57" s="253"/>
      <c r="J57" s="376">
        <f>J40</f>
        <v>2035</v>
      </c>
      <c r="K57" s="376"/>
      <c r="L57" s="376"/>
      <c r="M57" s="236"/>
      <c r="N57" s="236"/>
    </row>
    <row r="58" spans="1:14" ht="13" x14ac:dyDescent="0.3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5">
      <c r="A60" s="237" t="str">
        <f>name!E$4</f>
        <v>Managers, directors and senior officials</v>
      </c>
      <c r="B60" s="302">
        <v>0.13861697696889153</v>
      </c>
      <c r="C60" s="302">
        <v>0.30962031261742845</v>
      </c>
      <c r="D60" s="302">
        <f>SUM(B60:C60)</f>
        <v>0.44823728958631998</v>
      </c>
      <c r="E60" s="303"/>
      <c r="F60" s="302">
        <v>0.18044889730044017</v>
      </c>
      <c r="G60" s="302">
        <v>0.34308855243828223</v>
      </c>
      <c r="H60" s="302">
        <f>SUM(F60:G60)</f>
        <v>0.5235374497387224</v>
      </c>
      <c r="I60" s="303"/>
      <c r="J60" s="302">
        <v>0.18789488805887908</v>
      </c>
      <c r="K60" s="302">
        <v>0.29718646503375917</v>
      </c>
      <c r="L60" s="302">
        <f>SUM(J60:K60)</f>
        <v>0.48508135309263822</v>
      </c>
      <c r="M60" s="236"/>
      <c r="N60" s="236"/>
    </row>
    <row r="61" spans="1:14" x14ac:dyDescent="0.25">
      <c r="A61" s="237" t="str">
        <f>name!E$5</f>
        <v>Professional occupations</v>
      </c>
      <c r="B61" s="302">
        <v>0.21686895651807414</v>
      </c>
      <c r="C61" s="302">
        <v>0.20504753692881431</v>
      </c>
      <c r="D61" s="302">
        <f t="shared" ref="D61:D68" si="15">SUM(B61:C61)</f>
        <v>0.42191649344688842</v>
      </c>
      <c r="E61" s="303"/>
      <c r="F61" s="302">
        <v>0.30603255387410866</v>
      </c>
      <c r="G61" s="302">
        <v>0.25820293797385158</v>
      </c>
      <c r="H61" s="302">
        <f t="shared" ref="H61:H68" si="16">SUM(F61:G61)</f>
        <v>0.56423549184796018</v>
      </c>
      <c r="I61" s="303"/>
      <c r="J61" s="302">
        <v>0.38395971777533661</v>
      </c>
      <c r="K61" s="302">
        <v>0.33974679420031417</v>
      </c>
      <c r="L61" s="302">
        <f t="shared" ref="L61:L68" si="17">SUM(J61:K61)</f>
        <v>0.72370651197565072</v>
      </c>
      <c r="M61" s="236"/>
      <c r="N61" s="236"/>
    </row>
    <row r="62" spans="1:14" x14ac:dyDescent="0.25">
      <c r="A62" s="237" t="str">
        <f>name!E$6</f>
        <v>Associate professional occupations</v>
      </c>
      <c r="B62" s="302">
        <v>0.2488063107966762</v>
      </c>
      <c r="C62" s="302">
        <v>0.30618318447771903</v>
      </c>
      <c r="D62" s="302">
        <f t="shared" si="15"/>
        <v>0.55498949527439523</v>
      </c>
      <c r="E62" s="303"/>
      <c r="F62" s="302">
        <v>0.3023948544039563</v>
      </c>
      <c r="G62" s="302">
        <v>0.37479669312644709</v>
      </c>
      <c r="H62" s="302">
        <f t="shared" si="16"/>
        <v>0.67719154753040334</v>
      </c>
      <c r="I62" s="303"/>
      <c r="J62" s="302">
        <v>0.35670769771818472</v>
      </c>
      <c r="K62" s="302">
        <v>0.34970879674177829</v>
      </c>
      <c r="L62" s="302">
        <f t="shared" si="17"/>
        <v>0.70641649445996302</v>
      </c>
      <c r="M62" s="236"/>
      <c r="N62" s="236"/>
    </row>
    <row r="63" spans="1:14" x14ac:dyDescent="0.25">
      <c r="A63" s="237" t="str">
        <f>name!E$7</f>
        <v>Administrative and secretarial occupations</v>
      </c>
      <c r="B63" s="302">
        <v>0.18575206622729454</v>
      </c>
      <c r="C63" s="302">
        <v>0.26962052000369907</v>
      </c>
      <c r="D63" s="302">
        <f t="shared" si="15"/>
        <v>0.45537258623099364</v>
      </c>
      <c r="E63" s="303"/>
      <c r="F63" s="302">
        <v>0.189962010513994</v>
      </c>
      <c r="G63" s="302">
        <v>0.28914267768719892</v>
      </c>
      <c r="H63" s="302">
        <f t="shared" si="16"/>
        <v>0.4791046882011929</v>
      </c>
      <c r="I63" s="303"/>
      <c r="J63" s="302">
        <v>0.14643736057086434</v>
      </c>
      <c r="K63" s="302">
        <v>0.32641180245086954</v>
      </c>
      <c r="L63" s="302">
        <f t="shared" si="17"/>
        <v>0.47284916302173385</v>
      </c>
      <c r="M63" s="236"/>
      <c r="N63" s="236"/>
    </row>
    <row r="64" spans="1:14" x14ac:dyDescent="0.25">
      <c r="A64" s="237" t="str">
        <f>name!E$8</f>
        <v>Skilled trades occupations</v>
      </c>
      <c r="B64" s="302">
        <v>0.13664389288593276</v>
      </c>
      <c r="C64" s="302">
        <v>0.92068483572540616</v>
      </c>
      <c r="D64" s="302">
        <f t="shared" si="15"/>
        <v>1.0573287286113389</v>
      </c>
      <c r="E64" s="303"/>
      <c r="F64" s="302">
        <v>0.11964352443159061</v>
      </c>
      <c r="G64" s="302">
        <v>0.63568096663534979</v>
      </c>
      <c r="H64" s="302">
        <f t="shared" si="16"/>
        <v>0.75532449106694044</v>
      </c>
      <c r="I64" s="303"/>
      <c r="J64" s="302">
        <v>8.9189909605093098E-2</v>
      </c>
      <c r="K64" s="302">
        <v>0.54588286391444318</v>
      </c>
      <c r="L64" s="302">
        <f t="shared" si="17"/>
        <v>0.63507277351953628</v>
      </c>
      <c r="M64" s="236"/>
      <c r="N64" s="236"/>
    </row>
    <row r="65" spans="1:14" x14ac:dyDescent="0.25">
      <c r="A65" s="237" t="str">
        <f>name!E$9</f>
        <v>Caring, leisure and other service occupations</v>
      </c>
      <c r="B65" s="302">
        <v>3.4509512847704066E-2</v>
      </c>
      <c r="C65" s="302">
        <v>2.9790548902588088E-2</v>
      </c>
      <c r="D65" s="302">
        <f t="shared" si="15"/>
        <v>6.4300061750292153E-2</v>
      </c>
      <c r="E65" s="303"/>
      <c r="F65" s="302">
        <v>3.9237105088205042E-2</v>
      </c>
      <c r="G65" s="302">
        <v>3.3329922089140353E-2</v>
      </c>
      <c r="H65" s="302">
        <f t="shared" si="16"/>
        <v>7.2567027177345395E-2</v>
      </c>
      <c r="I65" s="303"/>
      <c r="J65" s="302">
        <v>3.7375926683806911E-2</v>
      </c>
      <c r="K65" s="302">
        <v>3.0390434622145704E-2</v>
      </c>
      <c r="L65" s="302">
        <f t="shared" si="17"/>
        <v>6.7766361305952622E-2</v>
      </c>
      <c r="M65" s="236"/>
      <c r="N65" s="236"/>
    </row>
    <row r="66" spans="1:14" x14ac:dyDescent="0.25">
      <c r="A66" s="237" t="str">
        <f>name!E$10</f>
        <v>Sales and customer service occupations</v>
      </c>
      <c r="B66" s="302">
        <v>0.10701983439388697</v>
      </c>
      <c r="C66" s="302">
        <v>7.0883398681116205E-2</v>
      </c>
      <c r="D66" s="302">
        <f t="shared" si="15"/>
        <v>0.17790323307500316</v>
      </c>
      <c r="E66" s="303"/>
      <c r="F66" s="302">
        <v>9.6161615464131586E-2</v>
      </c>
      <c r="G66" s="302">
        <v>7.6598705991323471E-2</v>
      </c>
      <c r="H66" s="302">
        <f t="shared" si="16"/>
        <v>0.17276032145545506</v>
      </c>
      <c r="I66" s="303"/>
      <c r="J66" s="302">
        <v>7.5863148816407544E-2</v>
      </c>
      <c r="K66" s="302">
        <v>8.5730977118616186E-2</v>
      </c>
      <c r="L66" s="302">
        <f t="shared" si="17"/>
        <v>0.16159412593502373</v>
      </c>
      <c r="M66" s="236"/>
      <c r="N66" s="236"/>
    </row>
    <row r="67" spans="1:14" x14ac:dyDescent="0.25">
      <c r="A67" s="237" t="str">
        <f>name!E$11</f>
        <v>Process, plant and machine operatives</v>
      </c>
      <c r="B67" s="302">
        <v>0.73218258100957201</v>
      </c>
      <c r="C67" s="302">
        <v>1.8979949057480614</v>
      </c>
      <c r="D67" s="302">
        <f t="shared" si="15"/>
        <v>2.6301774867576335</v>
      </c>
      <c r="E67" s="303"/>
      <c r="F67" s="302">
        <v>0.57269652497336243</v>
      </c>
      <c r="G67" s="302">
        <v>1.5492757253584728</v>
      </c>
      <c r="H67" s="302">
        <f t="shared" si="16"/>
        <v>2.1219722503318352</v>
      </c>
      <c r="I67" s="303"/>
      <c r="J67" s="302">
        <v>0.47690281056513345</v>
      </c>
      <c r="K67" s="302">
        <v>1.303145431323586</v>
      </c>
      <c r="L67" s="302">
        <f t="shared" si="17"/>
        <v>1.7800482418887194</v>
      </c>
      <c r="M67" s="236"/>
      <c r="N67" s="236"/>
    </row>
    <row r="68" spans="1:14" x14ac:dyDescent="0.25">
      <c r="A68" s="237" t="str">
        <f>name!E$12</f>
        <v>Elementary occupations</v>
      </c>
      <c r="B68" s="302">
        <v>0.48075632635767157</v>
      </c>
      <c r="C68" s="302">
        <v>0.72101829890945301</v>
      </c>
      <c r="D68" s="302">
        <f t="shared" si="15"/>
        <v>1.2017746252671246</v>
      </c>
      <c r="E68" s="303"/>
      <c r="F68" s="302">
        <v>0.34724249585467792</v>
      </c>
      <c r="G68" s="302">
        <v>0.58306423679546726</v>
      </c>
      <c r="H68" s="302">
        <f t="shared" si="16"/>
        <v>0.93030673265014519</v>
      </c>
      <c r="I68" s="303"/>
      <c r="J68" s="302">
        <v>0.51788686127849759</v>
      </c>
      <c r="K68" s="302">
        <v>0.6385781135222659</v>
      </c>
      <c r="L68" s="302">
        <f t="shared" si="17"/>
        <v>1.1564649748007634</v>
      </c>
      <c r="M68" s="236"/>
      <c r="N68" s="236"/>
    </row>
    <row r="69" spans="1:14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5">
      <c r="A70" s="244" t="s">
        <v>33</v>
      </c>
      <c r="B70" s="311">
        <f>SUM(B60:B68)</f>
        <v>2.2811564580057038</v>
      </c>
      <c r="C70" s="311">
        <f t="shared" ref="C70:L70" si="18">SUM(C60:C68)</f>
        <v>4.730843541994286</v>
      </c>
      <c r="D70" s="311">
        <f t="shared" si="18"/>
        <v>7.0119999999999898</v>
      </c>
      <c r="E70" s="311"/>
      <c r="F70" s="311">
        <f t="shared" si="18"/>
        <v>2.1538195819044668</v>
      </c>
      <c r="G70" s="311">
        <f t="shared" si="18"/>
        <v>4.1431804180955334</v>
      </c>
      <c r="H70" s="311">
        <f t="shared" si="18"/>
        <v>6.2969999999999997</v>
      </c>
      <c r="I70" s="311"/>
      <c r="J70" s="311">
        <f t="shared" si="18"/>
        <v>2.2722183210722036</v>
      </c>
      <c r="K70" s="311">
        <f t="shared" si="18"/>
        <v>3.9167816789277783</v>
      </c>
      <c r="L70" s="311">
        <f t="shared" si="18"/>
        <v>6.1889999999999814</v>
      </c>
      <c r="M70" s="236"/>
      <c r="N70" s="236"/>
    </row>
    <row r="71" spans="1:14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ht="13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ht="13" x14ac:dyDescent="0.3">
      <c r="A74" s="241" t="str">
        <f>name!B7</f>
        <v>Engineering</v>
      </c>
      <c r="B74" s="376">
        <f>B$6</f>
        <v>2015</v>
      </c>
      <c r="C74" s="376"/>
      <c r="D74" s="376"/>
      <c r="E74" s="253"/>
      <c r="F74" s="376">
        <f>F57</f>
        <v>2020</v>
      </c>
      <c r="G74" s="376"/>
      <c r="H74" s="376"/>
      <c r="I74" s="253"/>
      <c r="J74" s="376">
        <f>J57</f>
        <v>2035</v>
      </c>
      <c r="K74" s="376"/>
      <c r="L74" s="376"/>
      <c r="M74" s="236"/>
      <c r="N74" s="236"/>
    </row>
    <row r="75" spans="1:14" ht="13" x14ac:dyDescent="0.3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5">
      <c r="A77" s="237" t="str">
        <f>name!E$4</f>
        <v>Managers, directors and senior officials</v>
      </c>
      <c r="B77" s="302">
        <v>0.12446270072459299</v>
      </c>
      <c r="C77" s="302">
        <v>0.6396083664223422</v>
      </c>
      <c r="D77" s="302">
        <f>SUM(B77:C77)</f>
        <v>0.76407106714693518</v>
      </c>
      <c r="E77" s="303"/>
      <c r="F77" s="302">
        <v>0.19597645768088995</v>
      </c>
      <c r="G77" s="302">
        <v>0.7583247126929632</v>
      </c>
      <c r="H77" s="302">
        <f>SUM(F77:G77)</f>
        <v>0.95430117037385309</v>
      </c>
      <c r="I77" s="303"/>
      <c r="J77" s="302">
        <v>0.1892849394449084</v>
      </c>
      <c r="K77" s="302">
        <v>0.6615487264454285</v>
      </c>
      <c r="L77" s="302">
        <f>SUM(J77:K77)</f>
        <v>0.85083366589033693</v>
      </c>
      <c r="M77" s="236"/>
      <c r="N77" s="236"/>
    </row>
    <row r="78" spans="1:14" x14ac:dyDescent="0.25">
      <c r="A78" s="237" t="str">
        <f>name!E$5</f>
        <v>Professional occupations</v>
      </c>
      <c r="B78" s="302">
        <v>0.170249091023984</v>
      </c>
      <c r="C78" s="302">
        <v>1.1474994522349968</v>
      </c>
      <c r="D78" s="302">
        <f t="shared" ref="D78:D85" si="19">SUM(B78:C78)</f>
        <v>1.3177485432589808</v>
      </c>
      <c r="E78" s="303"/>
      <c r="F78" s="302">
        <v>0.25958802052858393</v>
      </c>
      <c r="G78" s="302">
        <v>1.4498905773483635</v>
      </c>
      <c r="H78" s="302">
        <f t="shared" ref="H78:H85" si="20">SUM(F78:G78)</f>
        <v>1.7094785978769473</v>
      </c>
      <c r="I78" s="303"/>
      <c r="J78" s="302">
        <v>0.27381132139335784</v>
      </c>
      <c r="K78" s="302">
        <v>1.8351589579187704</v>
      </c>
      <c r="L78" s="302">
        <f t="shared" ref="L78:L85" si="21">SUM(J78:K78)</f>
        <v>2.1089702793121283</v>
      </c>
      <c r="M78" s="236"/>
      <c r="N78" s="236"/>
    </row>
    <row r="79" spans="1:14" x14ac:dyDescent="0.25">
      <c r="A79" s="237" t="str">
        <f>name!E$6</f>
        <v>Associate professional occupations</v>
      </c>
      <c r="B79" s="302">
        <v>0.20863030371007624</v>
      </c>
      <c r="C79" s="302">
        <v>0.49112450543135355</v>
      </c>
      <c r="D79" s="302">
        <f t="shared" si="19"/>
        <v>0.69975480914142985</v>
      </c>
      <c r="E79" s="303"/>
      <c r="F79" s="302">
        <v>0.27572407604292754</v>
      </c>
      <c r="G79" s="302">
        <v>0.60829082481051</v>
      </c>
      <c r="H79" s="302">
        <f t="shared" si="20"/>
        <v>0.88401490085343748</v>
      </c>
      <c r="I79" s="303"/>
      <c r="J79" s="302">
        <v>0.28265241946417041</v>
      </c>
      <c r="K79" s="302">
        <v>0.55224293353494769</v>
      </c>
      <c r="L79" s="302">
        <f t="shared" si="21"/>
        <v>0.8348953529991181</v>
      </c>
      <c r="M79" s="236"/>
      <c r="N79" s="236"/>
    </row>
    <row r="80" spans="1:14" x14ac:dyDescent="0.25">
      <c r="A80" s="237" t="str">
        <f>name!E$7</f>
        <v>Administrative and secretarial occupations</v>
      </c>
      <c r="B80" s="302">
        <v>0.44413607179060877</v>
      </c>
      <c r="C80" s="302">
        <v>0.11250239547825928</v>
      </c>
      <c r="D80" s="302">
        <f t="shared" si="19"/>
        <v>0.55663846726886801</v>
      </c>
      <c r="E80" s="303"/>
      <c r="F80" s="302">
        <v>0.50273938853126021</v>
      </c>
      <c r="G80" s="302">
        <v>0.13832693549833444</v>
      </c>
      <c r="H80" s="302">
        <f t="shared" si="20"/>
        <v>0.64106632402959463</v>
      </c>
      <c r="I80" s="303"/>
      <c r="J80" s="302">
        <v>0.37902098269449569</v>
      </c>
      <c r="K80" s="302">
        <v>0.16771648265223521</v>
      </c>
      <c r="L80" s="302">
        <f t="shared" si="21"/>
        <v>0.54673746534673096</v>
      </c>
      <c r="M80" s="236"/>
      <c r="N80" s="236"/>
    </row>
    <row r="81" spans="1:14" x14ac:dyDescent="0.25">
      <c r="A81" s="237" t="str">
        <f>name!E$8</f>
        <v>Skilled trades occupations</v>
      </c>
      <c r="B81" s="302">
        <v>4.2525809022081133E-2</v>
      </c>
      <c r="C81" s="302">
        <v>1.845592840228037</v>
      </c>
      <c r="D81" s="302">
        <f t="shared" si="19"/>
        <v>1.8881186492501181</v>
      </c>
      <c r="E81" s="303"/>
      <c r="F81" s="302">
        <v>5.2878941462214946E-2</v>
      </c>
      <c r="G81" s="302">
        <v>1.6176522274178162</v>
      </c>
      <c r="H81" s="302">
        <f t="shared" si="20"/>
        <v>1.6705311688800313</v>
      </c>
      <c r="I81" s="303"/>
      <c r="J81" s="302">
        <v>6.9263642110099027E-2</v>
      </c>
      <c r="K81" s="302">
        <v>1.2642468318582971</v>
      </c>
      <c r="L81" s="302">
        <f t="shared" si="21"/>
        <v>1.3335104739683961</v>
      </c>
      <c r="M81" s="236"/>
      <c r="N81" s="236"/>
    </row>
    <row r="82" spans="1:14" x14ac:dyDescent="0.25">
      <c r="A82" s="237" t="str">
        <f>name!E$9</f>
        <v>Caring, leisure and other service occupations</v>
      </c>
      <c r="B82" s="302">
        <v>3.5339656626472184E-2</v>
      </c>
      <c r="C82" s="302">
        <v>1.186673782472626E-2</v>
      </c>
      <c r="D82" s="302">
        <f t="shared" si="19"/>
        <v>4.7206394451198445E-2</v>
      </c>
      <c r="E82" s="303"/>
      <c r="F82" s="302">
        <v>4.7016526383799002E-2</v>
      </c>
      <c r="G82" s="302">
        <v>1.1610344975109484E-2</v>
      </c>
      <c r="H82" s="302">
        <f t="shared" si="20"/>
        <v>5.8626871358908483E-2</v>
      </c>
      <c r="I82" s="303"/>
      <c r="J82" s="302">
        <v>5.1141200194961593E-2</v>
      </c>
      <c r="K82" s="302">
        <v>1.1558301678192389E-2</v>
      </c>
      <c r="L82" s="302">
        <f t="shared" si="21"/>
        <v>6.2699501873153984E-2</v>
      </c>
      <c r="M82" s="236"/>
      <c r="N82" s="236"/>
    </row>
    <row r="83" spans="1:14" x14ac:dyDescent="0.25">
      <c r="A83" s="237" t="str">
        <f>name!E$10</f>
        <v>Sales and customer service occupations</v>
      </c>
      <c r="B83" s="302">
        <v>9.3682808682820959E-2</v>
      </c>
      <c r="C83" s="302">
        <v>0.10512610075971568</v>
      </c>
      <c r="D83" s="302">
        <f t="shared" si="19"/>
        <v>0.19880890944253665</v>
      </c>
      <c r="E83" s="303"/>
      <c r="F83" s="302">
        <v>0.1092815164525132</v>
      </c>
      <c r="G83" s="302">
        <v>0.12297604178453142</v>
      </c>
      <c r="H83" s="302">
        <f t="shared" si="20"/>
        <v>0.23225755823704464</v>
      </c>
      <c r="I83" s="303"/>
      <c r="J83" s="302">
        <v>9.0290004138409236E-2</v>
      </c>
      <c r="K83" s="302">
        <v>0.14958349273254953</v>
      </c>
      <c r="L83" s="302">
        <f t="shared" si="21"/>
        <v>0.23987349687095877</v>
      </c>
      <c r="M83" s="236"/>
      <c r="N83" s="236"/>
    </row>
    <row r="84" spans="1:14" x14ac:dyDescent="0.25">
      <c r="A84" s="237" t="str">
        <f>name!E$11</f>
        <v>Process, plant and machine operatives</v>
      </c>
      <c r="B84" s="302">
        <v>0.2601581817217189</v>
      </c>
      <c r="C84" s="302">
        <v>0.95499145772836413</v>
      </c>
      <c r="D84" s="302">
        <f t="shared" si="19"/>
        <v>1.2151496394500829</v>
      </c>
      <c r="E84" s="303"/>
      <c r="F84" s="302">
        <v>0.20985406587982133</v>
      </c>
      <c r="G84" s="302">
        <v>0.81977166431364612</v>
      </c>
      <c r="H84" s="302">
        <f t="shared" si="20"/>
        <v>1.0296257301934675</v>
      </c>
      <c r="I84" s="303"/>
      <c r="J84" s="302">
        <v>0.1742639565091727</v>
      </c>
      <c r="K84" s="302">
        <v>0.68363649963854434</v>
      </c>
      <c r="L84" s="302">
        <f t="shared" si="21"/>
        <v>0.85790045614771704</v>
      </c>
      <c r="M84" s="236"/>
      <c r="N84" s="236"/>
    </row>
    <row r="85" spans="1:14" x14ac:dyDescent="0.25">
      <c r="A85" s="237" t="str">
        <f>name!E$12</f>
        <v>Elementary occupations</v>
      </c>
      <c r="B85" s="302">
        <v>7.7311581345924252E-2</v>
      </c>
      <c r="C85" s="302">
        <v>0.19519193924393097</v>
      </c>
      <c r="D85" s="302">
        <f t="shared" si="19"/>
        <v>0.27250352058985522</v>
      </c>
      <c r="E85" s="303"/>
      <c r="F85" s="302">
        <v>6.9446663515760149E-2</v>
      </c>
      <c r="G85" s="302">
        <v>0.1656510146809439</v>
      </c>
      <c r="H85" s="302">
        <f t="shared" si="20"/>
        <v>0.23509767819670405</v>
      </c>
      <c r="I85" s="303"/>
      <c r="J85" s="302">
        <v>0.10601546464101561</v>
      </c>
      <c r="K85" s="302">
        <v>0.14956384295044212</v>
      </c>
      <c r="L85" s="302">
        <f t="shared" si="21"/>
        <v>0.25557930759145775</v>
      </c>
      <c r="M85" s="236"/>
      <c r="N85" s="236"/>
    </row>
    <row r="86" spans="1:14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5">
      <c r="A87" s="244" t="s">
        <v>33</v>
      </c>
      <c r="B87" s="311">
        <f>SUM(B77:B85)</f>
        <v>1.4564962046482792</v>
      </c>
      <c r="C87" s="311">
        <f t="shared" ref="C87:D87" si="22">SUM(C77:C85)</f>
        <v>5.5035037953517261</v>
      </c>
      <c r="D87" s="311">
        <f t="shared" si="22"/>
        <v>6.9600000000000053</v>
      </c>
      <c r="E87" s="311"/>
      <c r="F87" s="311">
        <f t="shared" ref="F87:H87" si="23">SUM(F77:F85)</f>
        <v>1.7225056564777703</v>
      </c>
      <c r="G87" s="311">
        <f t="shared" si="23"/>
        <v>5.6924943435222177</v>
      </c>
      <c r="H87" s="311">
        <f t="shared" si="23"/>
        <v>7.4149999999999894</v>
      </c>
      <c r="I87" s="311"/>
      <c r="J87" s="311">
        <f t="shared" ref="J87:L87" si="24">SUM(J77:J85)</f>
        <v>1.6157439305905905</v>
      </c>
      <c r="K87" s="311">
        <f t="shared" si="24"/>
        <v>5.4752560694094079</v>
      </c>
      <c r="L87" s="311">
        <f t="shared" si="24"/>
        <v>7.0909999999999975</v>
      </c>
      <c r="M87" s="236"/>
      <c r="N87" s="236"/>
    </row>
    <row r="88" spans="1:14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ht="13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ht="13" x14ac:dyDescent="0.3">
      <c r="A91" s="241" t="str">
        <f>name!B8</f>
        <v>Rest of manufacturing</v>
      </c>
      <c r="B91" s="376">
        <f>B$6</f>
        <v>2015</v>
      </c>
      <c r="C91" s="376"/>
      <c r="D91" s="376"/>
      <c r="E91" s="253"/>
      <c r="F91" s="376">
        <f>F74</f>
        <v>2020</v>
      </c>
      <c r="G91" s="376"/>
      <c r="H91" s="376"/>
      <c r="I91" s="253"/>
      <c r="J91" s="376">
        <f>J74</f>
        <v>2035</v>
      </c>
      <c r="K91" s="376"/>
      <c r="L91" s="376"/>
      <c r="M91" s="236"/>
      <c r="N91" s="236"/>
    </row>
    <row r="92" spans="1:14" ht="13" x14ac:dyDescent="0.3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5">
      <c r="A94" s="237" t="str">
        <f>name!E$4</f>
        <v>Managers, directors and senior officials</v>
      </c>
      <c r="B94" s="302">
        <v>0.76774127783901325</v>
      </c>
      <c r="C94" s="302">
        <v>3.8363371180362034</v>
      </c>
      <c r="D94" s="302">
        <f>SUM(B94:C94)</f>
        <v>4.6040783958752165</v>
      </c>
      <c r="E94" s="303"/>
      <c r="F94" s="302">
        <v>1.0721500913380098</v>
      </c>
      <c r="G94" s="302">
        <v>3.9090891851359211</v>
      </c>
      <c r="H94" s="302">
        <f>SUM(F94:G94)</f>
        <v>4.9812392764739304</v>
      </c>
      <c r="I94" s="303"/>
      <c r="J94" s="302">
        <v>0.88289562473050209</v>
      </c>
      <c r="K94" s="302">
        <v>3.1400424600280896</v>
      </c>
      <c r="L94" s="302">
        <f>SUM(J94:K94)</f>
        <v>4.022938084758592</v>
      </c>
      <c r="M94" s="236"/>
      <c r="N94" s="236"/>
    </row>
    <row r="95" spans="1:14" x14ac:dyDescent="0.25">
      <c r="A95" s="237" t="str">
        <f>name!E$5</f>
        <v>Professional occupations</v>
      </c>
      <c r="B95" s="302">
        <v>0.99841237305325514</v>
      </c>
      <c r="C95" s="302">
        <v>5.6747170804915834</v>
      </c>
      <c r="D95" s="302">
        <f t="shared" ref="D95:D102" si="25">SUM(B95:C95)</f>
        <v>6.6731294535448384</v>
      </c>
      <c r="E95" s="303"/>
      <c r="F95" s="302">
        <v>1.476402181604094</v>
      </c>
      <c r="G95" s="302">
        <v>6.5000579299740986</v>
      </c>
      <c r="H95" s="302">
        <f t="shared" ref="H95:H102" si="26">SUM(F95:G95)</f>
        <v>7.9764601115781923</v>
      </c>
      <c r="I95" s="303"/>
      <c r="J95" s="302">
        <v>1.4863860921151926</v>
      </c>
      <c r="K95" s="302">
        <v>7.3903669191076364</v>
      </c>
      <c r="L95" s="302">
        <f t="shared" ref="L95:L102" si="27">SUM(J95:K95)</f>
        <v>8.8767530112228297</v>
      </c>
      <c r="M95" s="236"/>
      <c r="N95" s="236"/>
    </row>
    <row r="96" spans="1:14" x14ac:dyDescent="0.25">
      <c r="A96" s="237" t="str">
        <f>name!E$6</f>
        <v>Associate professional occupations</v>
      </c>
      <c r="B96" s="302">
        <v>1.2007459961002847</v>
      </c>
      <c r="C96" s="302">
        <v>3.1966003407800736</v>
      </c>
      <c r="D96" s="302">
        <f t="shared" si="25"/>
        <v>4.397346336880358</v>
      </c>
      <c r="E96" s="303"/>
      <c r="F96" s="302">
        <v>1.5163153393845694</v>
      </c>
      <c r="G96" s="302">
        <v>3.5299286110419539</v>
      </c>
      <c r="H96" s="302">
        <f t="shared" si="26"/>
        <v>5.0462439504265237</v>
      </c>
      <c r="I96" s="303"/>
      <c r="J96" s="302">
        <v>1.3492897404238233</v>
      </c>
      <c r="K96" s="302">
        <v>2.9532190253102035</v>
      </c>
      <c r="L96" s="302">
        <f t="shared" si="27"/>
        <v>4.3025087657340269</v>
      </c>
      <c r="M96" s="236"/>
      <c r="N96" s="236"/>
    </row>
    <row r="97" spans="1:14" x14ac:dyDescent="0.25">
      <c r="A97" s="237" t="str">
        <f>name!E$7</f>
        <v>Administrative and secretarial occupations</v>
      </c>
      <c r="B97" s="302">
        <v>2.5636713481310611</v>
      </c>
      <c r="C97" s="302">
        <v>1.2206371055442635</v>
      </c>
      <c r="D97" s="302">
        <f t="shared" si="25"/>
        <v>3.7843084536753246</v>
      </c>
      <c r="E97" s="303"/>
      <c r="F97" s="302">
        <v>2.6244511073942998</v>
      </c>
      <c r="G97" s="302">
        <v>1.4202745596107158</v>
      </c>
      <c r="H97" s="302">
        <f t="shared" si="26"/>
        <v>4.0447256670050153</v>
      </c>
      <c r="I97" s="303"/>
      <c r="J97" s="302">
        <v>1.8963425881488234</v>
      </c>
      <c r="K97" s="302">
        <v>1.453792369690369</v>
      </c>
      <c r="L97" s="302">
        <f t="shared" si="27"/>
        <v>3.3501349578391926</v>
      </c>
      <c r="M97" s="236"/>
      <c r="N97" s="236"/>
    </row>
    <row r="98" spans="1:14" x14ac:dyDescent="0.25">
      <c r="A98" s="237" t="str">
        <f>name!E$8</f>
        <v>Skilled trades occupations</v>
      </c>
      <c r="B98" s="302">
        <v>0.62300335284859687</v>
      </c>
      <c r="C98" s="302">
        <v>17.269918502848171</v>
      </c>
      <c r="D98" s="302">
        <f t="shared" si="25"/>
        <v>17.892921855696766</v>
      </c>
      <c r="E98" s="303"/>
      <c r="F98" s="302">
        <v>0.76128336900328553</v>
      </c>
      <c r="G98" s="302">
        <v>12.680341624383781</v>
      </c>
      <c r="H98" s="302">
        <f t="shared" si="26"/>
        <v>13.441624993387066</v>
      </c>
      <c r="I98" s="303"/>
      <c r="J98" s="302">
        <v>0.66047541583330782</v>
      </c>
      <c r="K98" s="302">
        <v>9.8009986732949628</v>
      </c>
      <c r="L98" s="302">
        <f t="shared" si="27"/>
        <v>10.46147408912827</v>
      </c>
      <c r="M98" s="236"/>
      <c r="N98" s="236"/>
    </row>
    <row r="99" spans="1:14" x14ac:dyDescent="0.25">
      <c r="A99" s="237" t="str">
        <f>name!E$9</f>
        <v>Caring, leisure and other service occupations</v>
      </c>
      <c r="B99" s="302">
        <v>0.28320449705862677</v>
      </c>
      <c r="C99" s="302">
        <v>0.22085475038664101</v>
      </c>
      <c r="D99" s="302">
        <f t="shared" si="25"/>
        <v>0.50405924744526776</v>
      </c>
      <c r="E99" s="303"/>
      <c r="F99" s="302">
        <v>0.30955127985600833</v>
      </c>
      <c r="G99" s="302">
        <v>0.36115359081849857</v>
      </c>
      <c r="H99" s="302">
        <f t="shared" si="26"/>
        <v>0.6707048706745069</v>
      </c>
      <c r="I99" s="303"/>
      <c r="J99" s="302">
        <v>0.22814942055500054</v>
      </c>
      <c r="K99" s="302">
        <v>0.36984945481801229</v>
      </c>
      <c r="L99" s="302">
        <f t="shared" si="27"/>
        <v>0.59799887537301277</v>
      </c>
      <c r="M99" s="236"/>
      <c r="N99" s="236"/>
    </row>
    <row r="100" spans="1:14" x14ac:dyDescent="0.25">
      <c r="A100" s="237" t="str">
        <f>name!E$10</f>
        <v>Sales and customer service occupations</v>
      </c>
      <c r="B100" s="302">
        <v>0.74410066599672053</v>
      </c>
      <c r="C100" s="302">
        <v>0.84632933483962203</v>
      </c>
      <c r="D100" s="302">
        <f t="shared" si="25"/>
        <v>1.5904300008363426</v>
      </c>
      <c r="E100" s="303"/>
      <c r="F100" s="302">
        <v>0.75048844053899111</v>
      </c>
      <c r="G100" s="302">
        <v>0.93050015880414094</v>
      </c>
      <c r="H100" s="302">
        <f t="shared" si="26"/>
        <v>1.6809885993431322</v>
      </c>
      <c r="I100" s="303"/>
      <c r="J100" s="302">
        <v>0.60101286711124047</v>
      </c>
      <c r="K100" s="302">
        <v>0.90984377652435133</v>
      </c>
      <c r="L100" s="302">
        <f t="shared" si="27"/>
        <v>1.5108566436355919</v>
      </c>
      <c r="M100" s="236"/>
      <c r="N100" s="236"/>
    </row>
    <row r="101" spans="1:14" x14ac:dyDescent="0.25">
      <c r="A101" s="237" t="str">
        <f>name!E$11</f>
        <v>Process, plant and machine operatives</v>
      </c>
      <c r="B101" s="302">
        <v>1.6174961649732729</v>
      </c>
      <c r="C101" s="302">
        <v>10.578337836400122</v>
      </c>
      <c r="D101" s="302">
        <f t="shared" si="25"/>
        <v>12.195834001373395</v>
      </c>
      <c r="E101" s="303"/>
      <c r="F101" s="302">
        <v>1.5849861147454669</v>
      </c>
      <c r="G101" s="302">
        <v>8.2102558527697056</v>
      </c>
      <c r="H101" s="302">
        <f t="shared" si="26"/>
        <v>9.7952419675151727</v>
      </c>
      <c r="I101" s="303"/>
      <c r="J101" s="302">
        <v>1.5542237997410138</v>
      </c>
      <c r="K101" s="302">
        <v>6.6193190597708851</v>
      </c>
      <c r="L101" s="302">
        <f t="shared" si="27"/>
        <v>8.1735428595118993</v>
      </c>
      <c r="M101" s="236"/>
      <c r="N101" s="236"/>
    </row>
    <row r="102" spans="1:14" x14ac:dyDescent="0.25">
      <c r="A102" s="237" t="str">
        <f>name!E$12</f>
        <v>Elementary occupations</v>
      </c>
      <c r="B102" s="302">
        <v>0.83031489495585753</v>
      </c>
      <c r="C102" s="302">
        <v>2.2145773597165643</v>
      </c>
      <c r="D102" s="302">
        <f t="shared" si="25"/>
        <v>3.0448922546724217</v>
      </c>
      <c r="E102" s="303"/>
      <c r="F102" s="302">
        <v>0.71906635815505249</v>
      </c>
      <c r="G102" s="302">
        <v>1.8107042054414166</v>
      </c>
      <c r="H102" s="302">
        <f t="shared" si="26"/>
        <v>2.5297705635964691</v>
      </c>
      <c r="I102" s="303"/>
      <c r="J102" s="302">
        <v>0.8505981085818316</v>
      </c>
      <c r="K102" s="302">
        <v>1.4631946042146708</v>
      </c>
      <c r="L102" s="302">
        <f t="shared" si="27"/>
        <v>2.3137927127965026</v>
      </c>
      <c r="M102" s="236"/>
      <c r="N102" s="236"/>
    </row>
    <row r="103" spans="1:14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5">
      <c r="A104" s="244" t="s">
        <v>33</v>
      </c>
      <c r="B104" s="311">
        <f>SUM(B94:B102)</f>
        <v>9.6286905709566906</v>
      </c>
      <c r="C104" s="311">
        <f t="shared" ref="C104:D104" si="28">SUM(C94:C102)</f>
        <v>45.058309429043248</v>
      </c>
      <c r="D104" s="311">
        <f t="shared" si="28"/>
        <v>54.686999999999927</v>
      </c>
      <c r="E104" s="311"/>
      <c r="F104" s="311">
        <f t="shared" ref="F104:H104" si="29">SUM(F94:F102)</f>
        <v>10.814694282019778</v>
      </c>
      <c r="G104" s="311">
        <f t="shared" si="29"/>
        <v>39.352305717980236</v>
      </c>
      <c r="H104" s="311">
        <f t="shared" si="29"/>
        <v>50.167000000000009</v>
      </c>
      <c r="I104" s="311"/>
      <c r="J104" s="311">
        <f t="shared" ref="J104:L104" si="30">SUM(J94:J102)</f>
        <v>9.5093736572407366</v>
      </c>
      <c r="K104" s="311">
        <f t="shared" si="30"/>
        <v>34.100626342759185</v>
      </c>
      <c r="L104" s="311">
        <f t="shared" si="30"/>
        <v>43.609999999999921</v>
      </c>
      <c r="M104" s="236"/>
      <c r="N104" s="236"/>
    </row>
    <row r="105" spans="1:14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ht="13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ht="13" x14ac:dyDescent="0.3">
      <c r="A108" s="241" t="str">
        <f>name!B9</f>
        <v>Electricity and gas</v>
      </c>
      <c r="B108" s="376">
        <f>B$6</f>
        <v>2015</v>
      </c>
      <c r="C108" s="376"/>
      <c r="D108" s="376"/>
      <c r="E108" s="253"/>
      <c r="F108" s="376">
        <f>F91</f>
        <v>2020</v>
      </c>
      <c r="G108" s="376"/>
      <c r="H108" s="376"/>
      <c r="I108" s="253"/>
      <c r="J108" s="376">
        <f>J91</f>
        <v>2035</v>
      </c>
      <c r="K108" s="376"/>
      <c r="L108" s="376"/>
      <c r="M108" s="236"/>
      <c r="N108" s="236"/>
    </row>
    <row r="109" spans="1:14" ht="13" x14ac:dyDescent="0.3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5">
      <c r="A111" s="237" t="str">
        <f>name!E$4</f>
        <v>Managers, directors and senior officials</v>
      </c>
      <c r="B111" s="302">
        <v>0.16074099371055775</v>
      </c>
      <c r="C111" s="302">
        <v>0.35202685562289088</v>
      </c>
      <c r="D111" s="302">
        <f>SUM(B111:C111)</f>
        <v>0.51276784933344866</v>
      </c>
      <c r="E111" s="303"/>
      <c r="F111" s="302">
        <v>8.7776267997939611E-2</v>
      </c>
      <c r="G111" s="302">
        <v>0.12242520081415774</v>
      </c>
      <c r="H111" s="302">
        <f>SUM(F111:G111)</f>
        <v>0.21020146881209734</v>
      </c>
      <c r="I111" s="303"/>
      <c r="J111" s="302">
        <v>8.5086325125853859E-2</v>
      </c>
      <c r="K111" s="302">
        <v>0.10220572890497645</v>
      </c>
      <c r="L111" s="302">
        <f>SUM(J111:K111)</f>
        <v>0.18729205403083032</v>
      </c>
      <c r="M111" s="236"/>
      <c r="N111" s="236"/>
    </row>
    <row r="112" spans="1:14" x14ac:dyDescent="0.25">
      <c r="A112" s="237" t="str">
        <f>name!E$5</f>
        <v>Professional occupations</v>
      </c>
      <c r="B112" s="302">
        <v>0.18645085466336606</v>
      </c>
      <c r="C112" s="302">
        <v>0.93926867791596969</v>
      </c>
      <c r="D112" s="302">
        <f t="shared" ref="D112:D119" si="31">SUM(B112:C112)</f>
        <v>1.1257195325793357</v>
      </c>
      <c r="E112" s="303"/>
      <c r="F112" s="302">
        <v>0.11180233437636312</v>
      </c>
      <c r="G112" s="302">
        <v>0.39563696685657218</v>
      </c>
      <c r="H112" s="302">
        <f t="shared" ref="H112:H119" si="32">SUM(F112:G112)</f>
        <v>0.50743930123293535</v>
      </c>
      <c r="I112" s="303"/>
      <c r="J112" s="302">
        <v>0.13467556879901302</v>
      </c>
      <c r="K112" s="302">
        <v>0.45747252034106384</v>
      </c>
      <c r="L112" s="302">
        <f t="shared" ref="L112:L119" si="33">SUM(J112:K112)</f>
        <v>0.59214808914007688</v>
      </c>
      <c r="M112" s="236"/>
      <c r="N112" s="236"/>
    </row>
    <row r="113" spans="1:14" x14ac:dyDescent="0.25">
      <c r="A113" s="237" t="str">
        <f>name!E$6</f>
        <v>Associate professional occupations</v>
      </c>
      <c r="B113" s="302">
        <v>0.17885828896224368</v>
      </c>
      <c r="C113" s="302">
        <v>0.58600925149011729</v>
      </c>
      <c r="D113" s="302">
        <f t="shared" si="31"/>
        <v>0.76486754045236094</v>
      </c>
      <c r="E113" s="303"/>
      <c r="F113" s="302">
        <v>9.2739194849370557E-2</v>
      </c>
      <c r="G113" s="302">
        <v>0.25815843923961629</v>
      </c>
      <c r="H113" s="302">
        <f t="shared" si="32"/>
        <v>0.35089763408898683</v>
      </c>
      <c r="I113" s="303"/>
      <c r="J113" s="302">
        <v>9.422803612515207E-2</v>
      </c>
      <c r="K113" s="302">
        <v>0.22145604593517709</v>
      </c>
      <c r="L113" s="302">
        <f t="shared" si="33"/>
        <v>0.31568408206032916</v>
      </c>
      <c r="M113" s="236"/>
      <c r="N113" s="236"/>
    </row>
    <row r="114" spans="1:14" x14ac:dyDescent="0.25">
      <c r="A114" s="237" t="str">
        <f>name!E$7</f>
        <v>Administrative and secretarial occupations</v>
      </c>
      <c r="B114" s="302">
        <v>0.42882171596997143</v>
      </c>
      <c r="C114" s="302">
        <v>0.19766563514522795</v>
      </c>
      <c r="D114" s="302">
        <f t="shared" si="31"/>
        <v>0.62648735111519938</v>
      </c>
      <c r="E114" s="303"/>
      <c r="F114" s="302">
        <v>0.17268556027840226</v>
      </c>
      <c r="G114" s="302">
        <v>7.7458788003689771E-2</v>
      </c>
      <c r="H114" s="302">
        <f t="shared" si="32"/>
        <v>0.25014434828209203</v>
      </c>
      <c r="I114" s="303"/>
      <c r="J114" s="302">
        <v>0.12217929357412706</v>
      </c>
      <c r="K114" s="302">
        <v>7.5328512468097186E-2</v>
      </c>
      <c r="L114" s="302">
        <f t="shared" si="33"/>
        <v>0.19750780604222423</v>
      </c>
      <c r="M114" s="236"/>
      <c r="N114" s="236"/>
    </row>
    <row r="115" spans="1:14" x14ac:dyDescent="0.25">
      <c r="A115" s="237" t="str">
        <f>name!E$8</f>
        <v>Skilled trades occupations</v>
      </c>
      <c r="B115" s="302">
        <v>2.2396537924053442E-2</v>
      </c>
      <c r="C115" s="302">
        <v>1.3313301389815151</v>
      </c>
      <c r="D115" s="302">
        <f t="shared" si="31"/>
        <v>1.3537266769055685</v>
      </c>
      <c r="E115" s="303"/>
      <c r="F115" s="302">
        <v>1.1241130691376767E-2</v>
      </c>
      <c r="G115" s="302">
        <v>0.3646970180941419</v>
      </c>
      <c r="H115" s="302">
        <f t="shared" si="32"/>
        <v>0.37593814878551868</v>
      </c>
      <c r="I115" s="303"/>
      <c r="J115" s="302">
        <v>1.9856213301825392E-2</v>
      </c>
      <c r="K115" s="302">
        <v>0.25003573994078038</v>
      </c>
      <c r="L115" s="302">
        <f t="shared" si="33"/>
        <v>0.26989195324260579</v>
      </c>
      <c r="M115" s="236"/>
      <c r="N115" s="236"/>
    </row>
    <row r="116" spans="1:14" x14ac:dyDescent="0.25">
      <c r="A116" s="237" t="str">
        <f>name!E$9</f>
        <v>Caring, leisure and other service occupations</v>
      </c>
      <c r="B116" s="302">
        <v>2.640179582336424E-2</v>
      </c>
      <c r="C116" s="302">
        <v>3.1572468597159349E-2</v>
      </c>
      <c r="D116" s="302">
        <f t="shared" si="31"/>
        <v>5.7974264420523586E-2</v>
      </c>
      <c r="E116" s="303"/>
      <c r="F116" s="302">
        <v>9.7991824695739665E-3</v>
      </c>
      <c r="G116" s="302">
        <v>1.0079730394202582E-2</v>
      </c>
      <c r="H116" s="302">
        <f t="shared" si="32"/>
        <v>1.9878912863776549E-2</v>
      </c>
      <c r="I116" s="303"/>
      <c r="J116" s="302">
        <v>6.1910305670447611E-3</v>
      </c>
      <c r="K116" s="302">
        <v>7.745381523125012E-3</v>
      </c>
      <c r="L116" s="302">
        <f t="shared" si="33"/>
        <v>1.3936412090169773E-2</v>
      </c>
      <c r="M116" s="236"/>
      <c r="N116" s="236"/>
    </row>
    <row r="117" spans="1:14" x14ac:dyDescent="0.25">
      <c r="A117" s="237" t="str">
        <f>name!E$10</f>
        <v>Sales and customer service occupations</v>
      </c>
      <c r="B117" s="302">
        <v>0.21622168329381106</v>
      </c>
      <c r="C117" s="302">
        <v>0.20254210733467001</v>
      </c>
      <c r="D117" s="302">
        <f t="shared" si="31"/>
        <v>0.41876379062848107</v>
      </c>
      <c r="E117" s="303"/>
      <c r="F117" s="302">
        <v>9.3235536563412172E-2</v>
      </c>
      <c r="G117" s="302">
        <v>6.6042716955970082E-2</v>
      </c>
      <c r="H117" s="302">
        <f t="shared" si="32"/>
        <v>0.15927825351938224</v>
      </c>
      <c r="I117" s="303"/>
      <c r="J117" s="302">
        <v>8.9582719535250141E-2</v>
      </c>
      <c r="K117" s="302">
        <v>7.0528561864527994E-2</v>
      </c>
      <c r="L117" s="302">
        <f t="shared" si="33"/>
        <v>0.16011128139977815</v>
      </c>
      <c r="M117" s="236"/>
      <c r="N117" s="236"/>
    </row>
    <row r="118" spans="1:14" x14ac:dyDescent="0.25">
      <c r="A118" s="237" t="str">
        <f>name!E$11</f>
        <v>Process, plant and machine operatives</v>
      </c>
      <c r="B118" s="302">
        <v>1.9613666082684836E-2</v>
      </c>
      <c r="C118" s="302">
        <v>0.25847849140882123</v>
      </c>
      <c r="D118" s="302">
        <f t="shared" si="31"/>
        <v>0.27809215749150606</v>
      </c>
      <c r="E118" s="303"/>
      <c r="F118" s="302">
        <v>6.3431772795506632E-3</v>
      </c>
      <c r="G118" s="302">
        <v>6.803431951976914E-2</v>
      </c>
      <c r="H118" s="302">
        <f t="shared" si="32"/>
        <v>7.4377496799319806E-2</v>
      </c>
      <c r="I118" s="303"/>
      <c r="J118" s="302">
        <v>3.198942397979361E-3</v>
      </c>
      <c r="K118" s="302">
        <v>5.9004921740688006E-2</v>
      </c>
      <c r="L118" s="302">
        <f t="shared" si="33"/>
        <v>6.2203864138667367E-2</v>
      </c>
      <c r="M118" s="236"/>
      <c r="N118" s="236"/>
    </row>
    <row r="119" spans="1:14" x14ac:dyDescent="0.25">
      <c r="A119" s="237" t="str">
        <f>name!E$12</f>
        <v>Elementary occupations</v>
      </c>
      <c r="B119" s="302">
        <v>2.2627945307216107E-2</v>
      </c>
      <c r="C119" s="302">
        <v>6.3972891766354859E-2</v>
      </c>
      <c r="D119" s="302">
        <f t="shared" si="31"/>
        <v>8.6600837073570969E-2</v>
      </c>
      <c r="E119" s="303"/>
      <c r="F119" s="302">
        <v>7.1145535185988566E-3</v>
      </c>
      <c r="G119" s="302">
        <v>1.572988209729026E-2</v>
      </c>
      <c r="H119" s="302">
        <f t="shared" si="32"/>
        <v>2.2844435615889117E-2</v>
      </c>
      <c r="I119" s="303"/>
      <c r="J119" s="302">
        <v>7.7520780458349226E-3</v>
      </c>
      <c r="K119" s="302">
        <v>1.1472379809486526E-2</v>
      </c>
      <c r="L119" s="302">
        <f t="shared" si="33"/>
        <v>1.9224457855321449E-2</v>
      </c>
      <c r="M119" s="236"/>
      <c r="N119" s="236"/>
    </row>
    <row r="120" spans="1:14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5">
      <c r="A121" s="244" t="s">
        <v>33</v>
      </c>
      <c r="B121" s="311">
        <f>SUM(B111:B119)</f>
        <v>1.2621334817372687</v>
      </c>
      <c r="C121" s="311">
        <f t="shared" ref="C121:D121" si="34">SUM(C111:C119)</f>
        <v>3.9628665182627265</v>
      </c>
      <c r="D121" s="311">
        <f t="shared" si="34"/>
        <v>5.2249999999999943</v>
      </c>
      <c r="E121" s="311"/>
      <c r="F121" s="311">
        <f t="shared" ref="F121:H121" si="35">SUM(F111:F119)</f>
        <v>0.59273693802458804</v>
      </c>
      <c r="G121" s="311">
        <f t="shared" si="35"/>
        <v>1.3782630619754099</v>
      </c>
      <c r="H121" s="311">
        <f t="shared" si="35"/>
        <v>1.9709999999999981</v>
      </c>
      <c r="I121" s="311"/>
      <c r="J121" s="311">
        <f t="shared" ref="J121:L121" si="36">SUM(J111:J119)</f>
        <v>0.5627502074720806</v>
      </c>
      <c r="K121" s="311">
        <f t="shared" si="36"/>
        <v>1.2552497925279225</v>
      </c>
      <c r="L121" s="311">
        <f t="shared" si="36"/>
        <v>1.8180000000000032</v>
      </c>
      <c r="M121" s="236"/>
      <c r="N121" s="236"/>
    </row>
    <row r="122" spans="1:14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ht="13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ht="13" x14ac:dyDescent="0.3">
      <c r="A125" s="241" t="str">
        <f>name!B10</f>
        <v>Water and sewerage</v>
      </c>
      <c r="B125" s="376">
        <f>B$6</f>
        <v>2015</v>
      </c>
      <c r="C125" s="376"/>
      <c r="D125" s="376"/>
      <c r="E125" s="253"/>
      <c r="F125" s="376">
        <f>F108</f>
        <v>2020</v>
      </c>
      <c r="G125" s="376"/>
      <c r="H125" s="376"/>
      <c r="I125" s="253"/>
      <c r="J125" s="376">
        <f>J108</f>
        <v>2035</v>
      </c>
      <c r="K125" s="376"/>
      <c r="L125" s="376"/>
      <c r="M125" s="236"/>
      <c r="N125" s="236"/>
    </row>
    <row r="126" spans="1:14" ht="13" x14ac:dyDescent="0.3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5">
      <c r="A128" s="237" t="str">
        <f>name!E$4</f>
        <v>Managers, directors and senior officials</v>
      </c>
      <c r="B128" s="302">
        <v>7.5992798306243031E-2</v>
      </c>
      <c r="C128" s="302">
        <v>0.33049482537591074</v>
      </c>
      <c r="D128" s="302">
        <f>SUM(B128:C128)</f>
        <v>0.40648762368215374</v>
      </c>
      <c r="E128" s="303"/>
      <c r="F128" s="302">
        <v>7.2816035078100722E-2</v>
      </c>
      <c r="G128" s="302">
        <v>0.29569197683178233</v>
      </c>
      <c r="H128" s="302">
        <f>SUM(F128:G128)</f>
        <v>0.36850801190988303</v>
      </c>
      <c r="I128" s="303"/>
      <c r="J128" s="302">
        <v>7.7416336344033748E-2</v>
      </c>
      <c r="K128" s="302">
        <v>0.2962903642964636</v>
      </c>
      <c r="L128" s="302">
        <f>SUM(J128:K128)</f>
        <v>0.37370670064049738</v>
      </c>
      <c r="M128" s="236"/>
      <c r="N128" s="236"/>
    </row>
    <row r="129" spans="1:14" x14ac:dyDescent="0.25">
      <c r="A129" s="237" t="str">
        <f>name!E$5</f>
        <v>Professional occupations</v>
      </c>
      <c r="B129" s="302">
        <v>0.10745462472711634</v>
      </c>
      <c r="C129" s="302">
        <v>0.31394024531053721</v>
      </c>
      <c r="D129" s="302">
        <f t="shared" ref="D129:D136" si="37">SUM(B129:C129)</f>
        <v>0.42139487003765352</v>
      </c>
      <c r="E129" s="303"/>
      <c r="F129" s="302">
        <v>0.12540995719176826</v>
      </c>
      <c r="G129" s="302">
        <v>0.29093735078365718</v>
      </c>
      <c r="H129" s="302">
        <f t="shared" ref="H129:H136" si="38">SUM(F129:G129)</f>
        <v>0.41634730797542541</v>
      </c>
      <c r="I129" s="303"/>
      <c r="J129" s="302">
        <v>0.16658809039575337</v>
      </c>
      <c r="K129" s="302">
        <v>0.34224314726755634</v>
      </c>
      <c r="L129" s="302">
        <f t="shared" ref="L129:L136" si="39">SUM(J129:K129)</f>
        <v>0.50883123766330973</v>
      </c>
      <c r="M129" s="236"/>
      <c r="N129" s="236"/>
    </row>
    <row r="130" spans="1:14" x14ac:dyDescent="0.25">
      <c r="A130" s="237" t="str">
        <f>name!E$6</f>
        <v>Associate professional occupations</v>
      </c>
      <c r="B130" s="302">
        <v>0.24612503086088944</v>
      </c>
      <c r="C130" s="302">
        <v>0.32217369834489112</v>
      </c>
      <c r="D130" s="302">
        <f t="shared" si="37"/>
        <v>0.56829872920578062</v>
      </c>
      <c r="E130" s="303"/>
      <c r="F130" s="302">
        <v>0.29970683662622088</v>
      </c>
      <c r="G130" s="302">
        <v>0.297556001555281</v>
      </c>
      <c r="H130" s="302">
        <f t="shared" si="38"/>
        <v>0.59726283818150194</v>
      </c>
      <c r="I130" s="303"/>
      <c r="J130" s="302">
        <v>0.37901945309654589</v>
      </c>
      <c r="K130" s="302">
        <v>0.2705956404066957</v>
      </c>
      <c r="L130" s="302">
        <f t="shared" si="39"/>
        <v>0.64961509350324165</v>
      </c>
      <c r="M130" s="236"/>
      <c r="N130" s="236"/>
    </row>
    <row r="131" spans="1:14" x14ac:dyDescent="0.25">
      <c r="A131" s="237" t="str">
        <f>name!E$7</f>
        <v>Administrative and secretarial occupations</v>
      </c>
      <c r="B131" s="302">
        <v>0.25520834944383869</v>
      </c>
      <c r="C131" s="302">
        <v>0.12138156962175931</v>
      </c>
      <c r="D131" s="302">
        <f t="shared" si="37"/>
        <v>0.37658991906559802</v>
      </c>
      <c r="E131" s="303"/>
      <c r="F131" s="302">
        <v>0.2653374506927994</v>
      </c>
      <c r="G131" s="302">
        <v>0.21095325829178097</v>
      </c>
      <c r="H131" s="302">
        <f t="shared" si="38"/>
        <v>0.47629070898458037</v>
      </c>
      <c r="I131" s="303"/>
      <c r="J131" s="302">
        <v>0.23999749855462915</v>
      </c>
      <c r="K131" s="302">
        <v>0.24426732798519393</v>
      </c>
      <c r="L131" s="302">
        <f t="shared" si="39"/>
        <v>0.48426482653982306</v>
      </c>
      <c r="M131" s="236"/>
      <c r="N131" s="236"/>
    </row>
    <row r="132" spans="1:14" x14ac:dyDescent="0.25">
      <c r="A132" s="237" t="str">
        <f>name!E$8</f>
        <v>Skilled trades occupations</v>
      </c>
      <c r="B132" s="302">
        <v>3.8310008461580294E-2</v>
      </c>
      <c r="C132" s="302">
        <v>0.46214831332290662</v>
      </c>
      <c r="D132" s="302">
        <f t="shared" si="37"/>
        <v>0.5004583217844869</v>
      </c>
      <c r="E132" s="303"/>
      <c r="F132" s="302">
        <v>1.5798465872219707E-2</v>
      </c>
      <c r="G132" s="302">
        <v>0.36041063207271512</v>
      </c>
      <c r="H132" s="302">
        <f t="shared" si="38"/>
        <v>0.37620909794493484</v>
      </c>
      <c r="I132" s="303"/>
      <c r="J132" s="302">
        <v>2.1751031007961857E-2</v>
      </c>
      <c r="K132" s="302">
        <v>0.387688186441977</v>
      </c>
      <c r="L132" s="302">
        <f t="shared" si="39"/>
        <v>0.40943921744993883</v>
      </c>
      <c r="M132" s="236"/>
      <c r="N132" s="236"/>
    </row>
    <row r="133" spans="1:14" x14ac:dyDescent="0.25">
      <c r="A133" s="237" t="str">
        <f>name!E$9</f>
        <v>Caring, leisure and other service occupations</v>
      </c>
      <c r="B133" s="302">
        <v>6.9894116478102258E-2</v>
      </c>
      <c r="C133" s="302">
        <v>3.7942558492439368E-2</v>
      </c>
      <c r="D133" s="302">
        <f t="shared" si="37"/>
        <v>0.10783667497054163</v>
      </c>
      <c r="E133" s="303"/>
      <c r="F133" s="302">
        <v>6.1847512534965371E-2</v>
      </c>
      <c r="G133" s="302">
        <v>3.4457328616763712E-2</v>
      </c>
      <c r="H133" s="302">
        <f t="shared" si="38"/>
        <v>9.6304841151729076E-2</v>
      </c>
      <c r="I133" s="303"/>
      <c r="J133" s="302">
        <v>8.3399503192883945E-2</v>
      </c>
      <c r="K133" s="302">
        <v>3.0858786693566516E-2</v>
      </c>
      <c r="L133" s="302">
        <f t="shared" si="39"/>
        <v>0.11425828988645045</v>
      </c>
      <c r="M133" s="236"/>
      <c r="N133" s="236"/>
    </row>
    <row r="134" spans="1:14" x14ac:dyDescent="0.25">
      <c r="A134" s="237" t="str">
        <f>name!E$10</f>
        <v>Sales and customer service occupations</v>
      </c>
      <c r="B134" s="302">
        <v>6.2990304084719895E-2</v>
      </c>
      <c r="C134" s="302">
        <v>8.6981108653709102E-2</v>
      </c>
      <c r="D134" s="302">
        <f>SUM(B134:C134)</f>
        <v>0.14997141273842901</v>
      </c>
      <c r="E134" s="303"/>
      <c r="F134" s="302">
        <v>5.5614228932059764E-2</v>
      </c>
      <c r="G134" s="302">
        <v>0.14726181185631237</v>
      </c>
      <c r="H134" s="302">
        <f t="shared" si="38"/>
        <v>0.20287604078837213</v>
      </c>
      <c r="I134" s="303"/>
      <c r="J134" s="302">
        <v>5.7865358301388552E-2</v>
      </c>
      <c r="K134" s="302">
        <v>0.13682305035457049</v>
      </c>
      <c r="L134" s="302">
        <f t="shared" si="39"/>
        <v>0.19468840865595904</v>
      </c>
      <c r="M134" s="236"/>
      <c r="N134" s="236"/>
    </row>
    <row r="135" spans="1:14" x14ac:dyDescent="0.25">
      <c r="A135" s="237" t="str">
        <f>name!E$11</f>
        <v>Process, plant and machine operatives</v>
      </c>
      <c r="B135" s="302">
        <v>3.1143525550409178E-2</v>
      </c>
      <c r="C135" s="302">
        <v>0.98803133315649916</v>
      </c>
      <c r="D135" s="302">
        <f t="shared" si="37"/>
        <v>1.0191748587069083</v>
      </c>
      <c r="E135" s="303"/>
      <c r="F135" s="302">
        <v>2.0304425644411664E-2</v>
      </c>
      <c r="G135" s="302">
        <v>0.73176642999614527</v>
      </c>
      <c r="H135" s="302">
        <f t="shared" si="38"/>
        <v>0.75207085564055698</v>
      </c>
      <c r="I135" s="303"/>
      <c r="J135" s="302">
        <v>1.817299087271821E-2</v>
      </c>
      <c r="K135" s="302">
        <v>0.79097592569733066</v>
      </c>
      <c r="L135" s="302">
        <f t="shared" si="39"/>
        <v>0.80914891657004884</v>
      </c>
      <c r="M135" s="236"/>
      <c r="N135" s="236"/>
    </row>
    <row r="136" spans="1:14" x14ac:dyDescent="0.25">
      <c r="A136" s="237" t="str">
        <f>name!E$12</f>
        <v>Elementary occupations</v>
      </c>
      <c r="B136" s="302">
        <v>0.11046645849549604</v>
      </c>
      <c r="C136" s="302">
        <v>0.67132113131293769</v>
      </c>
      <c r="D136" s="302">
        <f t="shared" si="37"/>
        <v>0.78178758980843377</v>
      </c>
      <c r="E136" s="303"/>
      <c r="F136" s="302">
        <v>9.5788820851416254E-2</v>
      </c>
      <c r="G136" s="302">
        <v>0.42134147657159687</v>
      </c>
      <c r="H136" s="302">
        <f t="shared" si="38"/>
        <v>0.51713029742301309</v>
      </c>
      <c r="I136" s="303"/>
      <c r="J136" s="302">
        <v>0.11326845956644715</v>
      </c>
      <c r="K136" s="302">
        <v>0.39077884952427699</v>
      </c>
      <c r="L136" s="302">
        <f t="shared" si="39"/>
        <v>0.50404730909072415</v>
      </c>
      <c r="M136" s="236"/>
      <c r="N136" s="236"/>
    </row>
    <row r="137" spans="1:14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5">
      <c r="A138" s="244" t="s">
        <v>33</v>
      </c>
      <c r="B138" s="311">
        <f>SUM(B128:B136)</f>
        <v>0.99758521640839537</v>
      </c>
      <c r="C138" s="311">
        <f t="shared" ref="C138" si="40">SUM(C128:C136)</f>
        <v>3.33441478359159</v>
      </c>
      <c r="D138" s="311">
        <f>SUM(D128:D136)</f>
        <v>4.3319999999999856</v>
      </c>
      <c r="E138" s="311"/>
      <c r="F138" s="311">
        <f t="shared" ref="F138:H138" si="41">SUM(F128:F136)</f>
        <v>1.0126237334239621</v>
      </c>
      <c r="G138" s="311">
        <f t="shared" si="41"/>
        <v>2.7903762665760348</v>
      </c>
      <c r="H138" s="311">
        <f t="shared" si="41"/>
        <v>3.8029999999999968</v>
      </c>
      <c r="I138" s="311"/>
      <c r="J138" s="311">
        <f t="shared" ref="J138:L138" si="42">SUM(J128:J136)</f>
        <v>1.1574787213323616</v>
      </c>
      <c r="K138" s="311">
        <f t="shared" si="42"/>
        <v>2.8905212786676309</v>
      </c>
      <c r="L138" s="311">
        <f t="shared" si="42"/>
        <v>4.0479999999999929</v>
      </c>
      <c r="M138" s="236"/>
      <c r="N138" s="236"/>
    </row>
    <row r="139" spans="1:14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ht="13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ht="13" x14ac:dyDescent="0.3">
      <c r="A142" s="241" t="str">
        <f>name!B11</f>
        <v>Construction</v>
      </c>
      <c r="B142" s="376">
        <f>B$6</f>
        <v>2015</v>
      </c>
      <c r="C142" s="376"/>
      <c r="D142" s="376"/>
      <c r="E142" s="253"/>
      <c r="F142" s="376">
        <f>F125</f>
        <v>2020</v>
      </c>
      <c r="G142" s="376"/>
      <c r="H142" s="376"/>
      <c r="I142" s="253"/>
      <c r="J142" s="376">
        <f>J125</f>
        <v>2035</v>
      </c>
      <c r="K142" s="376"/>
      <c r="L142" s="376"/>
      <c r="M142" s="236"/>
      <c r="N142" s="236"/>
    </row>
    <row r="143" spans="1:14" ht="13" x14ac:dyDescent="0.3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5">
      <c r="A145" s="237" t="str">
        <f>name!E$4</f>
        <v>Managers, directors and senior officials</v>
      </c>
      <c r="B145" s="302">
        <v>0.63362723249499886</v>
      </c>
      <c r="C145" s="302">
        <v>1.5951414743750958</v>
      </c>
      <c r="D145" s="302">
        <f>SUM(B145:C145)</f>
        <v>2.2287687068700945</v>
      </c>
      <c r="E145" s="303"/>
      <c r="F145" s="302">
        <v>0.83614044751374239</v>
      </c>
      <c r="G145" s="302">
        <v>2.5224546036221027</v>
      </c>
      <c r="H145" s="302">
        <f>SUM(F145:G145)</f>
        <v>3.3585950511358451</v>
      </c>
      <c r="I145" s="303"/>
      <c r="J145" s="302">
        <v>0.96320560713408143</v>
      </c>
      <c r="K145" s="302">
        <v>2.452553314066181</v>
      </c>
      <c r="L145" s="302">
        <f>SUM(J145:K145)</f>
        <v>3.4157589212002626</v>
      </c>
      <c r="M145" s="236"/>
      <c r="N145" s="236"/>
    </row>
    <row r="146" spans="1:14" x14ac:dyDescent="0.25">
      <c r="A146" s="237" t="str">
        <f>name!E$5</f>
        <v>Professional occupations</v>
      </c>
      <c r="B146" s="302">
        <v>0.39689468899763258</v>
      </c>
      <c r="C146" s="302">
        <v>2.7529600746319862</v>
      </c>
      <c r="D146" s="302">
        <f t="shared" ref="D146:D153" si="43">SUM(B146:C146)</f>
        <v>3.1498547636296186</v>
      </c>
      <c r="E146" s="303"/>
      <c r="F146" s="302">
        <v>0.54891157078170594</v>
      </c>
      <c r="G146" s="302">
        <v>3.8329091552827967</v>
      </c>
      <c r="H146" s="302">
        <f t="shared" ref="H146:H153" si="44">SUM(F146:G146)</f>
        <v>4.381820726064503</v>
      </c>
      <c r="I146" s="303"/>
      <c r="J146" s="302">
        <v>0.6952926087574467</v>
      </c>
      <c r="K146" s="302">
        <v>4.7436379529713051</v>
      </c>
      <c r="L146" s="302">
        <f t="shared" ref="L146:L153" si="45">SUM(J146:K146)</f>
        <v>5.4389305617287516</v>
      </c>
      <c r="M146" s="236"/>
      <c r="N146" s="236"/>
    </row>
    <row r="147" spans="1:14" x14ac:dyDescent="0.25">
      <c r="A147" s="237" t="str">
        <f>name!E$6</f>
        <v>Associate professional occupations</v>
      </c>
      <c r="B147" s="302">
        <v>0.52018336268245491</v>
      </c>
      <c r="C147" s="302">
        <v>1.0909470288108984</v>
      </c>
      <c r="D147" s="302">
        <f t="shared" si="43"/>
        <v>1.6111303914933535</v>
      </c>
      <c r="E147" s="303"/>
      <c r="F147" s="302">
        <v>0.61703940059814422</v>
      </c>
      <c r="G147" s="302">
        <v>1.4133701848368214</v>
      </c>
      <c r="H147" s="302">
        <f t="shared" si="44"/>
        <v>2.0304095854349655</v>
      </c>
      <c r="I147" s="303"/>
      <c r="J147" s="302">
        <v>0.75608754240738585</v>
      </c>
      <c r="K147" s="302">
        <v>1.4037140694026993</v>
      </c>
      <c r="L147" s="302">
        <f t="shared" si="45"/>
        <v>2.1598016118100851</v>
      </c>
      <c r="M147" s="236"/>
      <c r="N147" s="236"/>
    </row>
    <row r="148" spans="1:14" x14ac:dyDescent="0.25">
      <c r="A148" s="237" t="str">
        <f>name!E$7</f>
        <v>Administrative and secretarial occupations</v>
      </c>
      <c r="B148" s="302">
        <v>2.3342961824853128</v>
      </c>
      <c r="C148" s="302">
        <v>0.64147630271154032</v>
      </c>
      <c r="D148" s="302">
        <f t="shared" si="43"/>
        <v>2.975772485196853</v>
      </c>
      <c r="E148" s="303"/>
      <c r="F148" s="302">
        <v>2.1958643008231467</v>
      </c>
      <c r="G148" s="302">
        <v>0.70514956807664997</v>
      </c>
      <c r="H148" s="302">
        <f t="shared" si="44"/>
        <v>2.9010138688997964</v>
      </c>
      <c r="I148" s="303"/>
      <c r="J148" s="302">
        <v>1.8370781374304834</v>
      </c>
      <c r="K148" s="302">
        <v>0.85856867230090306</v>
      </c>
      <c r="L148" s="302">
        <f t="shared" si="45"/>
        <v>2.6956468097313864</v>
      </c>
      <c r="M148" s="236"/>
      <c r="N148" s="236"/>
    </row>
    <row r="149" spans="1:14" x14ac:dyDescent="0.25">
      <c r="A149" s="237" t="str">
        <f>name!E$8</f>
        <v>Skilled trades occupations</v>
      </c>
      <c r="B149" s="302">
        <v>0.24322182724940203</v>
      </c>
      <c r="C149" s="302">
        <v>15.894156458105885</v>
      </c>
      <c r="D149" s="302">
        <f t="shared" si="43"/>
        <v>16.137378285355286</v>
      </c>
      <c r="E149" s="303"/>
      <c r="F149" s="302">
        <v>0.28236472779516802</v>
      </c>
      <c r="G149" s="302">
        <v>18.228266713080036</v>
      </c>
      <c r="H149" s="302">
        <f t="shared" si="44"/>
        <v>18.510631440875205</v>
      </c>
      <c r="I149" s="303"/>
      <c r="J149" s="302">
        <v>0.3606150928514994</v>
      </c>
      <c r="K149" s="302">
        <v>16.653338383099946</v>
      </c>
      <c r="L149" s="302">
        <f t="shared" si="45"/>
        <v>17.013953475951446</v>
      </c>
      <c r="M149" s="236"/>
      <c r="N149" s="236"/>
    </row>
    <row r="150" spans="1:14" x14ac:dyDescent="0.25">
      <c r="A150" s="237" t="str">
        <f>name!E$9</f>
        <v>Caring, leisure and other service occupations</v>
      </c>
      <c r="B150" s="302">
        <v>3.9955529461883771E-2</v>
      </c>
      <c r="C150" s="302">
        <v>4.1303290516332802E-2</v>
      </c>
      <c r="D150" s="302">
        <f t="shared" si="43"/>
        <v>8.1258819978216573E-2</v>
      </c>
      <c r="E150" s="303"/>
      <c r="F150" s="302">
        <v>3.7463951512578274E-2</v>
      </c>
      <c r="G150" s="302">
        <v>4.6511974104534989E-2</v>
      </c>
      <c r="H150" s="302">
        <f t="shared" si="44"/>
        <v>8.3975925617113256E-2</v>
      </c>
      <c r="I150" s="303"/>
      <c r="J150" s="302">
        <v>3.7225584588434724E-2</v>
      </c>
      <c r="K150" s="302">
        <v>4.5942115597884491E-2</v>
      </c>
      <c r="L150" s="302">
        <f t="shared" si="45"/>
        <v>8.3167700186319221E-2</v>
      </c>
      <c r="M150" s="236"/>
      <c r="N150" s="236"/>
    </row>
    <row r="151" spans="1:14" x14ac:dyDescent="0.25">
      <c r="A151" s="237" t="str">
        <f>name!E$10</f>
        <v>Sales and customer service occupations</v>
      </c>
      <c r="B151" s="302">
        <v>0.35996597880248815</v>
      </c>
      <c r="C151" s="302">
        <v>0.3110131152354535</v>
      </c>
      <c r="D151" s="302">
        <f t="shared" si="43"/>
        <v>0.67097909403794165</v>
      </c>
      <c r="E151" s="303"/>
      <c r="F151" s="302">
        <v>0.35168400989432769</v>
      </c>
      <c r="G151" s="302">
        <v>0.34603837291540618</v>
      </c>
      <c r="H151" s="302">
        <f t="shared" si="44"/>
        <v>0.69772238280973387</v>
      </c>
      <c r="I151" s="303"/>
      <c r="J151" s="302">
        <v>0.35131749078884833</v>
      </c>
      <c r="K151" s="302">
        <v>0.38388750063693777</v>
      </c>
      <c r="L151" s="302">
        <f t="shared" si="45"/>
        <v>0.7352049914257861</v>
      </c>
      <c r="M151" s="236"/>
      <c r="N151" s="236"/>
    </row>
    <row r="152" spans="1:14" x14ac:dyDescent="0.25">
      <c r="A152" s="237" t="str">
        <f>name!E$11</f>
        <v>Process, plant and machine operatives</v>
      </c>
      <c r="B152" s="302">
        <v>3.7984730699035629E-2</v>
      </c>
      <c r="C152" s="302">
        <v>2.5740138232476233</v>
      </c>
      <c r="D152" s="302">
        <f t="shared" si="43"/>
        <v>2.611998553946659</v>
      </c>
      <c r="E152" s="303"/>
      <c r="F152" s="302">
        <v>3.3267445030169998E-2</v>
      </c>
      <c r="G152" s="302">
        <v>2.7229503990389556</v>
      </c>
      <c r="H152" s="302">
        <f t="shared" si="44"/>
        <v>2.7562178440691256</v>
      </c>
      <c r="I152" s="303"/>
      <c r="J152" s="302">
        <v>4.9021968035502933E-2</v>
      </c>
      <c r="K152" s="302">
        <v>3.0294315752167966</v>
      </c>
      <c r="L152" s="302">
        <f t="shared" si="45"/>
        <v>3.0784535432522997</v>
      </c>
      <c r="M152" s="236"/>
      <c r="N152" s="236"/>
    </row>
    <row r="153" spans="1:14" x14ac:dyDescent="0.25">
      <c r="A153" s="237" t="str">
        <f>name!E$12</f>
        <v>Elementary occupations</v>
      </c>
      <c r="B153" s="302">
        <v>0.44047749466428548</v>
      </c>
      <c r="C153" s="302">
        <v>1.8553814048276649</v>
      </c>
      <c r="D153" s="302">
        <f t="shared" si="43"/>
        <v>2.2958588994919502</v>
      </c>
      <c r="E153" s="303"/>
      <c r="F153" s="302">
        <v>0.30676391665416081</v>
      </c>
      <c r="G153" s="302">
        <v>1.9878492584395171</v>
      </c>
      <c r="H153" s="302">
        <f t="shared" si="44"/>
        <v>2.2946131750936778</v>
      </c>
      <c r="I153" s="303"/>
      <c r="J153" s="302">
        <v>0.36352089822392258</v>
      </c>
      <c r="K153" s="302">
        <v>2.4655614864896851</v>
      </c>
      <c r="L153" s="302">
        <f t="shared" si="45"/>
        <v>2.8290823847136077</v>
      </c>
      <c r="M153" s="236"/>
      <c r="N153" s="236"/>
    </row>
    <row r="154" spans="1:14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5">
      <c r="A155" s="244" t="s">
        <v>33</v>
      </c>
      <c r="B155" s="311">
        <f>SUM(B145:B153)</f>
        <v>5.0066070275374939</v>
      </c>
      <c r="C155" s="311">
        <f t="shared" ref="C155:D155" si="46">SUM(C145:C153)</f>
        <v>26.756392972462478</v>
      </c>
      <c r="D155" s="311">
        <f t="shared" si="46"/>
        <v>31.762999999999973</v>
      </c>
      <c r="E155" s="311"/>
      <c r="F155" s="311">
        <f t="shared" ref="F155:H155" si="47">SUM(F145:F153)</f>
        <v>5.2094997706031441</v>
      </c>
      <c r="G155" s="311">
        <f t="shared" si="47"/>
        <v>31.80550022939682</v>
      </c>
      <c r="H155" s="311">
        <f t="shared" si="47"/>
        <v>37.014999999999965</v>
      </c>
      <c r="I155" s="311"/>
      <c r="J155" s="311">
        <f t="shared" ref="J155:L155" si="48">SUM(J145:J153)</f>
        <v>5.4133649302176048</v>
      </c>
      <c r="K155" s="311">
        <f t="shared" si="48"/>
        <v>32.036635069782342</v>
      </c>
      <c r="L155" s="311">
        <f t="shared" si="48"/>
        <v>37.449999999999946</v>
      </c>
      <c r="M155" s="236"/>
      <c r="N155" s="236"/>
    </row>
    <row r="156" spans="1:14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ht="13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ht="13" x14ac:dyDescent="0.3">
      <c r="A159" s="241" t="str">
        <f>name!B12</f>
        <v>Wholesale and retail trade</v>
      </c>
      <c r="B159" s="376">
        <f>B$6</f>
        <v>2015</v>
      </c>
      <c r="C159" s="376"/>
      <c r="D159" s="376"/>
      <c r="E159" s="253"/>
      <c r="F159" s="376">
        <f>F142</f>
        <v>2020</v>
      </c>
      <c r="G159" s="376"/>
      <c r="H159" s="376"/>
      <c r="I159" s="253"/>
      <c r="J159" s="376">
        <f>J142</f>
        <v>2035</v>
      </c>
      <c r="K159" s="376"/>
      <c r="L159" s="376"/>
      <c r="M159" s="236"/>
      <c r="N159" s="236"/>
    </row>
    <row r="160" spans="1:14" ht="13" x14ac:dyDescent="0.3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5">
      <c r="A162" s="237" t="str">
        <f>name!E$4</f>
        <v>Managers, directors and senior officials</v>
      </c>
      <c r="B162" s="302">
        <v>3.3912623450756172</v>
      </c>
      <c r="C162" s="302">
        <v>8.4269674631249725</v>
      </c>
      <c r="D162" s="302">
        <f>SUM(B162:C162)</f>
        <v>11.81822980820059</v>
      </c>
      <c r="E162" s="303"/>
      <c r="F162" s="302">
        <v>4.6134786828743248</v>
      </c>
      <c r="G162" s="302">
        <v>8.4946078596878305</v>
      </c>
      <c r="H162" s="302">
        <f>SUM(F162:G162)</f>
        <v>13.108086542562155</v>
      </c>
      <c r="I162" s="303"/>
      <c r="J162" s="302">
        <v>5.2239127706856943</v>
      </c>
      <c r="K162" s="302">
        <v>8.6371472514635883</v>
      </c>
      <c r="L162" s="302">
        <f>SUM(J162:K162)</f>
        <v>13.861060022149282</v>
      </c>
      <c r="M162" s="236"/>
      <c r="N162" s="236"/>
    </row>
    <row r="163" spans="1:14" x14ac:dyDescent="0.25">
      <c r="A163" s="237" t="str">
        <f>name!E$5</f>
        <v>Professional occupations</v>
      </c>
      <c r="B163" s="302">
        <v>3.4894660598110061</v>
      </c>
      <c r="C163" s="302">
        <v>4.3813526467794137</v>
      </c>
      <c r="D163" s="302">
        <f t="shared" ref="D163:D170" si="49">SUM(B163:C163)</f>
        <v>7.8708187065904198</v>
      </c>
      <c r="E163" s="303"/>
      <c r="F163" s="302">
        <v>4.4490775001875758</v>
      </c>
      <c r="G163" s="302">
        <v>4.973061697983777</v>
      </c>
      <c r="H163" s="302">
        <f t="shared" ref="H163:H170" si="50">SUM(F163:G163)</f>
        <v>9.4221391981713527</v>
      </c>
      <c r="I163" s="303"/>
      <c r="J163" s="302">
        <v>5.1426532368248976</v>
      </c>
      <c r="K163" s="302">
        <v>6.6342424644928526</v>
      </c>
      <c r="L163" s="302">
        <f t="shared" ref="L163:L170" si="51">SUM(J163:K163)</f>
        <v>11.77689570131775</v>
      </c>
      <c r="M163" s="236"/>
      <c r="N163" s="236"/>
    </row>
    <row r="164" spans="1:14" x14ac:dyDescent="0.25">
      <c r="A164" s="237" t="str">
        <f>name!E$6</f>
        <v>Associate professional occupations</v>
      </c>
      <c r="B164" s="302">
        <v>2.9480321182639271</v>
      </c>
      <c r="C164" s="302">
        <v>4.3115285361560591</v>
      </c>
      <c r="D164" s="302">
        <f t="shared" si="49"/>
        <v>7.2595606544199862</v>
      </c>
      <c r="E164" s="303"/>
      <c r="F164" s="302">
        <v>3.3439976305504695</v>
      </c>
      <c r="G164" s="302">
        <v>4.6158676127864648</v>
      </c>
      <c r="H164" s="302">
        <f t="shared" si="50"/>
        <v>7.9598652433369343</v>
      </c>
      <c r="I164" s="303"/>
      <c r="J164" s="302">
        <v>3.7259374656137485</v>
      </c>
      <c r="K164" s="302">
        <v>4.8456109900151256</v>
      </c>
      <c r="L164" s="302">
        <f t="shared" si="51"/>
        <v>8.571548455628875</v>
      </c>
      <c r="M164" s="236"/>
      <c r="N164" s="236"/>
    </row>
    <row r="165" spans="1:14" x14ac:dyDescent="0.25">
      <c r="A165" s="237" t="str">
        <f>name!E$7</f>
        <v>Administrative and secretarial occupations</v>
      </c>
      <c r="B165" s="302">
        <v>6.3069741940559272</v>
      </c>
      <c r="C165" s="302">
        <v>3.2265151842703781</v>
      </c>
      <c r="D165" s="302">
        <f t="shared" si="49"/>
        <v>9.5334893783263048</v>
      </c>
      <c r="E165" s="303"/>
      <c r="F165" s="302">
        <v>6.0252862479208336</v>
      </c>
      <c r="G165" s="302">
        <v>3.5648417659377234</v>
      </c>
      <c r="H165" s="302">
        <f t="shared" si="50"/>
        <v>9.590128013858557</v>
      </c>
      <c r="I165" s="303"/>
      <c r="J165" s="302">
        <v>5.5265843216603434</v>
      </c>
      <c r="K165" s="302">
        <v>4.6111064916042475</v>
      </c>
      <c r="L165" s="302">
        <f t="shared" si="51"/>
        <v>10.137690813264591</v>
      </c>
      <c r="M165" s="236"/>
      <c r="N165" s="236"/>
    </row>
    <row r="166" spans="1:14" x14ac:dyDescent="0.25">
      <c r="A166" s="237" t="str">
        <f>name!E$8</f>
        <v>Skilled trades occupations</v>
      </c>
      <c r="B166" s="302">
        <v>0.77895530159347204</v>
      </c>
      <c r="C166" s="302">
        <v>8.9600741914264965</v>
      </c>
      <c r="D166" s="302">
        <f t="shared" si="49"/>
        <v>9.7390294930199683</v>
      </c>
      <c r="E166" s="303"/>
      <c r="F166" s="302">
        <v>0.82673912837491581</v>
      </c>
      <c r="G166" s="302">
        <v>6.869270305135549</v>
      </c>
      <c r="H166" s="302">
        <f t="shared" si="50"/>
        <v>7.696009433510465</v>
      </c>
      <c r="I166" s="303"/>
      <c r="J166" s="302">
        <v>0.85249131113051935</v>
      </c>
      <c r="K166" s="302">
        <v>6.6173879673132063</v>
      </c>
      <c r="L166" s="302">
        <f t="shared" si="51"/>
        <v>7.4698792784437256</v>
      </c>
      <c r="M166" s="236"/>
      <c r="N166" s="236"/>
    </row>
    <row r="167" spans="1:14" x14ac:dyDescent="0.25">
      <c r="A167" s="237" t="str">
        <f>name!E$9</f>
        <v>Caring, leisure and other service occupations</v>
      </c>
      <c r="B167" s="302">
        <v>0.5815022053448019</v>
      </c>
      <c r="C167" s="302">
        <v>0.1864960970748766</v>
      </c>
      <c r="D167" s="302">
        <f t="shared" si="49"/>
        <v>0.76799830241967848</v>
      </c>
      <c r="E167" s="303"/>
      <c r="F167" s="302">
        <v>0.60149554734123489</v>
      </c>
      <c r="G167" s="302">
        <v>0.18878031376007692</v>
      </c>
      <c r="H167" s="302">
        <f t="shared" si="50"/>
        <v>0.79027586110131187</v>
      </c>
      <c r="I167" s="303"/>
      <c r="J167" s="302">
        <v>0.77380533906624949</v>
      </c>
      <c r="K167" s="302">
        <v>0.21295043174776157</v>
      </c>
      <c r="L167" s="302">
        <f t="shared" si="51"/>
        <v>0.98675577081401111</v>
      </c>
      <c r="M167" s="236"/>
      <c r="N167" s="236"/>
    </row>
    <row r="168" spans="1:14" x14ac:dyDescent="0.25">
      <c r="A168" s="237" t="str">
        <f>name!E$10</f>
        <v>Sales and customer service occupations</v>
      </c>
      <c r="B168" s="302">
        <v>16.601945527615051</v>
      </c>
      <c r="C168" s="302">
        <v>9.2406176524105739</v>
      </c>
      <c r="D168" s="302">
        <f t="shared" si="49"/>
        <v>25.842563180025625</v>
      </c>
      <c r="E168" s="303"/>
      <c r="F168" s="302">
        <v>14.362233294250709</v>
      </c>
      <c r="G168" s="302">
        <v>9.0403024303790644</v>
      </c>
      <c r="H168" s="302">
        <f t="shared" si="50"/>
        <v>23.402535724629772</v>
      </c>
      <c r="I168" s="303"/>
      <c r="J168" s="302">
        <v>11.648761056128459</v>
      </c>
      <c r="K168" s="302">
        <v>8.8009325916223009</v>
      </c>
      <c r="L168" s="302">
        <f t="shared" si="51"/>
        <v>20.44969364775076</v>
      </c>
      <c r="M168" s="236"/>
      <c r="N168" s="236"/>
    </row>
    <row r="169" spans="1:14" x14ac:dyDescent="0.25">
      <c r="A169" s="237" t="str">
        <f>name!E$11</f>
        <v>Process, plant and machine operatives</v>
      </c>
      <c r="B169" s="302">
        <v>1.7287431667195177</v>
      </c>
      <c r="C169" s="302">
        <v>6.5964833927347373</v>
      </c>
      <c r="D169" s="302">
        <f t="shared" si="49"/>
        <v>8.3252265594542543</v>
      </c>
      <c r="E169" s="303"/>
      <c r="F169" s="302">
        <v>1.4617252488647039</v>
      </c>
      <c r="G169" s="302">
        <v>5.2749609537620001</v>
      </c>
      <c r="H169" s="302">
        <f t="shared" si="50"/>
        <v>6.7366862026267036</v>
      </c>
      <c r="I169" s="303"/>
      <c r="J169" s="302">
        <v>2.0483283409653557</v>
      </c>
      <c r="K169" s="302">
        <v>4.5853229606429853</v>
      </c>
      <c r="L169" s="302">
        <f t="shared" si="51"/>
        <v>6.6336513016083405</v>
      </c>
      <c r="M169" s="236"/>
      <c r="N169" s="236"/>
    </row>
    <row r="170" spans="1:14" x14ac:dyDescent="0.25">
      <c r="A170" s="237" t="str">
        <f>name!E$12</f>
        <v>Elementary occupations</v>
      </c>
      <c r="B170" s="302">
        <v>4.5251552708886411</v>
      </c>
      <c r="C170" s="302">
        <v>6.3839286466545566</v>
      </c>
      <c r="D170" s="302">
        <f t="shared" si="49"/>
        <v>10.909083917543198</v>
      </c>
      <c r="E170" s="303"/>
      <c r="F170" s="302">
        <v>3.5072792903655321</v>
      </c>
      <c r="G170" s="302">
        <v>4.8609944898373278</v>
      </c>
      <c r="H170" s="302">
        <f t="shared" si="50"/>
        <v>8.3682737802028591</v>
      </c>
      <c r="I170" s="303"/>
      <c r="J170" s="302">
        <v>4.6523915626577885</v>
      </c>
      <c r="K170" s="302">
        <v>4.303433446364739</v>
      </c>
      <c r="L170" s="302">
        <f t="shared" si="51"/>
        <v>8.9558250090225275</v>
      </c>
      <c r="M170" s="236"/>
      <c r="N170" s="236"/>
    </row>
    <row r="171" spans="1:14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5">
      <c r="A172" s="244" t="s">
        <v>33</v>
      </c>
      <c r="B172" s="311">
        <f>SUM(B162:B170)</f>
        <v>40.352036189367958</v>
      </c>
      <c r="C172" s="311">
        <f t="shared" ref="C172:D172" si="52">SUM(C162:C170)</f>
        <v>51.713963810632066</v>
      </c>
      <c r="D172" s="311">
        <f t="shared" si="52"/>
        <v>92.066000000000031</v>
      </c>
      <c r="E172" s="311"/>
      <c r="F172" s="311">
        <f t="shared" ref="F172:H172" si="53">SUM(F162:F170)</f>
        <v>39.19131257073029</v>
      </c>
      <c r="G172" s="311">
        <f t="shared" si="53"/>
        <v>47.882687429269808</v>
      </c>
      <c r="H172" s="311">
        <f t="shared" si="53"/>
        <v>87.074000000000112</v>
      </c>
      <c r="I172" s="311"/>
      <c r="J172" s="311">
        <f t="shared" ref="J172:L172" si="54">SUM(J162:J170)</f>
        <v>39.594865404733056</v>
      </c>
      <c r="K172" s="311">
        <f t="shared" si="54"/>
        <v>49.248134595266805</v>
      </c>
      <c r="L172" s="311">
        <f t="shared" si="54"/>
        <v>88.842999999999861</v>
      </c>
      <c r="M172" s="236"/>
      <c r="N172" s="236"/>
    </row>
    <row r="173" spans="1:14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ht="13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ht="13" x14ac:dyDescent="0.3">
      <c r="A176" s="241" t="str">
        <f>name!B13</f>
        <v>Transport and storage</v>
      </c>
      <c r="B176" s="376">
        <f>B$6</f>
        <v>2015</v>
      </c>
      <c r="C176" s="376"/>
      <c r="D176" s="376"/>
      <c r="E176" s="253"/>
      <c r="F176" s="376">
        <f>F159</f>
        <v>2020</v>
      </c>
      <c r="G176" s="376"/>
      <c r="H176" s="376"/>
      <c r="I176" s="253"/>
      <c r="J176" s="376">
        <f>J159</f>
        <v>2035</v>
      </c>
      <c r="K176" s="376"/>
      <c r="L176" s="376"/>
      <c r="M176" s="236"/>
      <c r="N176" s="236"/>
    </row>
    <row r="177" spans="1:14" ht="13" x14ac:dyDescent="0.3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5">
      <c r="A179" s="237" t="str">
        <f>name!E$4</f>
        <v>Managers, directors and senior officials</v>
      </c>
      <c r="B179" s="302">
        <v>0.4765350692501692</v>
      </c>
      <c r="C179" s="302">
        <v>2.0198907311733363</v>
      </c>
      <c r="D179" s="302">
        <f>SUM(B179:C179)</f>
        <v>2.4964258004235056</v>
      </c>
      <c r="E179" s="303"/>
      <c r="F179" s="302">
        <v>0.64458766790928523</v>
      </c>
      <c r="G179" s="302">
        <v>2.3880710068016113</v>
      </c>
      <c r="H179" s="302">
        <f>SUM(F179:G179)</f>
        <v>3.0326586747108966</v>
      </c>
      <c r="I179" s="303"/>
      <c r="J179" s="302">
        <v>0.84443707735957085</v>
      </c>
      <c r="K179" s="302">
        <v>2.6054205645544708</v>
      </c>
      <c r="L179" s="302">
        <f>SUM(J179:K179)</f>
        <v>3.4498576419140417</v>
      </c>
      <c r="M179" s="236"/>
      <c r="N179" s="236"/>
    </row>
    <row r="180" spans="1:14" x14ac:dyDescent="0.25">
      <c r="A180" s="237" t="str">
        <f>name!E$5</f>
        <v>Professional occupations</v>
      </c>
      <c r="B180" s="302">
        <v>0.40099412478914992</v>
      </c>
      <c r="C180" s="302">
        <v>1.2512478977305428</v>
      </c>
      <c r="D180" s="302">
        <f t="shared" ref="D180:D187" si="55">SUM(B180:C180)</f>
        <v>1.6522420225196928</v>
      </c>
      <c r="E180" s="303"/>
      <c r="F180" s="302">
        <v>0.59745207180545257</v>
      </c>
      <c r="G180" s="302">
        <v>1.6204284207993533</v>
      </c>
      <c r="H180" s="302">
        <f t="shared" ref="H180:H187" si="56">SUM(F180:G180)</f>
        <v>2.2178804926048059</v>
      </c>
      <c r="I180" s="303"/>
      <c r="J180" s="302">
        <v>0.82544361845480052</v>
      </c>
      <c r="K180" s="302">
        <v>2.3286677507057409</v>
      </c>
      <c r="L180" s="302">
        <f t="shared" ref="L180:L187" si="57">SUM(J180:K180)</f>
        <v>3.1541113691605416</v>
      </c>
      <c r="M180" s="236"/>
      <c r="N180" s="236"/>
    </row>
    <row r="181" spans="1:14" x14ac:dyDescent="0.25">
      <c r="A181" s="237" t="str">
        <f>name!E$6</f>
        <v>Associate professional occupations</v>
      </c>
      <c r="B181" s="302">
        <v>0.44761765320786706</v>
      </c>
      <c r="C181" s="302">
        <v>1.1914668441208596</v>
      </c>
      <c r="D181" s="302">
        <f t="shared" si="55"/>
        <v>1.6390844973287266</v>
      </c>
      <c r="E181" s="303"/>
      <c r="F181" s="302">
        <v>0.56106833990174132</v>
      </c>
      <c r="G181" s="302">
        <v>1.3910316086192247</v>
      </c>
      <c r="H181" s="302">
        <f t="shared" si="56"/>
        <v>1.952099948520966</v>
      </c>
      <c r="I181" s="303"/>
      <c r="J181" s="302">
        <v>0.72137122371019013</v>
      </c>
      <c r="K181" s="302">
        <v>1.4812903224865259</v>
      </c>
      <c r="L181" s="302">
        <f t="shared" si="57"/>
        <v>2.2026615461967163</v>
      </c>
      <c r="M181" s="236"/>
      <c r="N181" s="236"/>
    </row>
    <row r="182" spans="1:14" x14ac:dyDescent="0.25">
      <c r="A182" s="237" t="str">
        <f>name!E$7</f>
        <v>Administrative and secretarial occupations</v>
      </c>
      <c r="B182" s="302">
        <v>2.1992030852978313</v>
      </c>
      <c r="C182" s="302">
        <v>1.2475720508432315</v>
      </c>
      <c r="D182" s="302">
        <f t="shared" si="55"/>
        <v>3.4467751361410626</v>
      </c>
      <c r="E182" s="303"/>
      <c r="F182" s="302">
        <v>2.1607583870958935</v>
      </c>
      <c r="G182" s="302">
        <v>1.5307840378230715</v>
      </c>
      <c r="H182" s="302">
        <f t="shared" si="56"/>
        <v>3.691542424918965</v>
      </c>
      <c r="I182" s="303"/>
      <c r="J182" s="302">
        <v>2.4053462161244341</v>
      </c>
      <c r="K182" s="302">
        <v>2.0753914928762676</v>
      </c>
      <c r="L182" s="302">
        <f t="shared" si="57"/>
        <v>4.4807377090007012</v>
      </c>
      <c r="M182" s="236"/>
      <c r="N182" s="236"/>
    </row>
    <row r="183" spans="1:14" x14ac:dyDescent="0.25">
      <c r="A183" s="237" t="str">
        <f>name!E$8</f>
        <v>Skilled trades occupations</v>
      </c>
      <c r="B183" s="302">
        <v>4.7985360469271369E-2</v>
      </c>
      <c r="C183" s="302">
        <v>2.006368797508908</v>
      </c>
      <c r="D183" s="302">
        <f t="shared" si="55"/>
        <v>2.0543541579781794</v>
      </c>
      <c r="E183" s="303"/>
      <c r="F183" s="302">
        <v>5.5397482014347417E-2</v>
      </c>
      <c r="G183" s="302">
        <v>1.3896294515068561</v>
      </c>
      <c r="H183" s="302">
        <f t="shared" si="56"/>
        <v>1.4450269335212036</v>
      </c>
      <c r="I183" s="303"/>
      <c r="J183" s="302">
        <v>7.6725155023734185E-2</v>
      </c>
      <c r="K183" s="302">
        <v>1.3395896856423581</v>
      </c>
      <c r="L183" s="302">
        <f t="shared" si="57"/>
        <v>1.4163148406660924</v>
      </c>
      <c r="M183" s="236"/>
      <c r="N183" s="236"/>
    </row>
    <row r="184" spans="1:14" x14ac:dyDescent="0.25">
      <c r="A184" s="237" t="str">
        <f>name!E$9</f>
        <v>Caring, leisure and other service occupations</v>
      </c>
      <c r="B184" s="302">
        <v>0.8109661397107516</v>
      </c>
      <c r="C184" s="302">
        <v>0.72073575171104076</v>
      </c>
      <c r="D184" s="302">
        <f t="shared" si="55"/>
        <v>1.5317018914217924</v>
      </c>
      <c r="E184" s="303"/>
      <c r="F184" s="302">
        <v>1.0360615580290153</v>
      </c>
      <c r="G184" s="302">
        <v>0.87717222927109872</v>
      </c>
      <c r="H184" s="302">
        <f t="shared" si="56"/>
        <v>1.913233787300114</v>
      </c>
      <c r="I184" s="303"/>
      <c r="J184" s="302">
        <v>0.89111808985888974</v>
      </c>
      <c r="K184" s="302">
        <v>0.97490405387910228</v>
      </c>
      <c r="L184" s="302">
        <f t="shared" si="57"/>
        <v>1.866022143737992</v>
      </c>
      <c r="M184" s="236"/>
      <c r="N184" s="236"/>
    </row>
    <row r="185" spans="1:14" x14ac:dyDescent="0.25">
      <c r="A185" s="237" t="str">
        <f>name!E$10</f>
        <v>Sales and customer service occupations</v>
      </c>
      <c r="B185" s="302">
        <v>0.58953650139787872</v>
      </c>
      <c r="C185" s="302">
        <v>0.54830258416413535</v>
      </c>
      <c r="D185" s="302">
        <f t="shared" si="55"/>
        <v>1.137839085562014</v>
      </c>
      <c r="E185" s="303"/>
      <c r="F185" s="302">
        <v>0.56253166868717175</v>
      </c>
      <c r="G185" s="302">
        <v>0.58557323367911918</v>
      </c>
      <c r="H185" s="302">
        <f t="shared" si="56"/>
        <v>1.148104902366291</v>
      </c>
      <c r="I185" s="303"/>
      <c r="J185" s="302">
        <v>0.66122546428905571</v>
      </c>
      <c r="K185" s="302">
        <v>0.75215954886320124</v>
      </c>
      <c r="L185" s="302">
        <f t="shared" si="57"/>
        <v>1.413385013152257</v>
      </c>
      <c r="M185" s="236"/>
      <c r="N185" s="236"/>
    </row>
    <row r="186" spans="1:14" x14ac:dyDescent="0.25">
      <c r="A186" s="237" t="str">
        <f>name!E$11</f>
        <v>Process, plant and machine operatives</v>
      </c>
      <c r="B186" s="302">
        <v>0.45696835214474529</v>
      </c>
      <c r="C186" s="302">
        <v>12.84006517629067</v>
      </c>
      <c r="D186" s="302">
        <f t="shared" si="55"/>
        <v>13.297033528435415</v>
      </c>
      <c r="E186" s="303"/>
      <c r="F186" s="302">
        <v>0.50680969426919675</v>
      </c>
      <c r="G186" s="302">
        <v>12.008146860908221</v>
      </c>
      <c r="H186" s="302">
        <f t="shared" si="56"/>
        <v>12.514956555177418</v>
      </c>
      <c r="I186" s="303"/>
      <c r="J186" s="302">
        <v>0.87278520127467585</v>
      </c>
      <c r="K186" s="302">
        <v>12.827640141864972</v>
      </c>
      <c r="L186" s="302">
        <f t="shared" si="57"/>
        <v>13.700425343139647</v>
      </c>
      <c r="M186" s="236"/>
      <c r="N186" s="236"/>
    </row>
    <row r="187" spans="1:14" x14ac:dyDescent="0.25">
      <c r="A187" s="237" t="str">
        <f>name!E$12</f>
        <v>Elementary occupations</v>
      </c>
      <c r="B187" s="302">
        <v>1.4068350191887087</v>
      </c>
      <c r="C187" s="302">
        <v>4.7947088610008883</v>
      </c>
      <c r="D187" s="302">
        <f t="shared" si="55"/>
        <v>6.2015438801895968</v>
      </c>
      <c r="E187" s="303"/>
      <c r="F187" s="302">
        <v>1.0890670939683584</v>
      </c>
      <c r="G187" s="302">
        <v>3.9434291869109388</v>
      </c>
      <c r="H187" s="302">
        <f t="shared" si="56"/>
        <v>5.0324962808792968</v>
      </c>
      <c r="I187" s="303"/>
      <c r="J187" s="302">
        <v>1.6663986338406254</v>
      </c>
      <c r="K187" s="302">
        <v>4.4110857591914154</v>
      </c>
      <c r="L187" s="302">
        <f t="shared" si="57"/>
        <v>6.0774843930320408</v>
      </c>
      <c r="M187" s="236"/>
      <c r="N187" s="236"/>
    </row>
    <row r="188" spans="1:14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5">
      <c r="A189" s="244" t="s">
        <v>33</v>
      </c>
      <c r="B189" s="311">
        <f>SUM(B179:B187)</f>
        <v>6.8366413054563724</v>
      </c>
      <c r="C189" s="311">
        <f t="shared" ref="C189:D189" si="58">SUM(C179:C187)</f>
        <v>26.620358694543615</v>
      </c>
      <c r="D189" s="311">
        <f t="shared" si="58"/>
        <v>33.456999999999987</v>
      </c>
      <c r="E189" s="311"/>
      <c r="F189" s="311">
        <f t="shared" ref="F189:H189" si="59">SUM(F179:F187)</f>
        <v>7.213733963680462</v>
      </c>
      <c r="G189" s="311">
        <f t="shared" si="59"/>
        <v>25.734266036319497</v>
      </c>
      <c r="H189" s="311">
        <f t="shared" si="59"/>
        <v>32.947999999999965</v>
      </c>
      <c r="I189" s="311"/>
      <c r="J189" s="311">
        <f t="shared" ref="J189:L189" si="60">SUM(J179:J187)</f>
        <v>8.9648506799359762</v>
      </c>
      <c r="K189" s="311">
        <f t="shared" si="60"/>
        <v>28.796149320064053</v>
      </c>
      <c r="L189" s="311">
        <f t="shared" si="60"/>
        <v>37.761000000000038</v>
      </c>
      <c r="M189" s="236"/>
      <c r="N189" s="236"/>
    </row>
    <row r="190" spans="1:14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ht="13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ht="13" x14ac:dyDescent="0.3">
      <c r="A193" s="241" t="str">
        <f>name!B14</f>
        <v>Accommodation and food</v>
      </c>
      <c r="B193" s="376">
        <f>B$6</f>
        <v>2015</v>
      </c>
      <c r="C193" s="376"/>
      <c r="D193" s="376"/>
      <c r="E193" s="253"/>
      <c r="F193" s="376">
        <f>F176</f>
        <v>2020</v>
      </c>
      <c r="G193" s="376"/>
      <c r="H193" s="376"/>
      <c r="I193" s="253"/>
      <c r="J193" s="376">
        <f>J176</f>
        <v>2035</v>
      </c>
      <c r="K193" s="376"/>
      <c r="L193" s="376"/>
      <c r="M193" s="236"/>
      <c r="N193" s="236"/>
    </row>
    <row r="194" spans="1:14" ht="13" x14ac:dyDescent="0.3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5">
      <c r="A196" s="237" t="str">
        <f>name!E$4</f>
        <v>Managers, directors and senior officials</v>
      </c>
      <c r="B196" s="302">
        <v>1.2593040366265449</v>
      </c>
      <c r="C196" s="302">
        <v>1.424113223240804</v>
      </c>
      <c r="D196" s="302">
        <f>SUM(B196:C196)</f>
        <v>2.6834172598673489</v>
      </c>
      <c r="E196" s="303"/>
      <c r="F196" s="302">
        <v>1.7180159367982533</v>
      </c>
      <c r="G196" s="302">
        <v>1.7441525037793044</v>
      </c>
      <c r="H196" s="302">
        <f>SUM(F196:G196)</f>
        <v>3.4621684405775577</v>
      </c>
      <c r="I196" s="303"/>
      <c r="J196" s="302">
        <v>1.9738782446812242</v>
      </c>
      <c r="K196" s="302">
        <v>2.3416896191964587</v>
      </c>
      <c r="L196" s="302">
        <f>SUM(J196:K196)</f>
        <v>4.3155678638776829</v>
      </c>
      <c r="M196" s="236"/>
      <c r="N196" s="236"/>
    </row>
    <row r="197" spans="1:14" x14ac:dyDescent="0.25">
      <c r="A197" s="237" t="str">
        <f>name!E$5</f>
        <v>Professional occupations</v>
      </c>
      <c r="B197" s="302">
        <v>0.35786249439385298</v>
      </c>
      <c r="C197" s="302">
        <v>0.38904205601244979</v>
      </c>
      <c r="D197" s="302">
        <f t="shared" ref="D197:D204" si="61">SUM(B197:C197)</f>
        <v>0.74690455040630277</v>
      </c>
      <c r="E197" s="303"/>
      <c r="F197" s="302">
        <v>0.58462427498467628</v>
      </c>
      <c r="G197" s="302">
        <v>0.5986617873333907</v>
      </c>
      <c r="H197" s="302">
        <f t="shared" ref="H197:H204" si="62">SUM(F197:G197)</f>
        <v>1.183286062318067</v>
      </c>
      <c r="I197" s="303"/>
      <c r="J197" s="302">
        <v>0.79973133931513507</v>
      </c>
      <c r="K197" s="302">
        <v>0.94107861534681092</v>
      </c>
      <c r="L197" s="302">
        <f t="shared" ref="L197:L204" si="63">SUM(J197:K197)</f>
        <v>1.740809954661946</v>
      </c>
      <c r="M197" s="236"/>
      <c r="N197" s="236"/>
    </row>
    <row r="198" spans="1:14" x14ac:dyDescent="0.25">
      <c r="A198" s="237" t="str">
        <f>name!E$6</f>
        <v>Associate professional occupations</v>
      </c>
      <c r="B198" s="302">
        <v>0.37994068032468142</v>
      </c>
      <c r="C198" s="302">
        <v>0.3961983230834209</v>
      </c>
      <c r="D198" s="302">
        <f t="shared" si="61"/>
        <v>0.77613900340810238</v>
      </c>
      <c r="E198" s="303"/>
      <c r="F198" s="302">
        <v>0.55294234526384056</v>
      </c>
      <c r="G198" s="302">
        <v>0.53465940358804487</v>
      </c>
      <c r="H198" s="302">
        <f t="shared" si="62"/>
        <v>1.0876017488518854</v>
      </c>
      <c r="I198" s="303"/>
      <c r="J198" s="302">
        <v>0.86162313182141692</v>
      </c>
      <c r="K198" s="302">
        <v>0.81509707601549986</v>
      </c>
      <c r="L198" s="302">
        <f t="shared" si="63"/>
        <v>1.6767202078369168</v>
      </c>
      <c r="M198" s="236"/>
      <c r="N198" s="236"/>
    </row>
    <row r="199" spans="1:14" x14ac:dyDescent="0.25">
      <c r="A199" s="237" t="str">
        <f>name!E$7</f>
        <v>Administrative and secretarial occupations</v>
      </c>
      <c r="B199" s="302">
        <v>0.83426435992434678</v>
      </c>
      <c r="C199" s="302">
        <v>0.3682706435899879</v>
      </c>
      <c r="D199" s="302">
        <f t="shared" si="61"/>
        <v>1.2025350035143347</v>
      </c>
      <c r="E199" s="303"/>
      <c r="F199" s="302">
        <v>1.0364821748289619</v>
      </c>
      <c r="G199" s="302">
        <v>0.436960142077507</v>
      </c>
      <c r="H199" s="302">
        <f t="shared" si="62"/>
        <v>1.473442316906469</v>
      </c>
      <c r="I199" s="303"/>
      <c r="J199" s="302">
        <v>1.6163703056488894</v>
      </c>
      <c r="K199" s="302">
        <v>0.72755134953388323</v>
      </c>
      <c r="L199" s="302">
        <f t="shared" si="63"/>
        <v>2.3439216551827728</v>
      </c>
      <c r="M199" s="236"/>
      <c r="N199" s="236"/>
    </row>
    <row r="200" spans="1:14" x14ac:dyDescent="0.25">
      <c r="A200" s="237" t="str">
        <f>name!E$8</f>
        <v>Skilled trades occupations</v>
      </c>
      <c r="B200" s="302">
        <v>0.88760519722899844</v>
      </c>
      <c r="C200" s="302">
        <v>1.9124780191962005</v>
      </c>
      <c r="D200" s="302">
        <f t="shared" si="61"/>
        <v>2.800083216425199</v>
      </c>
      <c r="E200" s="303"/>
      <c r="F200" s="302">
        <v>1.0048006844214792</v>
      </c>
      <c r="G200" s="302">
        <v>1.6531732341860848</v>
      </c>
      <c r="H200" s="302">
        <f t="shared" si="62"/>
        <v>2.6579739186075639</v>
      </c>
      <c r="I200" s="303"/>
      <c r="J200" s="302">
        <v>1.2290415731064643</v>
      </c>
      <c r="K200" s="302">
        <v>1.5083682175216813</v>
      </c>
      <c r="L200" s="302">
        <f t="shared" si="63"/>
        <v>2.7374097906281456</v>
      </c>
      <c r="M200" s="236"/>
      <c r="N200" s="236"/>
    </row>
    <row r="201" spans="1:14" x14ac:dyDescent="0.25">
      <c r="A201" s="237" t="str">
        <f>name!E$9</f>
        <v>Caring, leisure and other service occupations</v>
      </c>
      <c r="B201" s="302">
        <v>0.83097733539827479</v>
      </c>
      <c r="C201" s="302">
        <v>0.17883793852444807</v>
      </c>
      <c r="D201" s="302">
        <f t="shared" si="61"/>
        <v>1.0098152739227229</v>
      </c>
      <c r="E201" s="303"/>
      <c r="F201" s="302">
        <v>0.90699859328584675</v>
      </c>
      <c r="G201" s="302">
        <v>0.23042853117729986</v>
      </c>
      <c r="H201" s="302">
        <f t="shared" si="62"/>
        <v>1.1374271244631466</v>
      </c>
      <c r="I201" s="303"/>
      <c r="J201" s="302">
        <v>1.0267356449109382</v>
      </c>
      <c r="K201" s="302">
        <v>0.29773827669096087</v>
      </c>
      <c r="L201" s="302">
        <f t="shared" si="63"/>
        <v>1.324473921601899</v>
      </c>
      <c r="M201" s="236"/>
      <c r="N201" s="236"/>
    </row>
    <row r="202" spans="1:14" x14ac:dyDescent="0.25">
      <c r="A202" s="237" t="str">
        <f>name!E$10</f>
        <v>Sales and customer service occupations</v>
      </c>
      <c r="B202" s="302">
        <v>1.0888766428645962</v>
      </c>
      <c r="C202" s="302">
        <v>0.71291793799163272</v>
      </c>
      <c r="D202" s="302">
        <f t="shared" si="61"/>
        <v>1.801794580856229</v>
      </c>
      <c r="E202" s="303"/>
      <c r="F202" s="302">
        <v>1.2730176630673662</v>
      </c>
      <c r="G202" s="302">
        <v>0.79381071767319444</v>
      </c>
      <c r="H202" s="302">
        <f t="shared" si="62"/>
        <v>2.0668283807405605</v>
      </c>
      <c r="I202" s="303"/>
      <c r="J202" s="302">
        <v>2.2226442423753769</v>
      </c>
      <c r="K202" s="302">
        <v>1.0952612905880619</v>
      </c>
      <c r="L202" s="302">
        <f t="shared" si="63"/>
        <v>3.3179055329634388</v>
      </c>
      <c r="M202" s="236"/>
      <c r="N202" s="236"/>
    </row>
    <row r="203" spans="1:14" x14ac:dyDescent="0.25">
      <c r="A203" s="237" t="str">
        <f>name!E$11</f>
        <v>Process, plant and machine operatives</v>
      </c>
      <c r="B203" s="302">
        <v>0.16024903030242663</v>
      </c>
      <c r="C203" s="302">
        <v>0.69006390169176235</v>
      </c>
      <c r="D203" s="302">
        <f t="shared" si="61"/>
        <v>0.850312931994189</v>
      </c>
      <c r="E203" s="303"/>
      <c r="F203" s="302">
        <v>0.16533076460939986</v>
      </c>
      <c r="G203" s="302">
        <v>0.82676010482301043</v>
      </c>
      <c r="H203" s="302">
        <f t="shared" si="62"/>
        <v>0.99209086943241032</v>
      </c>
      <c r="I203" s="303"/>
      <c r="J203" s="302">
        <v>0.41293513824650446</v>
      </c>
      <c r="K203" s="302">
        <v>1.3031623970906114</v>
      </c>
      <c r="L203" s="302">
        <f t="shared" si="63"/>
        <v>1.716097535337116</v>
      </c>
      <c r="M203" s="236"/>
      <c r="N203" s="236"/>
    </row>
    <row r="204" spans="1:14" x14ac:dyDescent="0.25">
      <c r="A204" s="237" t="str">
        <f>name!E$12</f>
        <v>Elementary occupations</v>
      </c>
      <c r="B204" s="302">
        <v>5.8326803280264405</v>
      </c>
      <c r="C204" s="302">
        <v>4.2023178515790933</v>
      </c>
      <c r="D204" s="302">
        <f t="shared" si="61"/>
        <v>10.034998179605534</v>
      </c>
      <c r="E204" s="303"/>
      <c r="F204" s="302">
        <v>6.2891182761286153</v>
      </c>
      <c r="G204" s="302">
        <v>4.3520628619737352</v>
      </c>
      <c r="H204" s="302">
        <f t="shared" si="62"/>
        <v>10.64118113810235</v>
      </c>
      <c r="I204" s="303"/>
      <c r="J204" s="302">
        <v>5.8348164018473296</v>
      </c>
      <c r="K204" s="302">
        <v>4.3442771360627255</v>
      </c>
      <c r="L204" s="302">
        <f t="shared" si="63"/>
        <v>10.179093537910056</v>
      </c>
      <c r="M204" s="236"/>
      <c r="N204" s="236"/>
    </row>
    <row r="205" spans="1:14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5">
      <c r="A206" s="244" t="s">
        <v>33</v>
      </c>
      <c r="B206" s="311">
        <f>SUM(B196:B204)</f>
        <v>11.631760105090162</v>
      </c>
      <c r="C206" s="311">
        <f t="shared" ref="C206:D206" si="64">SUM(C196:C204)</f>
        <v>10.274239894909801</v>
      </c>
      <c r="D206" s="311">
        <f t="shared" si="64"/>
        <v>21.905999999999963</v>
      </c>
      <c r="E206" s="311"/>
      <c r="F206" s="311">
        <f t="shared" ref="F206:H206" si="65">SUM(F196:F204)</f>
        <v>13.531330713388439</v>
      </c>
      <c r="G206" s="311">
        <f t="shared" si="65"/>
        <v>11.170669286611572</v>
      </c>
      <c r="H206" s="311">
        <f t="shared" si="65"/>
        <v>24.702000000000009</v>
      </c>
      <c r="I206" s="311"/>
      <c r="J206" s="311">
        <f t="shared" ref="J206:L206" si="66">SUM(J196:J204)</f>
        <v>15.977776021953279</v>
      </c>
      <c r="K206" s="311">
        <f t="shared" si="66"/>
        <v>13.374223978046693</v>
      </c>
      <c r="L206" s="311">
        <f t="shared" si="66"/>
        <v>29.351999999999975</v>
      </c>
      <c r="M206" s="236"/>
      <c r="N206" s="236"/>
    </row>
    <row r="207" spans="1:14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ht="13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ht="13" x14ac:dyDescent="0.3">
      <c r="A210" s="241" t="str">
        <f>name!B15</f>
        <v>Media</v>
      </c>
      <c r="B210" s="376">
        <f>B$6</f>
        <v>2015</v>
      </c>
      <c r="C210" s="376"/>
      <c r="D210" s="376"/>
      <c r="E210" s="253"/>
      <c r="F210" s="376">
        <f>F193</f>
        <v>2020</v>
      </c>
      <c r="G210" s="376"/>
      <c r="H210" s="376"/>
      <c r="I210" s="253"/>
      <c r="J210" s="376">
        <f>J193</f>
        <v>2035</v>
      </c>
      <c r="K210" s="376"/>
      <c r="L210" s="376"/>
      <c r="M210" s="236"/>
      <c r="N210" s="236"/>
    </row>
    <row r="211" spans="1:14" ht="13" x14ac:dyDescent="0.3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5">
      <c r="A213" s="237" t="str">
        <f>name!E$4</f>
        <v>Managers, directors and senior officials</v>
      </c>
      <c r="B213" s="302">
        <v>4.1315879907142361E-2</v>
      </c>
      <c r="C213" s="302">
        <v>0.11048594925105333</v>
      </c>
      <c r="D213" s="302">
        <f>SUM(B213:C213)</f>
        <v>0.15180182915819568</v>
      </c>
      <c r="E213" s="303"/>
      <c r="F213" s="302">
        <v>5.8006170764346027E-2</v>
      </c>
      <c r="G213" s="302">
        <v>0.14137551639463622</v>
      </c>
      <c r="H213" s="302">
        <f>SUM(F213:G213)</f>
        <v>0.19938168715898225</v>
      </c>
      <c r="I213" s="303"/>
      <c r="J213" s="302">
        <v>5.2940833674194457E-2</v>
      </c>
      <c r="K213" s="302">
        <v>0.13991596630951211</v>
      </c>
      <c r="L213" s="302">
        <f>SUM(J213:K213)</f>
        <v>0.19285679998370658</v>
      </c>
      <c r="M213" s="236"/>
      <c r="N213" s="236"/>
    </row>
    <row r="214" spans="1:14" x14ac:dyDescent="0.25">
      <c r="A214" s="237" t="str">
        <f>name!E$5</f>
        <v>Professional occupations</v>
      </c>
      <c r="B214" s="302">
        <v>7.3818955410873216E-2</v>
      </c>
      <c r="C214" s="302">
        <v>0.2689932307993374</v>
      </c>
      <c r="D214" s="302">
        <f t="shared" ref="D214:D221" si="67">SUM(B214:C214)</f>
        <v>0.34281218621021059</v>
      </c>
      <c r="E214" s="303"/>
      <c r="F214" s="302">
        <v>0.10317480128899793</v>
      </c>
      <c r="G214" s="302">
        <v>0.37396489514335624</v>
      </c>
      <c r="H214" s="302">
        <f t="shared" ref="H214:H221" si="68">SUM(F214:G214)</f>
        <v>0.47713969643235415</v>
      </c>
      <c r="I214" s="303"/>
      <c r="J214" s="302">
        <v>0.11420400744588886</v>
      </c>
      <c r="K214" s="302">
        <v>0.39939353289696256</v>
      </c>
      <c r="L214" s="302">
        <f t="shared" ref="L214:L221" si="69">SUM(J214:K214)</f>
        <v>0.51359754034285143</v>
      </c>
      <c r="M214" s="236"/>
      <c r="N214" s="236"/>
    </row>
    <row r="215" spans="1:14" x14ac:dyDescent="0.25">
      <c r="A215" s="237" t="str">
        <f>name!E$6</f>
        <v>Associate professional occupations</v>
      </c>
      <c r="B215" s="302">
        <v>0.11384856233491968</v>
      </c>
      <c r="C215" s="302">
        <v>0.29972167879476314</v>
      </c>
      <c r="D215" s="302">
        <f t="shared" si="67"/>
        <v>0.41357024112968283</v>
      </c>
      <c r="E215" s="303"/>
      <c r="F215" s="302">
        <v>0.17724285242380972</v>
      </c>
      <c r="G215" s="302">
        <v>0.415540222831976</v>
      </c>
      <c r="H215" s="302">
        <f t="shared" si="68"/>
        <v>0.59278307525578566</v>
      </c>
      <c r="I215" s="303"/>
      <c r="J215" s="302">
        <v>0.17619079223283046</v>
      </c>
      <c r="K215" s="302">
        <v>0.3837080479816784</v>
      </c>
      <c r="L215" s="302">
        <f t="shared" si="69"/>
        <v>0.55989884021450886</v>
      </c>
      <c r="M215" s="236"/>
      <c r="N215" s="236"/>
    </row>
    <row r="216" spans="1:14" x14ac:dyDescent="0.25">
      <c r="A216" s="237" t="str">
        <f>name!E$7</f>
        <v>Administrative and secretarial occupations</v>
      </c>
      <c r="B216" s="302">
        <v>0.14396432466371703</v>
      </c>
      <c r="C216" s="302">
        <v>5.0194904704995345E-2</v>
      </c>
      <c r="D216" s="302">
        <f t="shared" si="67"/>
        <v>0.19415922936871238</v>
      </c>
      <c r="E216" s="303"/>
      <c r="F216" s="302">
        <v>0.13668167955372948</v>
      </c>
      <c r="G216" s="302">
        <v>6.0278512622447128E-2</v>
      </c>
      <c r="H216" s="302">
        <f t="shared" si="68"/>
        <v>0.19696019217617661</v>
      </c>
      <c r="I216" s="303"/>
      <c r="J216" s="302">
        <v>0.12586482720980216</v>
      </c>
      <c r="K216" s="302">
        <v>5.9483245498046365E-2</v>
      </c>
      <c r="L216" s="302">
        <f t="shared" si="69"/>
        <v>0.18534807270784853</v>
      </c>
      <c r="M216" s="236"/>
      <c r="N216" s="236"/>
    </row>
    <row r="217" spans="1:14" x14ac:dyDescent="0.25">
      <c r="A217" s="237" t="str">
        <f>name!E$8</f>
        <v>Skilled trades occupations</v>
      </c>
      <c r="B217" s="302">
        <v>1.7832919328677567E-2</v>
      </c>
      <c r="C217" s="302">
        <v>0.10182502126478851</v>
      </c>
      <c r="D217" s="302">
        <f t="shared" si="67"/>
        <v>0.11965794059346607</v>
      </c>
      <c r="E217" s="303"/>
      <c r="F217" s="302">
        <v>3.0049495325642238E-2</v>
      </c>
      <c r="G217" s="302">
        <v>0.10218892326826508</v>
      </c>
      <c r="H217" s="302">
        <f t="shared" si="68"/>
        <v>0.13223841859390731</v>
      </c>
      <c r="I217" s="303"/>
      <c r="J217" s="302">
        <v>3.570449011144429E-2</v>
      </c>
      <c r="K217" s="302">
        <v>9.317716192092014E-2</v>
      </c>
      <c r="L217" s="302">
        <f t="shared" si="69"/>
        <v>0.12888165203236443</v>
      </c>
      <c r="M217" s="236"/>
      <c r="N217" s="236"/>
    </row>
    <row r="218" spans="1:14" x14ac:dyDescent="0.25">
      <c r="A218" s="237" t="str">
        <f>name!E$9</f>
        <v>Caring, leisure and other service occupations</v>
      </c>
      <c r="B218" s="302">
        <v>7.5725197158118082E-2</v>
      </c>
      <c r="C218" s="302">
        <v>2.6157438679906088E-2</v>
      </c>
      <c r="D218" s="302">
        <f t="shared" si="67"/>
        <v>0.10188263583802418</v>
      </c>
      <c r="E218" s="303"/>
      <c r="F218" s="302">
        <v>7.2413518359030898E-2</v>
      </c>
      <c r="G218" s="302">
        <v>3.5676253228925175E-2</v>
      </c>
      <c r="H218" s="302">
        <f t="shared" si="68"/>
        <v>0.10808977158795607</v>
      </c>
      <c r="I218" s="303"/>
      <c r="J218" s="302">
        <v>6.7586159362577572E-2</v>
      </c>
      <c r="K218" s="302">
        <v>4.1032506704611532E-2</v>
      </c>
      <c r="L218" s="302">
        <f t="shared" si="69"/>
        <v>0.1086186660671891</v>
      </c>
      <c r="M218" s="236"/>
      <c r="N218" s="236"/>
    </row>
    <row r="219" spans="1:14" x14ac:dyDescent="0.25">
      <c r="A219" s="237" t="str">
        <f>name!E$10</f>
        <v>Sales and customer service occupations</v>
      </c>
      <c r="B219" s="302">
        <v>5.0758927017071964E-2</v>
      </c>
      <c r="C219" s="302">
        <v>4.8343145399085977E-2</v>
      </c>
      <c r="D219" s="302">
        <f t="shared" si="67"/>
        <v>9.9102072416157941E-2</v>
      </c>
      <c r="E219" s="303"/>
      <c r="F219" s="302">
        <v>4.9242457367677343E-2</v>
      </c>
      <c r="G219" s="302">
        <v>5.4081531249773232E-2</v>
      </c>
      <c r="H219" s="302">
        <f t="shared" si="68"/>
        <v>0.10332398861745057</v>
      </c>
      <c r="I219" s="303"/>
      <c r="J219" s="302">
        <v>4.7152385048090509E-2</v>
      </c>
      <c r="K219" s="302">
        <v>6.639141414867876E-2</v>
      </c>
      <c r="L219" s="302">
        <f t="shared" si="69"/>
        <v>0.11354379919676927</v>
      </c>
      <c r="M219" s="236"/>
      <c r="N219" s="236"/>
    </row>
    <row r="220" spans="1:14" x14ac:dyDescent="0.25">
      <c r="A220" s="237" t="str">
        <f>name!E$11</f>
        <v>Process, plant and machine operatives</v>
      </c>
      <c r="B220" s="302">
        <v>1.1984033773179116E-2</v>
      </c>
      <c r="C220" s="302">
        <v>2.5031856619956293E-2</v>
      </c>
      <c r="D220" s="302">
        <f t="shared" si="67"/>
        <v>3.7015890393135409E-2</v>
      </c>
      <c r="E220" s="303"/>
      <c r="F220" s="302">
        <v>2.4522740744602561E-2</v>
      </c>
      <c r="G220" s="302">
        <v>2.8361629677888685E-2</v>
      </c>
      <c r="H220" s="302">
        <f t="shared" si="68"/>
        <v>5.288437042249125E-2</v>
      </c>
      <c r="I220" s="303"/>
      <c r="J220" s="302">
        <v>3.472831146540372E-2</v>
      </c>
      <c r="K220" s="302">
        <v>2.7025983374436742E-2</v>
      </c>
      <c r="L220" s="302">
        <f t="shared" si="69"/>
        <v>6.1754294839840462E-2</v>
      </c>
      <c r="M220" s="236"/>
      <c r="N220" s="236"/>
    </row>
    <row r="221" spans="1:14" x14ac:dyDescent="0.25">
      <c r="A221" s="237" t="str">
        <f>name!E$12</f>
        <v>Elementary occupations</v>
      </c>
      <c r="B221" s="302">
        <v>0.13606608732439124</v>
      </c>
      <c r="C221" s="302">
        <v>0.1119318875680215</v>
      </c>
      <c r="D221" s="302">
        <f t="shared" si="67"/>
        <v>0.24799797489241274</v>
      </c>
      <c r="E221" s="303"/>
      <c r="F221" s="302">
        <v>0.14620781031733515</v>
      </c>
      <c r="G221" s="302">
        <v>0.10099098943756282</v>
      </c>
      <c r="H221" s="302">
        <f t="shared" si="68"/>
        <v>0.24719879975489797</v>
      </c>
      <c r="I221" s="303"/>
      <c r="J221" s="302">
        <v>0.12461381304218269</v>
      </c>
      <c r="K221" s="302">
        <v>0.11688652157273681</v>
      </c>
      <c r="L221" s="302">
        <f t="shared" si="69"/>
        <v>0.24150033461491949</v>
      </c>
      <c r="M221" s="236"/>
      <c r="N221" s="236"/>
    </row>
    <row r="222" spans="1:14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5">
      <c r="A223" s="244" t="s">
        <v>33</v>
      </c>
      <c r="B223" s="311">
        <f>SUM(B213:B221)</f>
        <v>0.66531488691809026</v>
      </c>
      <c r="C223" s="311">
        <f t="shared" ref="C223:D223" si="70">SUM(C213:C221)</f>
        <v>1.0426851130819077</v>
      </c>
      <c r="D223" s="311">
        <f t="shared" si="70"/>
        <v>1.7079999999999982</v>
      </c>
      <c r="E223" s="311"/>
      <c r="F223" s="311">
        <f t="shared" ref="F223:H223" si="71">SUM(F213:F221)</f>
        <v>0.79754152614517126</v>
      </c>
      <c r="G223" s="311">
        <f t="shared" si="71"/>
        <v>1.3124584738548306</v>
      </c>
      <c r="H223" s="311">
        <f t="shared" si="71"/>
        <v>2.1100000000000021</v>
      </c>
      <c r="I223" s="311"/>
      <c r="J223" s="311">
        <f t="shared" ref="J223:L223" si="72">SUM(J213:J221)</f>
        <v>0.77898561959241464</v>
      </c>
      <c r="K223" s="311">
        <f t="shared" si="72"/>
        <v>1.3270143804075836</v>
      </c>
      <c r="L223" s="311">
        <f t="shared" si="72"/>
        <v>2.1059999999999977</v>
      </c>
      <c r="M223" s="236"/>
      <c r="N223" s="236"/>
    </row>
    <row r="224" spans="1:14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ht="13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ht="13" x14ac:dyDescent="0.3">
      <c r="A227" s="241" t="str">
        <f>name!B16</f>
        <v>Information technology</v>
      </c>
      <c r="B227" s="376">
        <f>B$6</f>
        <v>2015</v>
      </c>
      <c r="C227" s="376"/>
      <c r="D227" s="376"/>
      <c r="E227" s="253"/>
      <c r="F227" s="376">
        <f>F210</f>
        <v>2020</v>
      </c>
      <c r="G227" s="376"/>
      <c r="H227" s="376"/>
      <c r="I227" s="253"/>
      <c r="J227" s="376">
        <f>J210</f>
        <v>2035</v>
      </c>
      <c r="K227" s="376"/>
      <c r="L227" s="376"/>
      <c r="M227" s="236"/>
      <c r="N227" s="236"/>
    </row>
    <row r="228" spans="1:14" ht="13" x14ac:dyDescent="0.3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5">
      <c r="A230" s="237" t="str">
        <f>name!E$4</f>
        <v>Managers, directors and senior officials</v>
      </c>
      <c r="B230" s="302">
        <v>0.25951187637975459</v>
      </c>
      <c r="C230" s="302">
        <v>0.66082375824166995</v>
      </c>
      <c r="D230" s="302">
        <f>SUM(B230:C230)</f>
        <v>0.92033563462142454</v>
      </c>
      <c r="E230" s="303"/>
      <c r="F230" s="302">
        <v>0.29532874905205897</v>
      </c>
      <c r="G230" s="302">
        <v>0.72855893607095301</v>
      </c>
      <c r="H230" s="302">
        <f>SUM(F230:G230)</f>
        <v>1.0238876851230119</v>
      </c>
      <c r="I230" s="303"/>
      <c r="J230" s="302">
        <v>0.32129060083384336</v>
      </c>
      <c r="K230" s="302">
        <v>0.65211071725460523</v>
      </c>
      <c r="L230" s="302">
        <f>SUM(J230:K230)</f>
        <v>0.97340131808844865</v>
      </c>
      <c r="M230" s="236"/>
      <c r="N230" s="236"/>
    </row>
    <row r="231" spans="1:14" x14ac:dyDescent="0.25">
      <c r="A231" s="237" t="str">
        <f>name!E$5</f>
        <v>Professional occupations</v>
      </c>
      <c r="B231" s="302">
        <v>0.47598021465994894</v>
      </c>
      <c r="C231" s="302">
        <v>2.2499728116092101</v>
      </c>
      <c r="D231" s="302">
        <f t="shared" ref="D231:D238" si="73">SUM(B231:C231)</f>
        <v>2.7259530262691589</v>
      </c>
      <c r="E231" s="303"/>
      <c r="F231" s="302">
        <v>0.59667035240782074</v>
      </c>
      <c r="G231" s="302">
        <v>2.4843528211320565</v>
      </c>
      <c r="H231" s="302">
        <f t="shared" ref="H231:H238" si="74">SUM(F231:G231)</f>
        <v>3.0810231735398772</v>
      </c>
      <c r="I231" s="303"/>
      <c r="J231" s="302">
        <v>0.78226861270527481</v>
      </c>
      <c r="K231" s="302">
        <v>2.8541743473869912</v>
      </c>
      <c r="L231" s="302">
        <f t="shared" ref="L231:L238" si="75">SUM(J231:K231)</f>
        <v>3.6364429600922659</v>
      </c>
      <c r="M231" s="236"/>
      <c r="N231" s="236"/>
    </row>
    <row r="232" spans="1:14" x14ac:dyDescent="0.25">
      <c r="A232" s="237" t="str">
        <f>name!E$6</f>
        <v>Associate professional occupations</v>
      </c>
      <c r="B232" s="302">
        <v>0.38474186466049931</v>
      </c>
      <c r="C232" s="302">
        <v>0.81448478475150543</v>
      </c>
      <c r="D232" s="302">
        <f t="shared" si="73"/>
        <v>1.1992266494120047</v>
      </c>
      <c r="E232" s="303"/>
      <c r="F232" s="302">
        <v>0.41921357443127699</v>
      </c>
      <c r="G232" s="302">
        <v>0.8652902967893441</v>
      </c>
      <c r="H232" s="302">
        <f t="shared" si="74"/>
        <v>1.2845038712206212</v>
      </c>
      <c r="I232" s="303"/>
      <c r="J232" s="302">
        <v>0.46548296023168234</v>
      </c>
      <c r="K232" s="302">
        <v>0.80007377222538467</v>
      </c>
      <c r="L232" s="302">
        <f t="shared" si="75"/>
        <v>1.2655567324570671</v>
      </c>
      <c r="M232" s="236"/>
      <c r="N232" s="236"/>
    </row>
    <row r="233" spans="1:14" x14ac:dyDescent="0.25">
      <c r="A233" s="237" t="str">
        <f>name!E$7</f>
        <v>Administrative and secretarial occupations</v>
      </c>
      <c r="B233" s="302">
        <v>0.49571876720699892</v>
      </c>
      <c r="C233" s="302">
        <v>0.19627903097952487</v>
      </c>
      <c r="D233" s="302">
        <f t="shared" si="73"/>
        <v>0.69199779818652374</v>
      </c>
      <c r="E233" s="303"/>
      <c r="F233" s="302">
        <v>0.35365953384685606</v>
      </c>
      <c r="G233" s="302">
        <v>0.20554512784827256</v>
      </c>
      <c r="H233" s="302">
        <f t="shared" si="74"/>
        <v>0.55920466169512861</v>
      </c>
      <c r="I233" s="303"/>
      <c r="J233" s="302">
        <v>0.26844145964292698</v>
      </c>
      <c r="K233" s="302">
        <v>0.23140821402576661</v>
      </c>
      <c r="L233" s="302">
        <f t="shared" si="75"/>
        <v>0.49984967366869359</v>
      </c>
      <c r="M233" s="236"/>
      <c r="N233" s="236"/>
    </row>
    <row r="234" spans="1:14" x14ac:dyDescent="0.25">
      <c r="A234" s="237" t="str">
        <f>name!E$8</f>
        <v>Skilled trades occupations</v>
      </c>
      <c r="B234" s="302">
        <v>2.5735305641544595E-2</v>
      </c>
      <c r="C234" s="302">
        <v>0.33701432218038724</v>
      </c>
      <c r="D234" s="302">
        <f t="shared" si="73"/>
        <v>0.36274962782193182</v>
      </c>
      <c r="E234" s="303"/>
      <c r="F234" s="302">
        <v>2.908379852681334E-2</v>
      </c>
      <c r="G234" s="302">
        <v>0.31393987208532226</v>
      </c>
      <c r="H234" s="302">
        <f t="shared" si="74"/>
        <v>0.34302367061213562</v>
      </c>
      <c r="I234" s="303"/>
      <c r="J234" s="302">
        <v>4.7839858253252057E-2</v>
      </c>
      <c r="K234" s="302">
        <v>0.31187198191058457</v>
      </c>
      <c r="L234" s="302">
        <f t="shared" si="75"/>
        <v>0.35971184016383662</v>
      </c>
      <c r="M234" s="236"/>
      <c r="N234" s="236"/>
    </row>
    <row r="235" spans="1:14" x14ac:dyDescent="0.25">
      <c r="A235" s="237" t="str">
        <f>name!E$9</f>
        <v>Caring, leisure and other service occupations</v>
      </c>
      <c r="B235" s="302">
        <v>9.7577642592317229E-2</v>
      </c>
      <c r="C235" s="302">
        <v>7.323218450704469E-2</v>
      </c>
      <c r="D235" s="302">
        <f t="shared" si="73"/>
        <v>0.17080982709936193</v>
      </c>
      <c r="E235" s="303"/>
      <c r="F235" s="302">
        <v>8.5418560796842027E-2</v>
      </c>
      <c r="G235" s="302">
        <v>7.1161928856059833E-2</v>
      </c>
      <c r="H235" s="302">
        <f t="shared" si="74"/>
        <v>0.15658048965290186</v>
      </c>
      <c r="I235" s="303"/>
      <c r="J235" s="302">
        <v>0.10036653531309286</v>
      </c>
      <c r="K235" s="302">
        <v>8.8973329647323629E-2</v>
      </c>
      <c r="L235" s="302">
        <f t="shared" si="75"/>
        <v>0.18933986496041649</v>
      </c>
      <c r="M235" s="236"/>
      <c r="N235" s="236"/>
    </row>
    <row r="236" spans="1:14" x14ac:dyDescent="0.25">
      <c r="A236" s="237" t="str">
        <f>name!E$10</f>
        <v>Sales and customer service occupations</v>
      </c>
      <c r="B236" s="302">
        <v>0.19609226719786402</v>
      </c>
      <c r="C236" s="302">
        <v>0.10176716850161847</v>
      </c>
      <c r="D236" s="302">
        <f t="shared" si="73"/>
        <v>0.29785943569948248</v>
      </c>
      <c r="E236" s="303"/>
      <c r="F236" s="302">
        <v>0.15353952964374665</v>
      </c>
      <c r="G236" s="302">
        <v>0.11500825293555181</v>
      </c>
      <c r="H236" s="302">
        <f t="shared" si="74"/>
        <v>0.26854778257929846</v>
      </c>
      <c r="I236" s="303"/>
      <c r="J236" s="302">
        <v>0.15268813345561807</v>
      </c>
      <c r="K236" s="302">
        <v>0.13907854171455086</v>
      </c>
      <c r="L236" s="302">
        <f t="shared" si="75"/>
        <v>0.29176667517016897</v>
      </c>
      <c r="M236" s="236"/>
      <c r="N236" s="236"/>
    </row>
    <row r="237" spans="1:14" x14ac:dyDescent="0.25">
      <c r="A237" s="237" t="str">
        <f>name!E$11</f>
        <v>Process, plant and machine operatives</v>
      </c>
      <c r="B237" s="302">
        <v>1.2957006378903941E-2</v>
      </c>
      <c r="C237" s="302">
        <v>4.8707249215414354E-2</v>
      </c>
      <c r="D237" s="302">
        <f t="shared" si="73"/>
        <v>6.1664255594318297E-2</v>
      </c>
      <c r="E237" s="303"/>
      <c r="F237" s="302">
        <v>1.024108586619797E-2</v>
      </c>
      <c r="G237" s="302">
        <v>6.0945757465292461E-2</v>
      </c>
      <c r="H237" s="302">
        <f t="shared" si="74"/>
        <v>7.1186843331490432E-2</v>
      </c>
      <c r="I237" s="303"/>
      <c r="J237" s="302">
        <v>1.2639221178891125E-2</v>
      </c>
      <c r="K237" s="302">
        <v>6.410245397604887E-2</v>
      </c>
      <c r="L237" s="302">
        <f t="shared" si="75"/>
        <v>7.6741675154940001E-2</v>
      </c>
      <c r="M237" s="236"/>
      <c r="N237" s="236"/>
    </row>
    <row r="238" spans="1:14" x14ac:dyDescent="0.25">
      <c r="A238" s="237" t="str">
        <f>name!E$12</f>
        <v>Elementary occupations</v>
      </c>
      <c r="B238" s="302">
        <v>4.2003580042621648E-2</v>
      </c>
      <c r="C238" s="302">
        <v>6.5400165253173465E-2</v>
      </c>
      <c r="D238" s="302">
        <f t="shared" si="73"/>
        <v>0.10740374529579511</v>
      </c>
      <c r="E238" s="303"/>
      <c r="F238" s="302">
        <v>2.7836208393808022E-2</v>
      </c>
      <c r="G238" s="302">
        <v>5.7205613851712599E-2</v>
      </c>
      <c r="H238" s="302">
        <f t="shared" si="74"/>
        <v>8.5041822245520621E-2</v>
      </c>
      <c r="I238" s="303"/>
      <c r="J238" s="302">
        <v>4.2381819977474415E-2</v>
      </c>
      <c r="K238" s="302">
        <v>5.4807440266680163E-2</v>
      </c>
      <c r="L238" s="302">
        <f t="shared" si="75"/>
        <v>9.7189260244154585E-2</v>
      </c>
      <c r="M238" s="236"/>
      <c r="N238" s="236"/>
    </row>
    <row r="239" spans="1:14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5">
      <c r="A240" s="244" t="s">
        <v>33</v>
      </c>
      <c r="B240" s="311">
        <f>SUM(B230:B238)</f>
        <v>1.9903185247604531</v>
      </c>
      <c r="C240" s="311">
        <f t="shared" ref="C240:D240" si="76">SUM(C230:C238)</f>
        <v>4.547681475239548</v>
      </c>
      <c r="D240" s="311">
        <f t="shared" si="76"/>
        <v>6.538000000000002</v>
      </c>
      <c r="E240" s="311"/>
      <c r="F240" s="311">
        <f t="shared" ref="F240:H240" si="77">SUM(F230:F238)</f>
        <v>1.9709913929654206</v>
      </c>
      <c r="G240" s="311">
        <f t="shared" si="77"/>
        <v>4.9020086070345652</v>
      </c>
      <c r="H240" s="311">
        <f t="shared" si="77"/>
        <v>6.8729999999999851</v>
      </c>
      <c r="I240" s="311"/>
      <c r="J240" s="311">
        <f t="shared" ref="J240:L240" si="78">SUM(J230:J238)</f>
        <v>2.1933992015920563</v>
      </c>
      <c r="K240" s="311">
        <f t="shared" si="78"/>
        <v>5.1966007984079363</v>
      </c>
      <c r="L240" s="311">
        <f t="shared" si="78"/>
        <v>7.3899999999999917</v>
      </c>
      <c r="M240" s="236"/>
      <c r="N240" s="236"/>
    </row>
    <row r="241" spans="1:14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ht="13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ht="13" x14ac:dyDescent="0.3">
      <c r="A244" s="241" t="str">
        <f>name!B17</f>
        <v>Finance and insurance</v>
      </c>
      <c r="B244" s="376">
        <f>B$6</f>
        <v>2015</v>
      </c>
      <c r="C244" s="376"/>
      <c r="D244" s="376"/>
      <c r="E244" s="253"/>
      <c r="F244" s="376">
        <f>F227</f>
        <v>2020</v>
      </c>
      <c r="G244" s="376"/>
      <c r="H244" s="376"/>
      <c r="I244" s="253"/>
      <c r="J244" s="376">
        <f>J227</f>
        <v>2035</v>
      </c>
      <c r="K244" s="376"/>
      <c r="L244" s="376"/>
      <c r="M244" s="236"/>
      <c r="N244" s="236"/>
    </row>
    <row r="245" spans="1:14" ht="13" x14ac:dyDescent="0.3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5">
      <c r="A247" s="237" t="str">
        <f>name!E$4</f>
        <v>Managers, directors and senior officials</v>
      </c>
      <c r="B247" s="302">
        <v>0.44923657468432465</v>
      </c>
      <c r="C247" s="302">
        <v>0.93978008302135263</v>
      </c>
      <c r="D247" s="302">
        <f>SUM(B247:C247)</f>
        <v>1.3890166577056773</v>
      </c>
      <c r="E247" s="303"/>
      <c r="F247" s="302">
        <v>0.54109727976261879</v>
      </c>
      <c r="G247" s="302">
        <v>0.97665614511239929</v>
      </c>
      <c r="H247" s="302">
        <f>SUM(F247:G247)</f>
        <v>1.5177534248750182</v>
      </c>
      <c r="I247" s="303"/>
      <c r="J247" s="302">
        <v>0.56953723649932775</v>
      </c>
      <c r="K247" s="302">
        <v>0.80028005467424301</v>
      </c>
      <c r="L247" s="302">
        <f>SUM(J247:K247)</f>
        <v>1.3698172911735709</v>
      </c>
      <c r="M247" s="236"/>
      <c r="N247" s="236"/>
    </row>
    <row r="248" spans="1:14" x14ac:dyDescent="0.25">
      <c r="A248" s="237" t="str">
        <f>name!E$5</f>
        <v>Professional occupations</v>
      </c>
      <c r="B248" s="302">
        <v>0.58538028796586805</v>
      </c>
      <c r="C248" s="302">
        <v>1.2576820497066714</v>
      </c>
      <c r="D248" s="302">
        <f t="shared" ref="D248:D255" si="79">SUM(B248:C248)</f>
        <v>1.8430623376725395</v>
      </c>
      <c r="E248" s="303"/>
      <c r="F248" s="302">
        <v>0.7624803681005069</v>
      </c>
      <c r="G248" s="302">
        <v>1.3808537621811496</v>
      </c>
      <c r="H248" s="302">
        <f t="shared" ref="H248:H255" si="80">SUM(F248:G248)</f>
        <v>2.1433341302816564</v>
      </c>
      <c r="I248" s="303"/>
      <c r="J248" s="302">
        <v>0.91138738027038269</v>
      </c>
      <c r="K248" s="302">
        <v>1.5512368155025209</v>
      </c>
      <c r="L248" s="302">
        <f t="shared" ref="L248:L255" si="81">SUM(J248:K248)</f>
        <v>2.4626241957729036</v>
      </c>
      <c r="M248" s="236"/>
      <c r="N248" s="236"/>
    </row>
    <row r="249" spans="1:14" x14ac:dyDescent="0.25">
      <c r="A249" s="237" t="str">
        <f>name!E$6</f>
        <v>Associate professional occupations</v>
      </c>
      <c r="B249" s="302">
        <v>0.96042498527834086</v>
      </c>
      <c r="C249" s="302">
        <v>1.3697978037289291</v>
      </c>
      <c r="D249" s="302">
        <f t="shared" si="79"/>
        <v>2.3302227890072702</v>
      </c>
      <c r="E249" s="303"/>
      <c r="F249" s="302">
        <v>1.0019159067398218</v>
      </c>
      <c r="G249" s="302">
        <v>1.4303128023893388</v>
      </c>
      <c r="H249" s="302">
        <f t="shared" si="80"/>
        <v>2.4322287091291606</v>
      </c>
      <c r="I249" s="303"/>
      <c r="J249" s="302">
        <v>1.0340863003561114</v>
      </c>
      <c r="K249" s="302">
        <v>1.2557818783785648</v>
      </c>
      <c r="L249" s="302">
        <f t="shared" si="81"/>
        <v>2.2898681787346762</v>
      </c>
      <c r="M249" s="236"/>
      <c r="N249" s="236"/>
    </row>
    <row r="250" spans="1:14" x14ac:dyDescent="0.25">
      <c r="A250" s="237" t="str">
        <f>name!E$7</f>
        <v>Administrative and secretarial occupations</v>
      </c>
      <c r="B250" s="302">
        <v>2.2987902635167177</v>
      </c>
      <c r="C250" s="302">
        <v>0.93040813630196473</v>
      </c>
      <c r="D250" s="302">
        <f t="shared" si="79"/>
        <v>3.2291983998186824</v>
      </c>
      <c r="E250" s="303"/>
      <c r="F250" s="302">
        <v>2.117381104078325</v>
      </c>
      <c r="G250" s="302">
        <v>0.99279627329098241</v>
      </c>
      <c r="H250" s="302">
        <f t="shared" si="80"/>
        <v>3.1101773773693075</v>
      </c>
      <c r="I250" s="303"/>
      <c r="J250" s="302">
        <v>1.6689385533535255</v>
      </c>
      <c r="K250" s="302">
        <v>1.0336426206415106</v>
      </c>
      <c r="L250" s="302">
        <f t="shared" si="81"/>
        <v>2.7025811739950361</v>
      </c>
      <c r="M250" s="236"/>
      <c r="N250" s="236"/>
    </row>
    <row r="251" spans="1:14" x14ac:dyDescent="0.25">
      <c r="A251" s="237" t="str">
        <f>name!E$8</f>
        <v>Skilled trades occupations</v>
      </c>
      <c r="B251" s="302">
        <v>2.9958859298349624E-2</v>
      </c>
      <c r="C251" s="302">
        <v>9.6445884949634103E-2</v>
      </c>
      <c r="D251" s="302">
        <f t="shared" si="79"/>
        <v>0.12640474424798373</v>
      </c>
      <c r="E251" s="303"/>
      <c r="F251" s="302">
        <v>2.5517330689024852E-2</v>
      </c>
      <c r="G251" s="302">
        <v>7.3466642162642606E-2</v>
      </c>
      <c r="H251" s="302">
        <f t="shared" si="80"/>
        <v>9.8983972851667462E-2</v>
      </c>
      <c r="I251" s="303"/>
      <c r="J251" s="302">
        <v>2.9417122982650902E-2</v>
      </c>
      <c r="K251" s="302">
        <v>5.7170142018802793E-2</v>
      </c>
      <c r="L251" s="302">
        <f t="shared" si="81"/>
        <v>8.6587265001453695E-2</v>
      </c>
      <c r="M251" s="236"/>
      <c r="N251" s="236"/>
    </row>
    <row r="252" spans="1:14" x14ac:dyDescent="0.25">
      <c r="A252" s="237" t="str">
        <f>name!E$9</f>
        <v>Caring, leisure and other service occupations</v>
      </c>
      <c r="B252" s="302">
        <v>6.5923470267063897E-2</v>
      </c>
      <c r="C252" s="302">
        <v>3.244281758408947E-2</v>
      </c>
      <c r="D252" s="302">
        <f t="shared" si="79"/>
        <v>9.8366287851153367E-2</v>
      </c>
      <c r="E252" s="303"/>
      <c r="F252" s="302">
        <v>4.7450515369539245E-2</v>
      </c>
      <c r="G252" s="302">
        <v>3.6407905473269365E-2</v>
      </c>
      <c r="H252" s="302">
        <f t="shared" si="80"/>
        <v>8.3858420842808618E-2</v>
      </c>
      <c r="I252" s="303"/>
      <c r="J252" s="302">
        <v>5.6162569785114941E-2</v>
      </c>
      <c r="K252" s="302">
        <v>4.0592115116342184E-2</v>
      </c>
      <c r="L252" s="302">
        <f t="shared" si="81"/>
        <v>9.6754684901457125E-2</v>
      </c>
      <c r="M252" s="236"/>
      <c r="N252" s="236"/>
    </row>
    <row r="253" spans="1:14" x14ac:dyDescent="0.25">
      <c r="A253" s="237" t="str">
        <f>name!E$10</f>
        <v>Sales and customer service occupations</v>
      </c>
      <c r="B253" s="302">
        <v>0.61550612215626643</v>
      </c>
      <c r="C253" s="302">
        <v>0.33979699242008948</v>
      </c>
      <c r="D253" s="302">
        <f t="shared" si="79"/>
        <v>0.95530311457635597</v>
      </c>
      <c r="E253" s="303"/>
      <c r="F253" s="302">
        <v>0.53619265535053207</v>
      </c>
      <c r="G253" s="302">
        <v>0.32978428369634682</v>
      </c>
      <c r="H253" s="302">
        <f t="shared" si="80"/>
        <v>0.86597693904687889</v>
      </c>
      <c r="I253" s="303"/>
      <c r="J253" s="302">
        <v>0.49051221599092804</v>
      </c>
      <c r="K253" s="302">
        <v>0.3597367190699412</v>
      </c>
      <c r="L253" s="302">
        <f t="shared" si="81"/>
        <v>0.85024893506086929</v>
      </c>
      <c r="M253" s="236"/>
      <c r="N253" s="236"/>
    </row>
    <row r="254" spans="1:14" x14ac:dyDescent="0.25">
      <c r="A254" s="237" t="str">
        <f>name!E$11</f>
        <v>Process, plant and machine operatives</v>
      </c>
      <c r="B254" s="302">
        <v>1.3298137877930416E-2</v>
      </c>
      <c r="C254" s="302">
        <v>5.7984000243045404E-2</v>
      </c>
      <c r="D254" s="302">
        <f t="shared" si="79"/>
        <v>7.1282138120975821E-2</v>
      </c>
      <c r="E254" s="303"/>
      <c r="F254" s="302">
        <v>8.7522119440193447E-3</v>
      </c>
      <c r="G254" s="302">
        <v>6.7826605567463033E-2</v>
      </c>
      <c r="H254" s="302">
        <f t="shared" si="80"/>
        <v>7.6578817511482378E-2</v>
      </c>
      <c r="I254" s="303"/>
      <c r="J254" s="302">
        <v>1.2254322326370796E-2</v>
      </c>
      <c r="K254" s="302">
        <v>7.8876101189305464E-2</v>
      </c>
      <c r="L254" s="302">
        <f t="shared" si="81"/>
        <v>9.1130423515676268E-2</v>
      </c>
      <c r="M254" s="236"/>
      <c r="N254" s="236"/>
    </row>
    <row r="255" spans="1:14" x14ac:dyDescent="0.25">
      <c r="A255" s="237" t="str">
        <f>name!E$12</f>
        <v>Elementary occupations</v>
      </c>
      <c r="B255" s="302">
        <v>9.964345918536989E-2</v>
      </c>
      <c r="C255" s="302">
        <v>7.650007181402195E-2</v>
      </c>
      <c r="D255" s="302">
        <f t="shared" si="79"/>
        <v>0.17614353099939184</v>
      </c>
      <c r="E255" s="303"/>
      <c r="F255" s="302">
        <v>4.8405334322527402E-2</v>
      </c>
      <c r="G255" s="302">
        <v>6.3702873769487633E-2</v>
      </c>
      <c r="H255" s="302">
        <f t="shared" si="80"/>
        <v>0.11210820809201504</v>
      </c>
      <c r="I255" s="303"/>
      <c r="J255" s="302">
        <v>4.954178667587756E-2</v>
      </c>
      <c r="K255" s="302">
        <v>5.4846065168480659E-2</v>
      </c>
      <c r="L255" s="302">
        <f t="shared" si="81"/>
        <v>0.10438785184435823</v>
      </c>
      <c r="M255" s="236"/>
      <c r="N255" s="236"/>
    </row>
    <row r="256" spans="1:14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5">
      <c r="A257" s="244" t="s">
        <v>33</v>
      </c>
      <c r="B257" s="311">
        <f>SUM(B247:B255)</f>
        <v>5.1181621602302316</v>
      </c>
      <c r="C257" s="311">
        <f t="shared" ref="C257:D257" si="82">SUM(C247:C255)</f>
        <v>5.1008378397697989</v>
      </c>
      <c r="D257" s="311">
        <f t="shared" si="82"/>
        <v>10.21900000000003</v>
      </c>
      <c r="E257" s="311"/>
      <c r="F257" s="311">
        <f t="shared" ref="F257:H257" si="83">SUM(F247:F255)</f>
        <v>5.0891927063569158</v>
      </c>
      <c r="G257" s="311">
        <f t="shared" si="83"/>
        <v>5.3518072936430796</v>
      </c>
      <c r="H257" s="311">
        <f t="shared" si="83"/>
        <v>10.440999999999997</v>
      </c>
      <c r="I257" s="311"/>
      <c r="J257" s="311">
        <f t="shared" ref="J257:L257" si="84">SUM(J247:J255)</f>
        <v>4.8218374882402895</v>
      </c>
      <c r="K257" s="311">
        <f t="shared" si="84"/>
        <v>5.2321625117597117</v>
      </c>
      <c r="L257" s="311">
        <f t="shared" si="84"/>
        <v>10.053999999999998</v>
      </c>
      <c r="M257" s="236"/>
      <c r="N257" s="236"/>
    </row>
    <row r="258" spans="1:14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ht="13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ht="13" x14ac:dyDescent="0.3">
      <c r="A261" s="241" t="str">
        <f>name!B18</f>
        <v>Real estate</v>
      </c>
      <c r="B261" s="376">
        <f>B$6</f>
        <v>2015</v>
      </c>
      <c r="C261" s="376"/>
      <c r="D261" s="376"/>
      <c r="E261" s="253"/>
      <c r="F261" s="376">
        <f>F244</f>
        <v>2020</v>
      </c>
      <c r="G261" s="376"/>
      <c r="H261" s="376"/>
      <c r="I261" s="253"/>
      <c r="J261" s="376">
        <f>J244</f>
        <v>2035</v>
      </c>
      <c r="K261" s="376"/>
      <c r="L261" s="376"/>
      <c r="M261" s="236"/>
      <c r="N261" s="236"/>
    </row>
    <row r="262" spans="1:14" ht="13" x14ac:dyDescent="0.3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5">
      <c r="A264" s="237" t="str">
        <f>name!E$4</f>
        <v>Managers, directors and senior officials</v>
      </c>
      <c r="B264" s="302">
        <v>0.42877600162331747</v>
      </c>
      <c r="C264" s="302">
        <v>0.62446810007136355</v>
      </c>
      <c r="D264" s="302">
        <f>SUM(B264:C264)</f>
        <v>1.053244101694681</v>
      </c>
      <c r="E264" s="303"/>
      <c r="F264" s="302">
        <v>0.56192446300853627</v>
      </c>
      <c r="G264" s="302">
        <v>1.1023423442945259</v>
      </c>
      <c r="H264" s="302">
        <f>SUM(F264:G264)</f>
        <v>1.6642668073030622</v>
      </c>
      <c r="I264" s="303"/>
      <c r="J264" s="302">
        <v>0.59916217440131658</v>
      </c>
      <c r="K264" s="302">
        <v>1.1746308310949147</v>
      </c>
      <c r="L264" s="302">
        <f>SUM(J264:K264)</f>
        <v>1.7737930054962314</v>
      </c>
      <c r="M264" s="236"/>
      <c r="N264" s="236"/>
    </row>
    <row r="265" spans="1:14" x14ac:dyDescent="0.25">
      <c r="A265" s="237" t="str">
        <f>name!E$5</f>
        <v>Professional occupations</v>
      </c>
      <c r="B265" s="302">
        <v>0.56235235681876683</v>
      </c>
      <c r="C265" s="302">
        <v>0.53117653873774784</v>
      </c>
      <c r="D265" s="302">
        <f t="shared" ref="D265:D272" si="85">SUM(B265:C265)</f>
        <v>1.0935288955565148</v>
      </c>
      <c r="E265" s="303"/>
      <c r="F265" s="302">
        <v>0.76257067952590596</v>
      </c>
      <c r="G265" s="302">
        <v>1.0024773138667</v>
      </c>
      <c r="H265" s="302">
        <f t="shared" ref="H265:H272" si="86">SUM(F265:G265)</f>
        <v>1.765047993392606</v>
      </c>
      <c r="I265" s="303"/>
      <c r="J265" s="302">
        <v>0.90767434217349463</v>
      </c>
      <c r="K265" s="302">
        <v>1.2411965449885622</v>
      </c>
      <c r="L265" s="302">
        <f t="shared" ref="L265:L272" si="87">SUM(J265:K265)</f>
        <v>2.1488708871620568</v>
      </c>
      <c r="M265" s="236"/>
      <c r="N265" s="236"/>
    </row>
    <row r="266" spans="1:14" x14ac:dyDescent="0.25">
      <c r="A266" s="237" t="str">
        <f>name!E$6</f>
        <v>Associate professional occupations</v>
      </c>
      <c r="B266" s="302">
        <v>0.57800049830467004</v>
      </c>
      <c r="C266" s="302">
        <v>0.57482117159379609</v>
      </c>
      <c r="D266" s="302">
        <f t="shared" si="85"/>
        <v>1.1528216698984661</v>
      </c>
      <c r="E266" s="303"/>
      <c r="F266" s="302">
        <v>0.74069715977790584</v>
      </c>
      <c r="G266" s="302">
        <v>1.0021234341713661</v>
      </c>
      <c r="H266" s="302">
        <f t="shared" si="86"/>
        <v>1.742820593949272</v>
      </c>
      <c r="I266" s="303"/>
      <c r="J266" s="302">
        <v>1.0631146812416026</v>
      </c>
      <c r="K266" s="302">
        <v>1.0766507779928522</v>
      </c>
      <c r="L266" s="302">
        <f t="shared" si="87"/>
        <v>2.1397654592344546</v>
      </c>
      <c r="M266" s="236"/>
      <c r="N266" s="236"/>
    </row>
    <row r="267" spans="1:14" x14ac:dyDescent="0.25">
      <c r="A267" s="237" t="str">
        <f>name!E$7</f>
        <v>Administrative and secretarial occupations</v>
      </c>
      <c r="B267" s="302">
        <v>1.5679943109614098</v>
      </c>
      <c r="C267" s="302">
        <v>0.25334283927184537</v>
      </c>
      <c r="D267" s="302">
        <f t="shared" si="85"/>
        <v>1.8213371502332552</v>
      </c>
      <c r="E267" s="303"/>
      <c r="F267" s="302">
        <v>1.6842570041084666</v>
      </c>
      <c r="G267" s="302">
        <v>0.42617708892184264</v>
      </c>
      <c r="H267" s="302">
        <f t="shared" si="86"/>
        <v>2.1104340930303094</v>
      </c>
      <c r="I267" s="303"/>
      <c r="J267" s="302">
        <v>1.4476884987478789</v>
      </c>
      <c r="K267" s="302">
        <v>0.46922565554408591</v>
      </c>
      <c r="L267" s="302">
        <f t="shared" si="87"/>
        <v>1.9169141542919648</v>
      </c>
      <c r="M267" s="236"/>
      <c r="N267" s="236"/>
    </row>
    <row r="268" spans="1:14" x14ac:dyDescent="0.25">
      <c r="A268" s="237" t="str">
        <f>name!E$8</f>
        <v>Skilled trades occupations</v>
      </c>
      <c r="B268" s="302">
        <v>7.0368075238595923E-2</v>
      </c>
      <c r="C268" s="302">
        <v>0.40327044272805146</v>
      </c>
      <c r="D268" s="302">
        <f t="shared" si="85"/>
        <v>0.47363851796664735</v>
      </c>
      <c r="E268" s="303"/>
      <c r="F268" s="302">
        <v>0.1054354179173794</v>
      </c>
      <c r="G268" s="302">
        <v>0.37320703670385474</v>
      </c>
      <c r="H268" s="302">
        <f t="shared" si="86"/>
        <v>0.47864245462123411</v>
      </c>
      <c r="I268" s="303"/>
      <c r="J268" s="302">
        <v>0.16942196184812947</v>
      </c>
      <c r="K268" s="302">
        <v>0.39659778353686825</v>
      </c>
      <c r="L268" s="302">
        <f t="shared" si="87"/>
        <v>0.56601974538499777</v>
      </c>
      <c r="M268" s="236"/>
      <c r="N268" s="236"/>
    </row>
    <row r="269" spans="1:14" x14ac:dyDescent="0.25">
      <c r="A269" s="237" t="str">
        <f>name!E$9</f>
        <v>Caring, leisure and other service occupations</v>
      </c>
      <c r="B269" s="302">
        <v>0.19783120943814872</v>
      </c>
      <c r="C269" s="302">
        <v>9.9578445175285676E-2</v>
      </c>
      <c r="D269" s="302">
        <f t="shared" si="85"/>
        <v>0.29740965461343438</v>
      </c>
      <c r="E269" s="303"/>
      <c r="F269" s="302">
        <v>0.20619876524856715</v>
      </c>
      <c r="G269" s="302">
        <v>0.15192335826262518</v>
      </c>
      <c r="H269" s="302">
        <f t="shared" si="86"/>
        <v>0.35812212351119233</v>
      </c>
      <c r="I269" s="303"/>
      <c r="J269" s="302">
        <v>0.2477109739385184</v>
      </c>
      <c r="K269" s="302">
        <v>0.18297562863421038</v>
      </c>
      <c r="L269" s="302">
        <f t="shared" si="87"/>
        <v>0.43068660257272878</v>
      </c>
      <c r="M269" s="236"/>
      <c r="N269" s="236"/>
    </row>
    <row r="270" spans="1:14" x14ac:dyDescent="0.25">
      <c r="A270" s="237" t="str">
        <f>name!E$10</f>
        <v>Sales and customer service occupations</v>
      </c>
      <c r="B270" s="302">
        <v>0.74240838647093321</v>
      </c>
      <c r="C270" s="302">
        <v>0.40593960718906896</v>
      </c>
      <c r="D270" s="302">
        <f t="shared" si="85"/>
        <v>1.1483479936600021</v>
      </c>
      <c r="E270" s="303"/>
      <c r="F270" s="302">
        <v>0.73203358287271525</v>
      </c>
      <c r="G270" s="302">
        <v>0.62741408744031557</v>
      </c>
      <c r="H270" s="302">
        <f t="shared" si="86"/>
        <v>1.3594476703130307</v>
      </c>
      <c r="I270" s="303"/>
      <c r="J270" s="302">
        <v>0.81583385825099075</v>
      </c>
      <c r="K270" s="302">
        <v>0.64747217513256627</v>
      </c>
      <c r="L270" s="302">
        <f t="shared" si="87"/>
        <v>1.463306033383557</v>
      </c>
      <c r="M270" s="236"/>
      <c r="N270" s="236"/>
    </row>
    <row r="271" spans="1:14" x14ac:dyDescent="0.25">
      <c r="A271" s="237" t="str">
        <f>name!E$11</f>
        <v>Process, plant and machine operatives</v>
      </c>
      <c r="B271" s="302">
        <v>1.1781144088614449E-2</v>
      </c>
      <c r="C271" s="302">
        <v>9.0899896975963998E-2</v>
      </c>
      <c r="D271" s="302">
        <f t="shared" si="85"/>
        <v>0.10268104106457845</v>
      </c>
      <c r="E271" s="303"/>
      <c r="F271" s="302">
        <v>1.3012440523580956E-2</v>
      </c>
      <c r="G271" s="302">
        <v>0.11790175593117848</v>
      </c>
      <c r="H271" s="302">
        <f t="shared" si="86"/>
        <v>0.13091419645475944</v>
      </c>
      <c r="I271" s="303"/>
      <c r="J271" s="302">
        <v>2.1912610111538715E-2</v>
      </c>
      <c r="K271" s="302">
        <v>0.10011623305935959</v>
      </c>
      <c r="L271" s="302">
        <f t="shared" si="87"/>
        <v>0.12202884317089829</v>
      </c>
      <c r="M271" s="236"/>
      <c r="N271" s="236"/>
    </row>
    <row r="272" spans="1:14" x14ac:dyDescent="0.25">
      <c r="A272" s="237" t="str">
        <f>name!E$12</f>
        <v>Elementary occupations</v>
      </c>
      <c r="B272" s="302">
        <v>0.42129215053483837</v>
      </c>
      <c r="C272" s="302">
        <v>0.15869882477758795</v>
      </c>
      <c r="D272" s="302">
        <f t="shared" si="85"/>
        <v>0.57999097531242638</v>
      </c>
      <c r="E272" s="303"/>
      <c r="F272" s="302">
        <v>0.44188307673868071</v>
      </c>
      <c r="G272" s="302">
        <v>0.18842099068585302</v>
      </c>
      <c r="H272" s="302">
        <f t="shared" si="86"/>
        <v>0.63030406742453371</v>
      </c>
      <c r="I272" s="303"/>
      <c r="J272" s="302">
        <v>0.44823419733346548</v>
      </c>
      <c r="K272" s="302">
        <v>0.2283810719696541</v>
      </c>
      <c r="L272" s="302">
        <f t="shared" si="87"/>
        <v>0.67661526930311955</v>
      </c>
      <c r="M272" s="236"/>
      <c r="N272" s="236"/>
    </row>
    <row r="273" spans="1:14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5">
      <c r="A274" s="244" t="s">
        <v>33</v>
      </c>
      <c r="B274" s="311">
        <f>SUM(B264:B272)</f>
        <v>4.5808041334792957</v>
      </c>
      <c r="C274" s="311">
        <f t="shared" ref="C274:D274" si="88">SUM(C264:C272)</f>
        <v>3.1421958665207108</v>
      </c>
      <c r="D274" s="311">
        <f t="shared" si="88"/>
        <v>7.7230000000000061</v>
      </c>
      <c r="E274" s="311"/>
      <c r="F274" s="311">
        <f t="shared" ref="F274:H274" si="89">SUM(F264:F272)</f>
        <v>5.2480125897217382</v>
      </c>
      <c r="G274" s="311">
        <f t="shared" si="89"/>
        <v>4.991987410278262</v>
      </c>
      <c r="H274" s="311">
        <f t="shared" si="89"/>
        <v>10.24</v>
      </c>
      <c r="I274" s="311"/>
      <c r="J274" s="311">
        <f t="shared" ref="J274:L274" si="90">SUM(J264:J272)</f>
        <v>5.7207532980469358</v>
      </c>
      <c r="K274" s="311">
        <f t="shared" si="90"/>
        <v>5.5172467019530727</v>
      </c>
      <c r="L274" s="311">
        <f t="shared" si="90"/>
        <v>11.238000000000008</v>
      </c>
      <c r="M274" s="236"/>
      <c r="N274" s="236"/>
    </row>
    <row r="275" spans="1:14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ht="13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ht="13" x14ac:dyDescent="0.3">
      <c r="A278" s="241" t="str">
        <f>name!B19</f>
        <v>Professional services</v>
      </c>
      <c r="B278" s="376">
        <f>B$6</f>
        <v>2015</v>
      </c>
      <c r="C278" s="376"/>
      <c r="D278" s="376"/>
      <c r="E278" s="253"/>
      <c r="F278" s="376">
        <f>F261</f>
        <v>2020</v>
      </c>
      <c r="G278" s="376"/>
      <c r="H278" s="376"/>
      <c r="I278" s="253"/>
      <c r="J278" s="376">
        <f>J261</f>
        <v>2035</v>
      </c>
      <c r="K278" s="376"/>
      <c r="L278" s="376"/>
      <c r="M278" s="236"/>
      <c r="N278" s="236"/>
    </row>
    <row r="279" spans="1:14" ht="13" x14ac:dyDescent="0.3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5">
      <c r="A281" s="237" t="str">
        <f>name!E$4</f>
        <v>Managers, directors and senior officials</v>
      </c>
      <c r="B281" s="302">
        <v>1.0299649047342927</v>
      </c>
      <c r="C281" s="302">
        <v>2.1063453493078743</v>
      </c>
      <c r="D281" s="302">
        <f>SUM(B281:C281)</f>
        <v>3.1363102540421668</v>
      </c>
      <c r="E281" s="303"/>
      <c r="F281" s="302">
        <v>0.9165510874943541</v>
      </c>
      <c r="G281" s="302">
        <v>2.0037577151344581</v>
      </c>
      <c r="H281" s="302">
        <f>SUM(F281:G281)</f>
        <v>2.9203088026288122</v>
      </c>
      <c r="I281" s="303"/>
      <c r="J281" s="302">
        <v>1.0930813586043042</v>
      </c>
      <c r="K281" s="302">
        <v>1.9445730158325476</v>
      </c>
      <c r="L281" s="302">
        <f>SUM(J281:K281)</f>
        <v>3.037654374436852</v>
      </c>
      <c r="M281" s="236"/>
      <c r="N281" s="236"/>
    </row>
    <row r="282" spans="1:14" x14ac:dyDescent="0.25">
      <c r="A282" s="237" t="str">
        <f>name!E$5</f>
        <v>Professional occupations</v>
      </c>
      <c r="B282" s="302">
        <v>2.6403089277187792</v>
      </c>
      <c r="C282" s="302">
        <v>6.3965284852682673</v>
      </c>
      <c r="D282" s="302">
        <f t="shared" ref="D282:D289" si="91">SUM(B282:C282)</f>
        <v>9.0368374129870475</v>
      </c>
      <c r="E282" s="303"/>
      <c r="F282" s="302">
        <v>2.4550607686124453</v>
      </c>
      <c r="G282" s="302">
        <v>6.8367617317727074</v>
      </c>
      <c r="H282" s="302">
        <f t="shared" ref="H282:H289" si="92">SUM(F282:G282)</f>
        <v>9.2918225003851518</v>
      </c>
      <c r="I282" s="303"/>
      <c r="J282" s="302">
        <v>3.2453068353255556</v>
      </c>
      <c r="K282" s="302">
        <v>7.491956177700267</v>
      </c>
      <c r="L282" s="302">
        <f t="shared" ref="L282:L289" si="93">SUM(J282:K282)</f>
        <v>10.737263013025823</v>
      </c>
      <c r="M282" s="236"/>
      <c r="N282" s="236"/>
    </row>
    <row r="283" spans="1:14" x14ac:dyDescent="0.25">
      <c r="A283" s="237" t="str">
        <f>name!E$6</f>
        <v>Associate professional occupations</v>
      </c>
      <c r="B283" s="302">
        <v>2.0890630432616311</v>
      </c>
      <c r="C283" s="302">
        <v>3.1369668354053837</v>
      </c>
      <c r="D283" s="302">
        <f t="shared" si="91"/>
        <v>5.2260298786670152</v>
      </c>
      <c r="E283" s="303"/>
      <c r="F283" s="302">
        <v>1.5937473399576221</v>
      </c>
      <c r="G283" s="302">
        <v>3.0170219244736036</v>
      </c>
      <c r="H283" s="302">
        <f t="shared" si="92"/>
        <v>4.6107692644312257</v>
      </c>
      <c r="I283" s="303"/>
      <c r="J283" s="302">
        <v>2.0776944187993514</v>
      </c>
      <c r="K283" s="302">
        <v>2.9613697742898282</v>
      </c>
      <c r="L283" s="302">
        <f t="shared" si="93"/>
        <v>5.03906419308918</v>
      </c>
      <c r="M283" s="236"/>
      <c r="N283" s="236"/>
    </row>
    <row r="284" spans="1:14" x14ac:dyDescent="0.25">
      <c r="A284" s="237" t="str">
        <f>name!E$7</f>
        <v>Administrative and secretarial occupations</v>
      </c>
      <c r="B284" s="302">
        <v>5.0091240686682665</v>
      </c>
      <c r="C284" s="302">
        <v>2.0249624509665849</v>
      </c>
      <c r="D284" s="302">
        <f t="shared" si="91"/>
        <v>7.034086519634851</v>
      </c>
      <c r="E284" s="303"/>
      <c r="F284" s="302">
        <v>3.3252651244431664</v>
      </c>
      <c r="G284" s="302">
        <v>1.6773284689778905</v>
      </c>
      <c r="H284" s="302">
        <f t="shared" si="92"/>
        <v>5.0025935934210572</v>
      </c>
      <c r="I284" s="303"/>
      <c r="J284" s="302">
        <v>2.7839538280949543</v>
      </c>
      <c r="K284" s="302">
        <v>2.1320861393571748</v>
      </c>
      <c r="L284" s="302">
        <f t="shared" si="93"/>
        <v>4.9160399674521287</v>
      </c>
      <c r="M284" s="236"/>
      <c r="N284" s="236"/>
    </row>
    <row r="285" spans="1:14" x14ac:dyDescent="0.25">
      <c r="A285" s="237" t="str">
        <f>name!E$8</f>
        <v>Skilled trades occupations</v>
      </c>
      <c r="B285" s="302">
        <v>0.10517966651811606</v>
      </c>
      <c r="C285" s="302">
        <v>0.54794645687254417</v>
      </c>
      <c r="D285" s="302">
        <f t="shared" si="91"/>
        <v>0.65312612339066023</v>
      </c>
      <c r="E285" s="303"/>
      <c r="F285" s="302">
        <v>7.2236051242337132E-2</v>
      </c>
      <c r="G285" s="302">
        <v>0.35672272522157283</v>
      </c>
      <c r="H285" s="302">
        <f t="shared" si="92"/>
        <v>0.42895877646390995</v>
      </c>
      <c r="I285" s="303"/>
      <c r="J285" s="302">
        <v>0.11800825385270963</v>
      </c>
      <c r="K285" s="302">
        <v>0.28351443729298387</v>
      </c>
      <c r="L285" s="302">
        <f t="shared" si="93"/>
        <v>0.4015226911456935</v>
      </c>
      <c r="M285" s="236"/>
      <c r="N285" s="236"/>
    </row>
    <row r="286" spans="1:14" x14ac:dyDescent="0.25">
      <c r="A286" s="237" t="str">
        <f>name!E$9</f>
        <v>Caring, leisure and other service occupations</v>
      </c>
      <c r="B286" s="302">
        <v>0.35597955583792446</v>
      </c>
      <c r="C286" s="302">
        <v>0.12537992471217144</v>
      </c>
      <c r="D286" s="302">
        <f t="shared" si="91"/>
        <v>0.48135948055009592</v>
      </c>
      <c r="E286" s="303"/>
      <c r="F286" s="302">
        <v>0.33568113138349071</v>
      </c>
      <c r="G286" s="302">
        <v>0.12820771828818625</v>
      </c>
      <c r="H286" s="302">
        <f t="shared" si="92"/>
        <v>0.46388884967167698</v>
      </c>
      <c r="I286" s="303"/>
      <c r="J286" s="302">
        <v>0.40744215670459366</v>
      </c>
      <c r="K286" s="302">
        <v>0.18094164402315777</v>
      </c>
      <c r="L286" s="302">
        <f t="shared" si="93"/>
        <v>0.58838380072775143</v>
      </c>
      <c r="M286" s="236"/>
      <c r="N286" s="236"/>
    </row>
    <row r="287" spans="1:14" x14ac:dyDescent="0.25">
      <c r="A287" s="237" t="str">
        <f>name!E$10</f>
        <v>Sales and customer service occupations</v>
      </c>
      <c r="B287" s="302">
        <v>0.83410458920759034</v>
      </c>
      <c r="C287" s="302">
        <v>0.62011773118299718</v>
      </c>
      <c r="D287" s="302">
        <f t="shared" si="91"/>
        <v>1.4542223203905875</v>
      </c>
      <c r="E287" s="303"/>
      <c r="F287" s="302">
        <v>0.53300785763828373</v>
      </c>
      <c r="G287" s="302">
        <v>0.46472688991366295</v>
      </c>
      <c r="H287" s="302">
        <f t="shared" si="92"/>
        <v>0.99773474755194669</v>
      </c>
      <c r="I287" s="303"/>
      <c r="J287" s="302">
        <v>0.55918064973679282</v>
      </c>
      <c r="K287" s="302">
        <v>0.56243304000056948</v>
      </c>
      <c r="L287" s="302">
        <f t="shared" si="93"/>
        <v>1.1216136897373623</v>
      </c>
      <c r="M287" s="236"/>
      <c r="N287" s="236"/>
    </row>
    <row r="288" spans="1:14" x14ac:dyDescent="0.25">
      <c r="A288" s="237" t="str">
        <f>name!E$11</f>
        <v>Process, plant and machine operatives</v>
      </c>
      <c r="B288" s="302">
        <v>4.6874833260913427E-2</v>
      </c>
      <c r="C288" s="302">
        <v>0.31561779310299637</v>
      </c>
      <c r="D288" s="302">
        <f t="shared" si="91"/>
        <v>0.36249262636390978</v>
      </c>
      <c r="E288" s="303"/>
      <c r="F288" s="302">
        <v>2.6545350844215315E-2</v>
      </c>
      <c r="G288" s="302">
        <v>0.22007657028759076</v>
      </c>
      <c r="H288" s="302">
        <f t="shared" si="92"/>
        <v>0.24662192113180606</v>
      </c>
      <c r="I288" s="303"/>
      <c r="J288" s="302">
        <v>3.8309820839370762E-2</v>
      </c>
      <c r="K288" s="302">
        <v>0.18878166901108259</v>
      </c>
      <c r="L288" s="302">
        <f t="shared" si="93"/>
        <v>0.22709148985045335</v>
      </c>
      <c r="M288" s="236"/>
      <c r="N288" s="236"/>
    </row>
    <row r="289" spans="1:14" x14ac:dyDescent="0.25">
      <c r="A289" s="237" t="str">
        <f>name!E$12</f>
        <v>Elementary occupations</v>
      </c>
      <c r="B289" s="302">
        <v>0.71641523552553432</v>
      </c>
      <c r="C289" s="302">
        <v>0.49112014844811491</v>
      </c>
      <c r="D289" s="302">
        <f t="shared" si="91"/>
        <v>1.2075353839736493</v>
      </c>
      <c r="E289" s="303"/>
      <c r="F289" s="302">
        <v>0.40225439984375011</v>
      </c>
      <c r="G289" s="302">
        <v>0.36404714447063347</v>
      </c>
      <c r="H289" s="302">
        <f t="shared" si="92"/>
        <v>0.76630154431438358</v>
      </c>
      <c r="I289" s="303"/>
      <c r="J289" s="302">
        <v>0.4431604653360886</v>
      </c>
      <c r="K289" s="302">
        <v>0.38120631519871029</v>
      </c>
      <c r="L289" s="302">
        <f t="shared" si="93"/>
        <v>0.82436678053479895</v>
      </c>
      <c r="M289" s="236"/>
      <c r="N289" s="236"/>
    </row>
    <row r="290" spans="1:14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5">
      <c r="A291" s="244" t="s">
        <v>33</v>
      </c>
      <c r="B291" s="311">
        <f>SUM(B281:B289)</f>
        <v>12.82701482473305</v>
      </c>
      <c r="C291" s="311">
        <f t="shared" ref="C291:D291" si="94">SUM(C281:C289)</f>
        <v>15.764985175266936</v>
      </c>
      <c r="D291" s="311">
        <f t="shared" si="94"/>
        <v>28.591999999999985</v>
      </c>
      <c r="E291" s="311"/>
      <c r="F291" s="311">
        <f t="shared" ref="F291:H291" si="95">SUM(F281:F289)</f>
        <v>9.6603491114596629</v>
      </c>
      <c r="G291" s="311">
        <f t="shared" si="95"/>
        <v>15.068650888540306</v>
      </c>
      <c r="H291" s="311">
        <f t="shared" si="95"/>
        <v>24.728999999999967</v>
      </c>
      <c r="I291" s="311"/>
      <c r="J291" s="311">
        <f t="shared" ref="J291:L291" si="96">SUM(J281:J289)</f>
        <v>10.766137787293721</v>
      </c>
      <c r="K291" s="311">
        <f t="shared" si="96"/>
        <v>16.126862212706321</v>
      </c>
      <c r="L291" s="311">
        <f t="shared" si="96"/>
        <v>26.893000000000043</v>
      </c>
      <c r="M291" s="236"/>
      <c r="N291" s="236"/>
    </row>
    <row r="292" spans="1:14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ht="13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ht="13" x14ac:dyDescent="0.3">
      <c r="A295" s="241" t="str">
        <f>name!B20</f>
        <v>Support services</v>
      </c>
      <c r="B295" s="376">
        <f>B$6</f>
        <v>2015</v>
      </c>
      <c r="C295" s="376"/>
      <c r="D295" s="376"/>
      <c r="E295" s="253"/>
      <c r="F295" s="376">
        <f>F278</f>
        <v>2020</v>
      </c>
      <c r="G295" s="376"/>
      <c r="H295" s="376"/>
      <c r="I295" s="253"/>
      <c r="J295" s="376">
        <f>J278</f>
        <v>2035</v>
      </c>
      <c r="K295" s="376"/>
      <c r="L295" s="376"/>
      <c r="M295" s="236"/>
      <c r="N295" s="236"/>
    </row>
    <row r="296" spans="1:14" ht="13" x14ac:dyDescent="0.3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5">
      <c r="A298" s="237" t="str">
        <f>name!E$4</f>
        <v>Managers, directors and senior officials</v>
      </c>
      <c r="B298" s="302">
        <v>0.89992048448443995</v>
      </c>
      <c r="C298" s="302">
        <v>1.9692828968543832</v>
      </c>
      <c r="D298" s="302">
        <f>SUM(B298:C298)</f>
        <v>2.8692033813388234</v>
      </c>
      <c r="E298" s="303"/>
      <c r="F298" s="302">
        <v>0.95197049577129789</v>
      </c>
      <c r="G298" s="302">
        <v>1.7228152864236299</v>
      </c>
      <c r="H298" s="302">
        <f>SUM(F298:G298)</f>
        <v>2.6747857821949279</v>
      </c>
      <c r="I298" s="303"/>
      <c r="J298" s="302">
        <v>1.0370182593152568</v>
      </c>
      <c r="K298" s="302">
        <v>1.6548304015520987</v>
      </c>
      <c r="L298" s="302">
        <f>SUM(J298:K298)</f>
        <v>2.6918486608673557</v>
      </c>
      <c r="M298" s="236"/>
      <c r="N298" s="236"/>
    </row>
    <row r="299" spans="1:14" x14ac:dyDescent="0.25">
      <c r="A299" s="237" t="str">
        <f>name!E$5</f>
        <v>Professional occupations</v>
      </c>
      <c r="B299" s="302">
        <v>1.4208844537907774</v>
      </c>
      <c r="C299" s="302">
        <v>2.1474122451022031</v>
      </c>
      <c r="D299" s="302">
        <f t="shared" ref="D299:D306" si="97">SUM(B299:C299)</f>
        <v>3.5682966988929805</v>
      </c>
      <c r="E299" s="303"/>
      <c r="F299" s="302">
        <v>1.5619373108282704</v>
      </c>
      <c r="G299" s="302">
        <v>2.118042093578234</v>
      </c>
      <c r="H299" s="302">
        <f t="shared" ref="H299:H306" si="98">SUM(F299:G299)</f>
        <v>3.6799794044065042</v>
      </c>
      <c r="I299" s="303"/>
      <c r="J299" s="302">
        <v>1.9860165941257601</v>
      </c>
      <c r="K299" s="302">
        <v>2.8302741470237169</v>
      </c>
      <c r="L299" s="302">
        <f t="shared" ref="L299:L306" si="99">SUM(J299:K299)</f>
        <v>4.8162907411494773</v>
      </c>
      <c r="M299" s="236"/>
      <c r="N299" s="236"/>
    </row>
    <row r="300" spans="1:14" x14ac:dyDescent="0.25">
      <c r="A300" s="237" t="str">
        <f>name!E$6</f>
        <v>Associate professional occupations</v>
      </c>
      <c r="B300" s="302">
        <v>1.718344675814504</v>
      </c>
      <c r="C300" s="302">
        <v>3.5300052776183359</v>
      </c>
      <c r="D300" s="302">
        <f t="shared" si="97"/>
        <v>5.2483499534328395</v>
      </c>
      <c r="E300" s="303"/>
      <c r="F300" s="302">
        <v>1.7482136561884389</v>
      </c>
      <c r="G300" s="302">
        <v>2.9985704413066605</v>
      </c>
      <c r="H300" s="302">
        <f t="shared" si="98"/>
        <v>4.7467840974950999</v>
      </c>
      <c r="I300" s="303"/>
      <c r="J300" s="302">
        <v>2.338695452711828</v>
      </c>
      <c r="K300" s="302">
        <v>2.8674075718178993</v>
      </c>
      <c r="L300" s="302">
        <f t="shared" si="99"/>
        <v>5.2061030245297273</v>
      </c>
      <c r="M300" s="236"/>
      <c r="N300" s="236"/>
    </row>
    <row r="301" spans="1:14" x14ac:dyDescent="0.25">
      <c r="A301" s="237" t="str">
        <f>name!E$7</f>
        <v>Administrative and secretarial occupations</v>
      </c>
      <c r="B301" s="302">
        <v>3.8377046875262426</v>
      </c>
      <c r="C301" s="302">
        <v>2.2919862922195646</v>
      </c>
      <c r="D301" s="302">
        <f t="shared" si="97"/>
        <v>6.1296909797458072</v>
      </c>
      <c r="E301" s="303"/>
      <c r="F301" s="302">
        <v>3.075493713998811</v>
      </c>
      <c r="G301" s="302">
        <v>2.0208876714320794</v>
      </c>
      <c r="H301" s="302">
        <f t="shared" si="98"/>
        <v>5.0963813854308899</v>
      </c>
      <c r="I301" s="303"/>
      <c r="J301" s="302">
        <v>3.0656518258362535</v>
      </c>
      <c r="K301" s="302">
        <v>2.5226295824803717</v>
      </c>
      <c r="L301" s="302">
        <f t="shared" si="99"/>
        <v>5.5882814083166252</v>
      </c>
      <c r="M301" s="236"/>
      <c r="N301" s="236"/>
    </row>
    <row r="302" spans="1:14" x14ac:dyDescent="0.25">
      <c r="A302" s="237" t="str">
        <f>name!E$8</f>
        <v>Skilled trades occupations</v>
      </c>
      <c r="B302" s="302">
        <v>0.16126904807716705</v>
      </c>
      <c r="C302" s="302">
        <v>1.0233234018658497</v>
      </c>
      <c r="D302" s="302">
        <f t="shared" si="97"/>
        <v>1.1845924499430167</v>
      </c>
      <c r="E302" s="303"/>
      <c r="F302" s="302">
        <v>0.14384052216824203</v>
      </c>
      <c r="G302" s="302">
        <v>0.50591092482485067</v>
      </c>
      <c r="H302" s="302">
        <f t="shared" si="98"/>
        <v>0.64975144699309273</v>
      </c>
      <c r="I302" s="303"/>
      <c r="J302" s="302">
        <v>0.21636005068290454</v>
      </c>
      <c r="K302" s="302">
        <v>0.44756259817890442</v>
      </c>
      <c r="L302" s="302">
        <f t="shared" si="99"/>
        <v>0.66392264886180896</v>
      </c>
      <c r="M302" s="236"/>
      <c r="N302" s="236"/>
    </row>
    <row r="303" spans="1:14" x14ac:dyDescent="0.25">
      <c r="A303" s="237" t="str">
        <f>name!E$9</f>
        <v>Caring, leisure and other service occupations</v>
      </c>
      <c r="B303" s="302">
        <v>2.2605135150365139</v>
      </c>
      <c r="C303" s="302">
        <v>0.85028554460275851</v>
      </c>
      <c r="D303" s="302">
        <f t="shared" si="97"/>
        <v>3.1107990596392723</v>
      </c>
      <c r="E303" s="303"/>
      <c r="F303" s="302">
        <v>1.8786633206515815</v>
      </c>
      <c r="G303" s="302">
        <v>0.68513824968503412</v>
      </c>
      <c r="H303" s="302">
        <f t="shared" si="98"/>
        <v>2.5638015703366155</v>
      </c>
      <c r="I303" s="303"/>
      <c r="J303" s="302">
        <v>2.2487069139189324</v>
      </c>
      <c r="K303" s="302">
        <v>0.79676607821841516</v>
      </c>
      <c r="L303" s="302">
        <f t="shared" si="99"/>
        <v>3.0454729921373476</v>
      </c>
      <c r="M303" s="236"/>
      <c r="N303" s="236"/>
    </row>
    <row r="304" spans="1:14" x14ac:dyDescent="0.25">
      <c r="A304" s="237" t="str">
        <f>name!E$10</f>
        <v>Sales and customer service occupations</v>
      </c>
      <c r="B304" s="302">
        <v>1.3632771948755784</v>
      </c>
      <c r="C304" s="302">
        <v>2.8337291514906044</v>
      </c>
      <c r="D304" s="302">
        <f t="shared" si="97"/>
        <v>4.1970063463661829</v>
      </c>
      <c r="E304" s="303"/>
      <c r="F304" s="302">
        <v>1.1573803743356588</v>
      </c>
      <c r="G304" s="302">
        <v>2.0643724833865771</v>
      </c>
      <c r="H304" s="302">
        <f t="shared" si="98"/>
        <v>3.2217528577222359</v>
      </c>
      <c r="I304" s="303"/>
      <c r="J304" s="302">
        <v>1.5457122381233843</v>
      </c>
      <c r="K304" s="302">
        <v>2.4583977106739789</v>
      </c>
      <c r="L304" s="302">
        <f t="shared" si="99"/>
        <v>4.004109948797363</v>
      </c>
      <c r="M304" s="236"/>
      <c r="N304" s="236"/>
    </row>
    <row r="305" spans="1:14" x14ac:dyDescent="0.25">
      <c r="A305" s="237" t="str">
        <f>name!E$11</f>
        <v>Process, plant and machine operatives</v>
      </c>
      <c r="B305" s="302">
        <v>0.12555493614022839</v>
      </c>
      <c r="C305" s="302">
        <v>1.8466738412224382</v>
      </c>
      <c r="D305" s="302">
        <f t="shared" si="97"/>
        <v>1.9722287773626666</v>
      </c>
      <c r="E305" s="303"/>
      <c r="F305" s="302">
        <v>8.8062259813701582E-2</v>
      </c>
      <c r="G305" s="302">
        <v>1.1880812001280907</v>
      </c>
      <c r="H305" s="302">
        <f t="shared" si="98"/>
        <v>1.2761434599417922</v>
      </c>
      <c r="I305" s="303"/>
      <c r="J305" s="302">
        <v>0.10739162196918479</v>
      </c>
      <c r="K305" s="302">
        <v>1.0200500207045606</v>
      </c>
      <c r="L305" s="302">
        <f t="shared" si="99"/>
        <v>1.1274416426737455</v>
      </c>
      <c r="M305" s="236"/>
      <c r="N305" s="236"/>
    </row>
    <row r="306" spans="1:14" x14ac:dyDescent="0.25">
      <c r="A306" s="237" t="str">
        <f>name!E$12</f>
        <v>Elementary occupations</v>
      </c>
      <c r="B306" s="302">
        <v>4.3596848919943501</v>
      </c>
      <c r="C306" s="302">
        <v>7.6011474612840715</v>
      </c>
      <c r="D306" s="302">
        <f t="shared" si="97"/>
        <v>11.960832353278422</v>
      </c>
      <c r="E306" s="303"/>
      <c r="F306" s="302">
        <v>3.3353458441968988</v>
      </c>
      <c r="G306" s="302">
        <v>4.9232741512819658</v>
      </c>
      <c r="H306" s="302">
        <f t="shared" si="98"/>
        <v>8.2586199954788651</v>
      </c>
      <c r="I306" s="303"/>
      <c r="J306" s="302">
        <v>2.9081507555568793</v>
      </c>
      <c r="K306" s="302">
        <v>5.6313781771096467</v>
      </c>
      <c r="L306" s="302">
        <f t="shared" si="99"/>
        <v>8.539528932666526</v>
      </c>
      <c r="M306" s="236"/>
      <c r="N306" s="236"/>
    </row>
    <row r="307" spans="1:14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5">
      <c r="A308" s="244" t="s">
        <v>33</v>
      </c>
      <c r="B308" s="311">
        <f>SUM(B298:B306)</f>
        <v>16.147153887739805</v>
      </c>
      <c r="C308" s="311">
        <f t="shared" ref="C308:D308" si="100">SUM(C298:C306)</f>
        <v>24.093846112260209</v>
      </c>
      <c r="D308" s="311">
        <f t="shared" si="100"/>
        <v>40.241000000000014</v>
      </c>
      <c r="E308" s="311"/>
      <c r="F308" s="311">
        <f t="shared" ref="F308:H308" si="101">SUM(F298:F306)</f>
        <v>13.940907497952903</v>
      </c>
      <c r="G308" s="311">
        <f t="shared" si="101"/>
        <v>18.227092502047121</v>
      </c>
      <c r="H308" s="311">
        <f t="shared" si="101"/>
        <v>32.168000000000028</v>
      </c>
      <c r="I308" s="311"/>
      <c r="J308" s="311">
        <f t="shared" ref="J308:L308" si="102">SUM(J298:J306)</f>
        <v>15.453703712240383</v>
      </c>
      <c r="K308" s="311">
        <f t="shared" si="102"/>
        <v>20.229296287759595</v>
      </c>
      <c r="L308" s="311">
        <f t="shared" si="102"/>
        <v>35.682999999999979</v>
      </c>
      <c r="M308" s="236"/>
      <c r="N308" s="236"/>
    </row>
    <row r="309" spans="1:14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ht="13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ht="13" x14ac:dyDescent="0.3">
      <c r="A312" s="241" t="str">
        <f>name!B21</f>
        <v>Public admin. and defence</v>
      </c>
      <c r="B312" s="376">
        <f>B$6</f>
        <v>2015</v>
      </c>
      <c r="C312" s="376"/>
      <c r="D312" s="376"/>
      <c r="E312" s="253"/>
      <c r="F312" s="376">
        <f>F295</f>
        <v>2020</v>
      </c>
      <c r="G312" s="376"/>
      <c r="H312" s="376"/>
      <c r="I312" s="253"/>
      <c r="J312" s="376">
        <f>J295</f>
        <v>2035</v>
      </c>
      <c r="K312" s="376"/>
      <c r="L312" s="376"/>
      <c r="M312" s="236"/>
      <c r="N312" s="236"/>
    </row>
    <row r="313" spans="1:14" ht="13" x14ac:dyDescent="0.3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5">
      <c r="A315" s="237" t="str">
        <f>name!E$4</f>
        <v>Managers, directors and senior officials</v>
      </c>
      <c r="B315" s="302">
        <v>0.4421045736692425</v>
      </c>
      <c r="C315" s="302">
        <v>0.68961589333463758</v>
      </c>
      <c r="D315" s="302">
        <f>SUM(B315:C315)</f>
        <v>1.1317204670038801</v>
      </c>
      <c r="E315" s="303"/>
      <c r="F315" s="302">
        <v>0.51544829390051661</v>
      </c>
      <c r="G315" s="302">
        <v>0.62256479371851781</v>
      </c>
      <c r="H315" s="302">
        <f>SUM(F315:G315)</f>
        <v>1.1380130876190344</v>
      </c>
      <c r="I315" s="303"/>
      <c r="J315" s="302">
        <v>0.60053564416791583</v>
      </c>
      <c r="K315" s="302">
        <v>0.61206646143725163</v>
      </c>
      <c r="L315" s="302">
        <f>SUM(J315:K315)</f>
        <v>1.2126021056051675</v>
      </c>
      <c r="M315" s="236"/>
      <c r="N315" s="236"/>
    </row>
    <row r="316" spans="1:14" x14ac:dyDescent="0.25">
      <c r="A316" s="237" t="str">
        <f>name!E$5</f>
        <v>Professional occupations</v>
      </c>
      <c r="B316" s="302">
        <v>1.7388897296823829</v>
      </c>
      <c r="C316" s="302">
        <v>1.0716665902222184</v>
      </c>
      <c r="D316" s="302">
        <f t="shared" ref="D316:D323" si="103">SUM(B316:C316)</f>
        <v>2.8105563199046015</v>
      </c>
      <c r="E316" s="303"/>
      <c r="F316" s="302">
        <v>2.0005562835502757</v>
      </c>
      <c r="G316" s="302">
        <v>1.134913982941905</v>
      </c>
      <c r="H316" s="302">
        <f t="shared" ref="H316:H323" si="104">SUM(F316:G316)</f>
        <v>3.135470266492181</v>
      </c>
      <c r="I316" s="303"/>
      <c r="J316" s="302">
        <v>2.4388971976547573</v>
      </c>
      <c r="K316" s="302">
        <v>1.5021438494083408</v>
      </c>
      <c r="L316" s="302">
        <f t="shared" ref="L316:L323" si="105">SUM(J316:K316)</f>
        <v>3.9410410470630981</v>
      </c>
      <c r="M316" s="236"/>
      <c r="N316" s="236"/>
    </row>
    <row r="317" spans="1:14" x14ac:dyDescent="0.25">
      <c r="A317" s="237" t="str">
        <f>name!E$6</f>
        <v>Associate professional occupations</v>
      </c>
      <c r="B317" s="302">
        <v>1.9691242998557132</v>
      </c>
      <c r="C317" s="302">
        <v>2.5261989590467588</v>
      </c>
      <c r="D317" s="302">
        <f t="shared" si="103"/>
        <v>4.4953232589024719</v>
      </c>
      <c r="E317" s="303"/>
      <c r="F317" s="302">
        <v>2.1527235036522785</v>
      </c>
      <c r="G317" s="302">
        <v>2.4835253686488117</v>
      </c>
      <c r="H317" s="302">
        <f t="shared" si="104"/>
        <v>4.6362488723010902</v>
      </c>
      <c r="I317" s="303"/>
      <c r="J317" s="302">
        <v>2.8381815609225858</v>
      </c>
      <c r="K317" s="302">
        <v>2.1413154127591252</v>
      </c>
      <c r="L317" s="302">
        <f t="shared" si="105"/>
        <v>4.9794969736817105</v>
      </c>
      <c r="M317" s="236"/>
      <c r="N317" s="236"/>
    </row>
    <row r="318" spans="1:14" x14ac:dyDescent="0.25">
      <c r="A318" s="237" t="str">
        <f>name!E$7</f>
        <v>Administrative and secretarial occupations</v>
      </c>
      <c r="B318" s="302">
        <v>3.9269115870052236</v>
      </c>
      <c r="C318" s="302">
        <v>1.2327389495782968</v>
      </c>
      <c r="D318" s="302">
        <f t="shared" si="103"/>
        <v>5.1596505365835199</v>
      </c>
      <c r="E318" s="303"/>
      <c r="F318" s="302">
        <v>3.3690581258435595</v>
      </c>
      <c r="G318" s="302">
        <v>1.1791849068381777</v>
      </c>
      <c r="H318" s="302">
        <f t="shared" si="104"/>
        <v>4.5482430326817376</v>
      </c>
      <c r="I318" s="303"/>
      <c r="J318" s="302">
        <v>2.7780288604791288</v>
      </c>
      <c r="K318" s="302">
        <v>1.3986207962107429</v>
      </c>
      <c r="L318" s="302">
        <f t="shared" si="105"/>
        <v>4.1766496566898716</v>
      </c>
      <c r="M318" s="236"/>
      <c r="N318" s="236"/>
    </row>
    <row r="319" spans="1:14" x14ac:dyDescent="0.25">
      <c r="A319" s="237" t="str">
        <f>name!E$8</f>
        <v>Skilled trades occupations</v>
      </c>
      <c r="B319" s="302">
        <v>3.4678818757377598E-2</v>
      </c>
      <c r="C319" s="302">
        <v>0.34694311915696147</v>
      </c>
      <c r="D319" s="302">
        <f t="shared" si="103"/>
        <v>0.38162193791433907</v>
      </c>
      <c r="E319" s="303"/>
      <c r="F319" s="302">
        <v>3.38107507643126E-2</v>
      </c>
      <c r="G319" s="302">
        <v>0.156837905606171</v>
      </c>
      <c r="H319" s="302">
        <f t="shared" si="104"/>
        <v>0.19064865637048362</v>
      </c>
      <c r="I319" s="303"/>
      <c r="J319" s="302">
        <v>7.2510599458634126E-2</v>
      </c>
      <c r="K319" s="302">
        <v>0.14575499557767904</v>
      </c>
      <c r="L319" s="302">
        <f t="shared" si="105"/>
        <v>0.21826559503631315</v>
      </c>
      <c r="M319" s="236"/>
      <c r="N319" s="236"/>
    </row>
    <row r="320" spans="1:14" x14ac:dyDescent="0.25">
      <c r="A320" s="237" t="str">
        <f>name!E$9</f>
        <v>Caring, leisure and other service occupations</v>
      </c>
      <c r="B320" s="302">
        <v>0.64037897549282041</v>
      </c>
      <c r="C320" s="302">
        <v>0.15611981819883813</v>
      </c>
      <c r="D320" s="302">
        <f t="shared" si="103"/>
        <v>0.79649879369165855</v>
      </c>
      <c r="E320" s="303"/>
      <c r="F320" s="302">
        <v>0.56083320066732623</v>
      </c>
      <c r="G320" s="302">
        <v>0.12968482468602074</v>
      </c>
      <c r="H320" s="302">
        <f t="shared" si="104"/>
        <v>0.69051802535334694</v>
      </c>
      <c r="I320" s="303"/>
      <c r="J320" s="302">
        <v>0.61365037366264474</v>
      </c>
      <c r="K320" s="302">
        <v>0.13824930435158056</v>
      </c>
      <c r="L320" s="302">
        <f t="shared" si="105"/>
        <v>0.7518996780142253</v>
      </c>
      <c r="M320" s="236"/>
      <c r="N320" s="236"/>
    </row>
    <row r="321" spans="1:14" x14ac:dyDescent="0.25">
      <c r="A321" s="237" t="str">
        <f>name!E$10</f>
        <v>Sales and customer service occupations</v>
      </c>
      <c r="B321" s="302">
        <v>0.32543262273896345</v>
      </c>
      <c r="C321" s="302">
        <v>0.14190946169166094</v>
      </c>
      <c r="D321" s="302">
        <f t="shared" si="103"/>
        <v>0.46734208443062442</v>
      </c>
      <c r="E321" s="303"/>
      <c r="F321" s="302">
        <v>0.30227348510703783</v>
      </c>
      <c r="G321" s="302">
        <v>0.11022423422448875</v>
      </c>
      <c r="H321" s="302">
        <f t="shared" si="104"/>
        <v>0.41249771933152657</v>
      </c>
      <c r="I321" s="303"/>
      <c r="J321" s="302">
        <v>0.33174211928451797</v>
      </c>
      <c r="K321" s="302">
        <v>0.14732050266170638</v>
      </c>
      <c r="L321" s="302">
        <f t="shared" si="105"/>
        <v>0.47906262194622434</v>
      </c>
      <c r="M321" s="236"/>
      <c r="N321" s="236"/>
    </row>
    <row r="322" spans="1:14" x14ac:dyDescent="0.25">
      <c r="A322" s="237" t="str">
        <f>name!E$11</f>
        <v>Process, plant and machine operatives</v>
      </c>
      <c r="B322" s="302">
        <v>2.2432627611353964E-2</v>
      </c>
      <c r="C322" s="302">
        <v>0.23554072919154356</v>
      </c>
      <c r="D322" s="302">
        <f t="shared" si="103"/>
        <v>0.25797335680289751</v>
      </c>
      <c r="E322" s="303"/>
      <c r="F322" s="302">
        <v>1.4110494071050809E-2</v>
      </c>
      <c r="G322" s="302">
        <v>0.15997227837570457</v>
      </c>
      <c r="H322" s="302">
        <f t="shared" si="104"/>
        <v>0.17408277244675538</v>
      </c>
      <c r="I322" s="303"/>
      <c r="J322" s="302">
        <v>2.2570539227586311E-2</v>
      </c>
      <c r="K322" s="302">
        <v>0.15807804293205574</v>
      </c>
      <c r="L322" s="302">
        <f t="shared" si="105"/>
        <v>0.18064858215964205</v>
      </c>
      <c r="M322" s="236"/>
      <c r="N322" s="236"/>
    </row>
    <row r="323" spans="1:14" x14ac:dyDescent="0.25">
      <c r="A323" s="237" t="str">
        <f>name!E$12</f>
        <v>Elementary occupations</v>
      </c>
      <c r="B323" s="302">
        <v>0.2677804769583213</v>
      </c>
      <c r="C323" s="302">
        <v>0.23453276780767141</v>
      </c>
      <c r="D323" s="302">
        <f t="shared" si="103"/>
        <v>0.50231324476599271</v>
      </c>
      <c r="E323" s="303"/>
      <c r="F323" s="302">
        <v>0.19426098662718</v>
      </c>
      <c r="G323" s="302">
        <v>0.1610165807766627</v>
      </c>
      <c r="H323" s="302">
        <f t="shared" si="104"/>
        <v>0.3552775674038427</v>
      </c>
      <c r="I323" s="303"/>
      <c r="J323" s="302">
        <v>0.14589322028427668</v>
      </c>
      <c r="K323" s="302">
        <v>0.13944051951944988</v>
      </c>
      <c r="L323" s="302">
        <f t="shared" si="105"/>
        <v>0.28533373980372656</v>
      </c>
      <c r="M323" s="236"/>
      <c r="N323" s="236"/>
    </row>
    <row r="324" spans="1:14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5">
      <c r="A325" s="244" t="s">
        <v>33</v>
      </c>
      <c r="B325" s="311">
        <f>SUM(B315:B323)</f>
        <v>9.3677337117713986</v>
      </c>
      <c r="C325" s="311">
        <f t="shared" ref="C325:D325" si="106">SUM(C315:C323)</f>
        <v>6.6352662882285873</v>
      </c>
      <c r="D325" s="311">
        <f t="shared" si="106"/>
        <v>16.002999999999986</v>
      </c>
      <c r="E325" s="311"/>
      <c r="F325" s="311">
        <f t="shared" ref="F325:H325" si="107">SUM(F315:F323)</f>
        <v>9.1430751241835395</v>
      </c>
      <c r="G325" s="311">
        <f t="shared" si="107"/>
        <v>6.1379248758164593</v>
      </c>
      <c r="H325" s="311">
        <f t="shared" si="107"/>
        <v>15.280999999999997</v>
      </c>
      <c r="I325" s="311"/>
      <c r="J325" s="311">
        <f t="shared" ref="J325:L325" si="108">SUM(J315:J323)</f>
        <v>9.8420101151420489</v>
      </c>
      <c r="K325" s="311">
        <f t="shared" si="108"/>
        <v>6.3829898848579329</v>
      </c>
      <c r="L325" s="311">
        <f t="shared" si="108"/>
        <v>16.22499999999998</v>
      </c>
      <c r="M325" s="236"/>
      <c r="N325" s="236"/>
    </row>
    <row r="326" spans="1:14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ht="13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ht="13" x14ac:dyDescent="0.3">
      <c r="A329" s="241" t="str">
        <f>name!B22</f>
        <v>Education</v>
      </c>
      <c r="B329" s="376">
        <f>B$6</f>
        <v>2015</v>
      </c>
      <c r="C329" s="376"/>
      <c r="D329" s="376"/>
      <c r="E329" s="253"/>
      <c r="F329" s="376">
        <f>F312</f>
        <v>2020</v>
      </c>
      <c r="G329" s="376"/>
      <c r="H329" s="376"/>
      <c r="I329" s="253"/>
      <c r="J329" s="376">
        <f>J312</f>
        <v>2035</v>
      </c>
      <c r="K329" s="376"/>
      <c r="L329" s="376"/>
      <c r="M329" s="236"/>
      <c r="N329" s="236"/>
    </row>
    <row r="330" spans="1:14" ht="13" x14ac:dyDescent="0.3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5">
      <c r="A332" s="237" t="str">
        <f>name!E$4</f>
        <v>Managers, directors and senior officials</v>
      </c>
      <c r="B332" s="302">
        <v>0.44101729828285546</v>
      </c>
      <c r="C332" s="302">
        <v>0.61926542835079135</v>
      </c>
      <c r="D332" s="302">
        <f>SUM(B332:C332)</f>
        <v>1.0602827266336468</v>
      </c>
      <c r="E332" s="303"/>
      <c r="F332" s="302">
        <v>0.54265813254824868</v>
      </c>
      <c r="G332" s="302">
        <v>0.63339122039735907</v>
      </c>
      <c r="H332" s="302">
        <f>SUM(F332:G332)</f>
        <v>1.1760493529456078</v>
      </c>
      <c r="I332" s="303"/>
      <c r="J332" s="302">
        <v>0.59917869464541085</v>
      </c>
      <c r="K332" s="302">
        <v>0.62136026876886163</v>
      </c>
      <c r="L332" s="302">
        <f>SUM(J332:K332)</f>
        <v>1.2205389634142725</v>
      </c>
      <c r="M332" s="236"/>
      <c r="N332" s="236"/>
    </row>
    <row r="333" spans="1:14" x14ac:dyDescent="0.25">
      <c r="A333" s="237" t="str">
        <f>name!E$5</f>
        <v>Professional occupations</v>
      </c>
      <c r="B333" s="302">
        <v>12.392114094579538</v>
      </c>
      <c r="C333" s="302">
        <v>7.3570672707027205</v>
      </c>
      <c r="D333" s="302">
        <f t="shared" ref="D333:D340" si="109">SUM(B333:C333)</f>
        <v>19.749181365282258</v>
      </c>
      <c r="E333" s="303"/>
      <c r="F333" s="302">
        <v>14.168379304717126</v>
      </c>
      <c r="G333" s="302">
        <v>7.9255423587912412</v>
      </c>
      <c r="H333" s="302">
        <f t="shared" ref="H333:H340" si="110">SUM(F333:G333)</f>
        <v>22.093921663508368</v>
      </c>
      <c r="I333" s="303"/>
      <c r="J333" s="302">
        <v>16.536106119196905</v>
      </c>
      <c r="K333" s="302">
        <v>9.1339770343396456</v>
      </c>
      <c r="L333" s="302">
        <f t="shared" ref="L333:L340" si="111">SUM(J333:K333)</f>
        <v>25.670083153536552</v>
      </c>
      <c r="M333" s="236"/>
      <c r="N333" s="236"/>
    </row>
    <row r="334" spans="1:14" x14ac:dyDescent="0.25">
      <c r="A334" s="237" t="str">
        <f>name!E$6</f>
        <v>Associate professional occupations</v>
      </c>
      <c r="B334" s="302">
        <v>2.0177730638832791</v>
      </c>
      <c r="C334" s="302">
        <v>1.7162091592083353</v>
      </c>
      <c r="D334" s="302">
        <f t="shared" si="109"/>
        <v>3.7339822230916146</v>
      </c>
      <c r="E334" s="303"/>
      <c r="F334" s="302">
        <v>2.2093282712139164</v>
      </c>
      <c r="G334" s="302">
        <v>1.7432763096485568</v>
      </c>
      <c r="H334" s="302">
        <f t="shared" si="110"/>
        <v>3.9526045808624732</v>
      </c>
      <c r="I334" s="303"/>
      <c r="J334" s="302">
        <v>3.5199897901236477</v>
      </c>
      <c r="K334" s="302">
        <v>1.5783949503504275</v>
      </c>
      <c r="L334" s="302">
        <f t="shared" si="111"/>
        <v>5.0983847404740752</v>
      </c>
      <c r="M334" s="236"/>
      <c r="N334" s="236"/>
    </row>
    <row r="335" spans="1:14" x14ac:dyDescent="0.25">
      <c r="A335" s="237" t="str">
        <f>name!E$7</f>
        <v>Administrative and secretarial occupations</v>
      </c>
      <c r="B335" s="302">
        <v>2.802181725051498</v>
      </c>
      <c r="C335" s="302">
        <v>0.48149066665883267</v>
      </c>
      <c r="D335" s="302">
        <f t="shared" si="109"/>
        <v>3.2836723917103305</v>
      </c>
      <c r="E335" s="303"/>
      <c r="F335" s="302">
        <v>2.4253975682653537</v>
      </c>
      <c r="G335" s="302">
        <v>0.39943491629148603</v>
      </c>
      <c r="H335" s="302">
        <f t="shared" si="110"/>
        <v>2.8248324845568398</v>
      </c>
      <c r="I335" s="303"/>
      <c r="J335" s="302">
        <v>1.3668137650248475</v>
      </c>
      <c r="K335" s="302">
        <v>0.39091142949424851</v>
      </c>
      <c r="L335" s="302">
        <f t="shared" si="111"/>
        <v>1.7577251945190961</v>
      </c>
      <c r="M335" s="236"/>
      <c r="N335" s="236"/>
    </row>
    <row r="336" spans="1:14" x14ac:dyDescent="0.25">
      <c r="A336" s="237" t="str">
        <f>name!E$8</f>
        <v>Skilled trades occupations</v>
      </c>
      <c r="B336" s="302">
        <v>0.37416218505982274</v>
      </c>
      <c r="C336" s="302">
        <v>0.47346960884044015</v>
      </c>
      <c r="D336" s="302">
        <f t="shared" si="109"/>
        <v>0.84763179390026289</v>
      </c>
      <c r="E336" s="303"/>
      <c r="F336" s="302">
        <v>0.3016912175840154</v>
      </c>
      <c r="G336" s="302">
        <v>0.3148684810484067</v>
      </c>
      <c r="H336" s="302">
        <f t="shared" si="110"/>
        <v>0.6165596986324221</v>
      </c>
      <c r="I336" s="303"/>
      <c r="J336" s="302">
        <v>0.23784625759257966</v>
      </c>
      <c r="K336" s="302">
        <v>0.22165039532481887</v>
      </c>
      <c r="L336" s="302">
        <f t="shared" si="111"/>
        <v>0.4594966529173985</v>
      </c>
      <c r="M336" s="236"/>
      <c r="N336" s="236"/>
    </row>
    <row r="337" spans="1:14" x14ac:dyDescent="0.25">
      <c r="A337" s="237" t="str">
        <f>name!E$9</f>
        <v>Caring, leisure and other service occupations</v>
      </c>
      <c r="B337" s="302">
        <v>11.460341584465455</v>
      </c>
      <c r="C337" s="302">
        <v>0.97559450153234561</v>
      </c>
      <c r="D337" s="302">
        <f t="shared" si="109"/>
        <v>12.435936085997801</v>
      </c>
      <c r="E337" s="303"/>
      <c r="F337" s="302">
        <v>10.602653713603864</v>
      </c>
      <c r="G337" s="302">
        <v>0.84666496022713389</v>
      </c>
      <c r="H337" s="302">
        <f t="shared" si="110"/>
        <v>11.449318673830998</v>
      </c>
      <c r="I337" s="303"/>
      <c r="J337" s="302">
        <v>12.283524635916686</v>
      </c>
      <c r="K337" s="302">
        <v>0.94547872731382587</v>
      </c>
      <c r="L337" s="302">
        <f t="shared" si="111"/>
        <v>13.229003363230513</v>
      </c>
      <c r="M337" s="236"/>
      <c r="N337" s="236"/>
    </row>
    <row r="338" spans="1:14" x14ac:dyDescent="0.25">
      <c r="A338" s="237" t="str">
        <f>name!E$10</f>
        <v>Sales and customer service occupations</v>
      </c>
      <c r="B338" s="302">
        <v>0.22435526667043049</v>
      </c>
      <c r="C338" s="302">
        <v>7.8168872378705637E-2</v>
      </c>
      <c r="D338" s="302">
        <f t="shared" si="109"/>
        <v>0.30252413904913611</v>
      </c>
      <c r="E338" s="303"/>
      <c r="F338" s="302">
        <v>0.19476706263758831</v>
      </c>
      <c r="G338" s="302">
        <v>6.2118280242442696E-2</v>
      </c>
      <c r="H338" s="302">
        <f t="shared" si="110"/>
        <v>0.25688534288003101</v>
      </c>
      <c r="I338" s="303"/>
      <c r="J338" s="302">
        <v>0.21158892660925774</v>
      </c>
      <c r="K338" s="302">
        <v>7.277264005377436E-2</v>
      </c>
      <c r="L338" s="302">
        <f t="shared" si="111"/>
        <v>0.28436156666303208</v>
      </c>
      <c r="M338" s="236"/>
      <c r="N338" s="236"/>
    </row>
    <row r="339" spans="1:14" x14ac:dyDescent="0.25">
      <c r="A339" s="237" t="str">
        <f>name!E$11</f>
        <v>Process, plant and machine operatives</v>
      </c>
      <c r="B339" s="302">
        <v>0.15042598700755172</v>
      </c>
      <c r="C339" s="302">
        <v>0.64161777339427239</v>
      </c>
      <c r="D339" s="302">
        <f t="shared" si="109"/>
        <v>0.79204376040182412</v>
      </c>
      <c r="E339" s="303"/>
      <c r="F339" s="302">
        <v>0.16693012052597128</v>
      </c>
      <c r="G339" s="302">
        <v>0.61603956385840231</v>
      </c>
      <c r="H339" s="302">
        <f t="shared" si="110"/>
        <v>0.78296968438437364</v>
      </c>
      <c r="I339" s="303"/>
      <c r="J339" s="302">
        <v>0.21414708438535904</v>
      </c>
      <c r="K339" s="302">
        <v>0.67823550267815802</v>
      </c>
      <c r="L339" s="302">
        <f t="shared" si="111"/>
        <v>0.89238258706351703</v>
      </c>
      <c r="M339" s="236"/>
      <c r="N339" s="236"/>
    </row>
    <row r="340" spans="1:14" x14ac:dyDescent="0.25">
      <c r="A340" s="237" t="str">
        <f>name!E$12</f>
        <v>Elementary occupations</v>
      </c>
      <c r="B340" s="302">
        <v>2.3457742918881088</v>
      </c>
      <c r="C340" s="302">
        <v>0.25897122204509421</v>
      </c>
      <c r="D340" s="302">
        <f t="shared" si="109"/>
        <v>2.604745513933203</v>
      </c>
      <c r="E340" s="303"/>
      <c r="F340" s="302">
        <v>1.7553650071536508</v>
      </c>
      <c r="G340" s="302">
        <v>0.15449351124520738</v>
      </c>
      <c r="H340" s="302">
        <f t="shared" si="110"/>
        <v>1.9098585183988583</v>
      </c>
      <c r="I340" s="303"/>
      <c r="J340" s="302">
        <v>0.46055328991076305</v>
      </c>
      <c r="K340" s="302">
        <v>9.1470488270725153E-2</v>
      </c>
      <c r="L340" s="302">
        <f t="shared" si="111"/>
        <v>0.55202377818148818</v>
      </c>
      <c r="M340" s="236"/>
      <c r="N340" s="236"/>
    </row>
    <row r="341" spans="1:14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5">
      <c r="A342" s="244" t="s">
        <v>33</v>
      </c>
      <c r="B342" s="311">
        <f>SUM(B332:B340)</f>
        <v>32.208145496888534</v>
      </c>
      <c r="C342" s="311">
        <f t="shared" ref="C342:D342" si="112">SUM(C332:C340)</f>
        <v>12.601854503111539</v>
      </c>
      <c r="D342" s="311">
        <f t="shared" si="112"/>
        <v>44.810000000000073</v>
      </c>
      <c r="E342" s="311"/>
      <c r="F342" s="311">
        <f t="shared" ref="F342:H342" si="113">SUM(F332:F340)</f>
        <v>32.367170398249733</v>
      </c>
      <c r="G342" s="311">
        <f t="shared" si="113"/>
        <v>12.695829601750237</v>
      </c>
      <c r="H342" s="311">
        <f t="shared" si="113"/>
        <v>45.062999999999974</v>
      </c>
      <c r="I342" s="311"/>
      <c r="J342" s="311">
        <f t="shared" ref="J342:L342" si="114">SUM(J332:J340)</f>
        <v>35.429748563405461</v>
      </c>
      <c r="K342" s="311">
        <f t="shared" si="114"/>
        <v>13.734251436594485</v>
      </c>
      <c r="L342" s="311">
        <f t="shared" si="114"/>
        <v>49.163999999999938</v>
      </c>
      <c r="M342" s="236"/>
      <c r="N342" s="236"/>
    </row>
    <row r="343" spans="1:14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ht="13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ht="13" x14ac:dyDescent="0.3">
      <c r="A346" s="241" t="str">
        <f>name!B23</f>
        <v>Health and social work</v>
      </c>
      <c r="B346" s="376">
        <f>B$6</f>
        <v>2015</v>
      </c>
      <c r="C346" s="376"/>
      <c r="D346" s="376"/>
      <c r="E346" s="253"/>
      <c r="F346" s="376">
        <f>F329</f>
        <v>2020</v>
      </c>
      <c r="G346" s="376"/>
      <c r="H346" s="376"/>
      <c r="I346" s="253"/>
      <c r="J346" s="376">
        <f>J329</f>
        <v>2035</v>
      </c>
      <c r="K346" s="376"/>
      <c r="L346" s="376"/>
      <c r="M346" s="236"/>
      <c r="N346" s="236"/>
    </row>
    <row r="347" spans="1:14" ht="13" x14ac:dyDescent="0.3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5">
      <c r="A349" s="237" t="str">
        <f>name!E$4</f>
        <v>Managers, directors and senior officials</v>
      </c>
      <c r="B349" s="302">
        <v>1.4490498800660379</v>
      </c>
      <c r="C349" s="302">
        <v>0.9635005764731831</v>
      </c>
      <c r="D349" s="302">
        <f>SUM(B349:C349)</f>
        <v>2.4125504565392211</v>
      </c>
      <c r="E349" s="303"/>
      <c r="F349" s="302">
        <v>2.0277984005419842</v>
      </c>
      <c r="G349" s="302">
        <v>1.2284788735594938</v>
      </c>
      <c r="H349" s="302">
        <f>SUM(F349:G349)</f>
        <v>3.2562772741014783</v>
      </c>
      <c r="I349" s="303"/>
      <c r="J349" s="302">
        <v>2.3451465944135488</v>
      </c>
      <c r="K349" s="302">
        <v>1.2405013348078895</v>
      </c>
      <c r="L349" s="302">
        <f>SUM(J349:K349)</f>
        <v>3.5856479292214383</v>
      </c>
      <c r="M349" s="236"/>
      <c r="N349" s="236"/>
    </row>
    <row r="350" spans="1:14" x14ac:dyDescent="0.25">
      <c r="A350" s="237" t="str">
        <f>name!E$5</f>
        <v>Professional occupations</v>
      </c>
      <c r="B350" s="302">
        <v>14.051839803206587</v>
      </c>
      <c r="C350" s="302">
        <v>4.6732826121631241</v>
      </c>
      <c r="D350" s="302">
        <f t="shared" ref="D350:D357" si="115">SUM(B350:C350)</f>
        <v>18.725122415369711</v>
      </c>
      <c r="E350" s="303"/>
      <c r="F350" s="302">
        <v>18.101336330586118</v>
      </c>
      <c r="G350" s="302">
        <v>6.3616004716481465</v>
      </c>
      <c r="H350" s="302">
        <f t="shared" ref="H350:H357" si="116">SUM(F350:G350)</f>
        <v>24.462936802234264</v>
      </c>
      <c r="I350" s="303"/>
      <c r="J350" s="302">
        <v>20.382416589617183</v>
      </c>
      <c r="K350" s="302">
        <v>6.7264095396232486</v>
      </c>
      <c r="L350" s="302">
        <f t="shared" ref="L350:L357" si="117">SUM(J350:K350)</f>
        <v>27.10882612924043</v>
      </c>
      <c r="M350" s="236"/>
      <c r="N350" s="236"/>
    </row>
    <row r="351" spans="1:14" x14ac:dyDescent="0.25">
      <c r="A351" s="237" t="str">
        <f>name!E$6</f>
        <v>Associate professional occupations</v>
      </c>
      <c r="B351" s="302">
        <v>6.1066244103112401</v>
      </c>
      <c r="C351" s="302">
        <v>2.3878279931946307</v>
      </c>
      <c r="D351" s="302">
        <f t="shared" si="115"/>
        <v>8.4944524035058713</v>
      </c>
      <c r="E351" s="303"/>
      <c r="F351" s="302">
        <v>7.8118846034620839</v>
      </c>
      <c r="G351" s="302">
        <v>2.7017294392297626</v>
      </c>
      <c r="H351" s="302">
        <f t="shared" si="116"/>
        <v>10.513614042691847</v>
      </c>
      <c r="I351" s="303"/>
      <c r="J351" s="302">
        <v>14.326654951007967</v>
      </c>
      <c r="K351" s="302">
        <v>3.4746183798784562</v>
      </c>
      <c r="L351" s="302">
        <f t="shared" si="117"/>
        <v>17.801273330886424</v>
      </c>
      <c r="M351" s="236"/>
      <c r="N351" s="236"/>
    </row>
    <row r="352" spans="1:14" x14ac:dyDescent="0.25">
      <c r="A352" s="237" t="str">
        <f>name!E$7</f>
        <v>Administrative and secretarial occupations</v>
      </c>
      <c r="B352" s="302">
        <v>5.0134902311467711</v>
      </c>
      <c r="C352" s="302">
        <v>0.79376221842600303</v>
      </c>
      <c r="D352" s="302">
        <f t="shared" si="115"/>
        <v>5.8072524495727738</v>
      </c>
      <c r="E352" s="303"/>
      <c r="F352" s="302">
        <v>5.164309599794386</v>
      </c>
      <c r="G352" s="302">
        <v>0.80523011111745424</v>
      </c>
      <c r="H352" s="302">
        <f t="shared" si="116"/>
        <v>5.9695397109118407</v>
      </c>
      <c r="I352" s="303"/>
      <c r="J352" s="302">
        <v>2.8511052257168541</v>
      </c>
      <c r="K352" s="302">
        <v>0.70865236847389534</v>
      </c>
      <c r="L352" s="302">
        <f t="shared" si="117"/>
        <v>3.5597575941907493</v>
      </c>
      <c r="M352" s="236"/>
      <c r="N352" s="236"/>
    </row>
    <row r="353" spans="1:14" x14ac:dyDescent="0.25">
      <c r="A353" s="237" t="str">
        <f>name!E$8</f>
        <v>Skilled trades occupations</v>
      </c>
      <c r="B353" s="302">
        <v>0.32061830975705474</v>
      </c>
      <c r="C353" s="302">
        <v>0.56267364589639746</v>
      </c>
      <c r="D353" s="302">
        <f t="shared" si="115"/>
        <v>0.8832919556534522</v>
      </c>
      <c r="E353" s="303"/>
      <c r="F353" s="302">
        <v>0.29687934567897406</v>
      </c>
      <c r="G353" s="302">
        <v>0.54481316301177551</v>
      </c>
      <c r="H353" s="302">
        <f t="shared" si="116"/>
        <v>0.84169250869074963</v>
      </c>
      <c r="I353" s="303"/>
      <c r="J353" s="302">
        <v>0.16980005362747802</v>
      </c>
      <c r="K353" s="302">
        <v>0.51355326041159688</v>
      </c>
      <c r="L353" s="302">
        <f t="shared" si="117"/>
        <v>0.68335331403907484</v>
      </c>
      <c r="M353" s="236"/>
      <c r="N353" s="236"/>
    </row>
    <row r="354" spans="1:14" x14ac:dyDescent="0.25">
      <c r="A354" s="237" t="str">
        <f>name!E$9</f>
        <v>Caring, leisure and other service occupations</v>
      </c>
      <c r="B354" s="302">
        <v>19.429486128759436</v>
      </c>
      <c r="C354" s="302">
        <v>2.3165294381964197</v>
      </c>
      <c r="D354" s="302">
        <f t="shared" si="115"/>
        <v>21.746015566955855</v>
      </c>
      <c r="E354" s="303"/>
      <c r="F354" s="302">
        <v>21.579081577898204</v>
      </c>
      <c r="G354" s="302">
        <v>2.4939361513164502</v>
      </c>
      <c r="H354" s="302">
        <f t="shared" si="116"/>
        <v>24.073017729214655</v>
      </c>
      <c r="I354" s="303"/>
      <c r="J354" s="302">
        <v>23.129765103808364</v>
      </c>
      <c r="K354" s="302">
        <v>3.3049079071780807</v>
      </c>
      <c r="L354" s="302">
        <f t="shared" si="117"/>
        <v>26.434673010986444</v>
      </c>
      <c r="M354" s="236"/>
      <c r="N354" s="236"/>
    </row>
    <row r="355" spans="1:14" x14ac:dyDescent="0.25">
      <c r="A355" s="237" t="str">
        <f>name!E$10</f>
        <v>Sales and customer service occupations</v>
      </c>
      <c r="B355" s="302">
        <v>0.64549842978674687</v>
      </c>
      <c r="C355" s="302">
        <v>0.18085039917837517</v>
      </c>
      <c r="D355" s="302">
        <f t="shared" si="115"/>
        <v>0.82634882896512207</v>
      </c>
      <c r="E355" s="303"/>
      <c r="F355" s="302">
        <v>0.67877276276176957</v>
      </c>
      <c r="G355" s="302">
        <v>0.18434497378469622</v>
      </c>
      <c r="H355" s="302">
        <f t="shared" si="116"/>
        <v>0.86311773654646573</v>
      </c>
      <c r="I355" s="303"/>
      <c r="J355" s="302">
        <v>0.74266898973943762</v>
      </c>
      <c r="K355" s="302">
        <v>0.18314128967901316</v>
      </c>
      <c r="L355" s="302">
        <f t="shared" si="117"/>
        <v>0.92581027941845084</v>
      </c>
      <c r="M355" s="236"/>
      <c r="N355" s="236"/>
    </row>
    <row r="356" spans="1:14" x14ac:dyDescent="0.25">
      <c r="A356" s="237" t="str">
        <f>name!E$11</f>
        <v>Process, plant and machine operatives</v>
      </c>
      <c r="B356" s="302">
        <v>6.3237396638064158E-2</v>
      </c>
      <c r="C356" s="302">
        <v>0.36332589084094435</v>
      </c>
      <c r="D356" s="302">
        <f t="shared" si="115"/>
        <v>0.42656328747900851</v>
      </c>
      <c r="E356" s="303"/>
      <c r="F356" s="302">
        <v>5.5968632900115355E-2</v>
      </c>
      <c r="G356" s="302">
        <v>0.35449869312604093</v>
      </c>
      <c r="H356" s="302">
        <f t="shared" si="116"/>
        <v>0.41046732602615627</v>
      </c>
      <c r="I356" s="303"/>
      <c r="J356" s="302">
        <v>3.2369168111072807E-2</v>
      </c>
      <c r="K356" s="302">
        <v>0.29515955565342233</v>
      </c>
      <c r="L356" s="302">
        <f t="shared" si="117"/>
        <v>0.32752872376449516</v>
      </c>
      <c r="M356" s="236"/>
      <c r="N356" s="236"/>
    </row>
    <row r="357" spans="1:14" x14ac:dyDescent="0.25">
      <c r="A357" s="237" t="str">
        <f>name!E$12</f>
        <v>Elementary occupations</v>
      </c>
      <c r="B357" s="302">
        <v>1.0463755982937599</v>
      </c>
      <c r="C357" s="302">
        <v>0.49902703766533685</v>
      </c>
      <c r="D357" s="302">
        <f t="shared" si="115"/>
        <v>1.5454026359590967</v>
      </c>
      <c r="E357" s="303"/>
      <c r="F357" s="302">
        <v>0.9120804029559757</v>
      </c>
      <c r="G357" s="302">
        <v>0.46725646662654002</v>
      </c>
      <c r="H357" s="302">
        <f t="shared" si="116"/>
        <v>1.3793368695825157</v>
      </c>
      <c r="I357" s="303"/>
      <c r="J357" s="302">
        <v>0.29426881966556245</v>
      </c>
      <c r="K357" s="302">
        <v>0.48186086858698379</v>
      </c>
      <c r="L357" s="302">
        <f t="shared" si="117"/>
        <v>0.77612968825254625</v>
      </c>
      <c r="M357" s="236"/>
      <c r="N357" s="236"/>
    </row>
    <row r="358" spans="1:14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5">
      <c r="A359" s="244" t="s">
        <v>33</v>
      </c>
      <c r="B359" s="311">
        <f>SUM(B349:B357)</f>
        <v>48.1262201879657</v>
      </c>
      <c r="C359" s="311">
        <f t="shared" ref="C359:D359" si="118">SUM(C349:C357)</f>
        <v>12.740779812034416</v>
      </c>
      <c r="D359" s="311">
        <f t="shared" si="118"/>
        <v>60.867000000000118</v>
      </c>
      <c r="E359" s="311"/>
      <c r="F359" s="311">
        <f t="shared" ref="F359:H359" si="119">SUM(F349:F357)</f>
        <v>56.62811165657962</v>
      </c>
      <c r="G359" s="311">
        <f t="shared" si="119"/>
        <v>15.141888343420364</v>
      </c>
      <c r="H359" s="311">
        <f t="shared" si="119"/>
        <v>71.769999999999968</v>
      </c>
      <c r="I359" s="311"/>
      <c r="J359" s="311">
        <f t="shared" ref="J359:L359" si="120">SUM(J349:J357)</f>
        <v>64.274195495707474</v>
      </c>
      <c r="K359" s="311">
        <f t="shared" si="120"/>
        <v>16.928804504292586</v>
      </c>
      <c r="L359" s="311">
        <f t="shared" si="120"/>
        <v>81.203000000000074</v>
      </c>
      <c r="M359" s="236"/>
      <c r="N359" s="236"/>
    </row>
    <row r="360" spans="1:14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ht="13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ht="13" x14ac:dyDescent="0.3">
      <c r="A363" s="241" t="str">
        <f>name!B24</f>
        <v>Arts and entertainment</v>
      </c>
      <c r="B363" s="376">
        <f>B$6</f>
        <v>2015</v>
      </c>
      <c r="C363" s="376"/>
      <c r="D363" s="376"/>
      <c r="E363" s="253"/>
      <c r="F363" s="376">
        <f>F346</f>
        <v>2020</v>
      </c>
      <c r="G363" s="376"/>
      <c r="H363" s="376"/>
      <c r="I363" s="253"/>
      <c r="J363" s="376">
        <f>J346</f>
        <v>2035</v>
      </c>
      <c r="K363" s="376"/>
      <c r="L363" s="376"/>
      <c r="M363" s="236"/>
      <c r="N363" s="236"/>
    </row>
    <row r="364" spans="1:14" ht="13" x14ac:dyDescent="0.3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5">
      <c r="A366" s="237" t="str">
        <f>name!E$4</f>
        <v>Managers, directors and senior officials</v>
      </c>
      <c r="B366" s="302">
        <v>0.31311895696372277</v>
      </c>
      <c r="C366" s="302">
        <v>0.51856837886837615</v>
      </c>
      <c r="D366" s="302">
        <f>SUM(B366:C366)</f>
        <v>0.83168733583209886</v>
      </c>
      <c r="E366" s="303"/>
      <c r="F366" s="302">
        <v>0.39282782994488635</v>
      </c>
      <c r="G366" s="302">
        <v>0.56294938487133406</v>
      </c>
      <c r="H366" s="302">
        <f>SUM(F366:G366)</f>
        <v>0.95577721481622047</v>
      </c>
      <c r="I366" s="303"/>
      <c r="J366" s="302">
        <v>0.39927355181698926</v>
      </c>
      <c r="K366" s="302">
        <v>0.57604180495515489</v>
      </c>
      <c r="L366" s="302">
        <f>SUM(J366:K366)</f>
        <v>0.9753153567721442</v>
      </c>
      <c r="M366" s="236"/>
      <c r="N366" s="236"/>
    </row>
    <row r="367" spans="1:14" x14ac:dyDescent="0.25">
      <c r="A367" s="237" t="str">
        <f>name!E$5</f>
        <v>Professional occupations</v>
      </c>
      <c r="B367" s="302">
        <v>0.6614662900963203</v>
      </c>
      <c r="C367" s="302">
        <v>0.97341615090031086</v>
      </c>
      <c r="D367" s="302">
        <f t="shared" ref="D367:D374" si="121">SUM(B367:C367)</f>
        <v>1.6348824409966312</v>
      </c>
      <c r="E367" s="303"/>
      <c r="F367" s="302">
        <v>0.88640655003141533</v>
      </c>
      <c r="G367" s="302">
        <v>1.1122249809727842</v>
      </c>
      <c r="H367" s="302">
        <f t="shared" ref="H367:H374" si="122">SUM(F367:G367)</f>
        <v>1.9986315310041995</v>
      </c>
      <c r="I367" s="303"/>
      <c r="J367" s="302">
        <v>1.0125516978822529</v>
      </c>
      <c r="K367" s="302">
        <v>1.3563174475267836</v>
      </c>
      <c r="L367" s="302">
        <f t="shared" ref="L367:L374" si="123">SUM(J367:K367)</f>
        <v>2.3688691454090365</v>
      </c>
      <c r="M367" s="236"/>
      <c r="N367" s="236"/>
    </row>
    <row r="368" spans="1:14" x14ac:dyDescent="0.25">
      <c r="A368" s="237" t="str">
        <f>name!E$6</f>
        <v>Associate professional occupations</v>
      </c>
      <c r="B368" s="302">
        <v>1.2711560687196597</v>
      </c>
      <c r="C368" s="302">
        <v>2.2119151003721722</v>
      </c>
      <c r="D368" s="302">
        <f t="shared" si="121"/>
        <v>3.4830711690918319</v>
      </c>
      <c r="E368" s="303"/>
      <c r="F368" s="302">
        <v>1.3592641785708914</v>
      </c>
      <c r="G368" s="302">
        <v>2.3678928880353713</v>
      </c>
      <c r="H368" s="302">
        <f t="shared" si="122"/>
        <v>3.7271570666062628</v>
      </c>
      <c r="I368" s="303"/>
      <c r="J368" s="302">
        <v>1.3747833576698163</v>
      </c>
      <c r="K368" s="302">
        <v>2.1980079300304043</v>
      </c>
      <c r="L368" s="302">
        <f t="shared" si="123"/>
        <v>3.5727912877002206</v>
      </c>
      <c r="M368" s="236"/>
      <c r="N368" s="236"/>
    </row>
    <row r="369" spans="1:14" x14ac:dyDescent="0.25">
      <c r="A369" s="237" t="str">
        <f>name!E$7</f>
        <v>Administrative and secretarial occupations</v>
      </c>
      <c r="B369" s="302">
        <v>1.3069797124162315</v>
      </c>
      <c r="C369" s="302">
        <v>0.48958774100907865</v>
      </c>
      <c r="D369" s="302">
        <f t="shared" si="121"/>
        <v>1.7965674534253102</v>
      </c>
      <c r="E369" s="303"/>
      <c r="F369" s="302">
        <v>1.3243912347776476</v>
      </c>
      <c r="G369" s="302">
        <v>0.45549693144332754</v>
      </c>
      <c r="H369" s="302">
        <f t="shared" si="122"/>
        <v>1.7798881662209751</v>
      </c>
      <c r="I369" s="303"/>
      <c r="J369" s="302">
        <v>1.2966953624591893</v>
      </c>
      <c r="K369" s="302">
        <v>0.50895067494342716</v>
      </c>
      <c r="L369" s="302">
        <f t="shared" si="123"/>
        <v>1.8056460374026164</v>
      </c>
      <c r="M369" s="236"/>
      <c r="N369" s="236"/>
    </row>
    <row r="370" spans="1:14" x14ac:dyDescent="0.25">
      <c r="A370" s="237" t="str">
        <f>name!E$8</f>
        <v>Skilled trades occupations</v>
      </c>
      <c r="B370" s="302">
        <v>0.21733955626338303</v>
      </c>
      <c r="C370" s="302">
        <v>0.44337757536417244</v>
      </c>
      <c r="D370" s="302">
        <f t="shared" si="121"/>
        <v>0.66071713162755552</v>
      </c>
      <c r="E370" s="303"/>
      <c r="F370" s="302">
        <v>0.21167814850535729</v>
      </c>
      <c r="G370" s="302">
        <v>0.32712586839113977</v>
      </c>
      <c r="H370" s="302">
        <f t="shared" si="122"/>
        <v>0.53880401689649704</v>
      </c>
      <c r="I370" s="303"/>
      <c r="J370" s="302">
        <v>0.2337092189148218</v>
      </c>
      <c r="K370" s="302">
        <v>0.24468220355836878</v>
      </c>
      <c r="L370" s="302">
        <f t="shared" si="123"/>
        <v>0.47839142247319055</v>
      </c>
      <c r="M370" s="236"/>
      <c r="N370" s="236"/>
    </row>
    <row r="371" spans="1:14" x14ac:dyDescent="0.25">
      <c r="A371" s="237" t="str">
        <f>name!E$9</f>
        <v>Caring, leisure and other service occupations</v>
      </c>
      <c r="B371" s="302">
        <v>0.91049854924654283</v>
      </c>
      <c r="C371" s="302">
        <v>0.45984567235940532</v>
      </c>
      <c r="D371" s="302">
        <f t="shared" si="121"/>
        <v>1.370344221605948</v>
      </c>
      <c r="E371" s="303"/>
      <c r="F371" s="302">
        <v>0.79561472453559212</v>
      </c>
      <c r="G371" s="302">
        <v>0.37106269180281659</v>
      </c>
      <c r="H371" s="302">
        <f t="shared" si="122"/>
        <v>1.1666774163384086</v>
      </c>
      <c r="I371" s="303"/>
      <c r="J371" s="302">
        <v>0.64954293495133975</v>
      </c>
      <c r="K371" s="302">
        <v>0.42189415052415014</v>
      </c>
      <c r="L371" s="302">
        <f t="shared" si="123"/>
        <v>1.0714370854754898</v>
      </c>
      <c r="M371" s="236"/>
      <c r="N371" s="236"/>
    </row>
    <row r="372" spans="1:14" x14ac:dyDescent="0.25">
      <c r="A372" s="237" t="str">
        <f>name!E$10</f>
        <v>Sales and customer service occupations</v>
      </c>
      <c r="B372" s="302">
        <v>0.36556685132165029</v>
      </c>
      <c r="C372" s="302">
        <v>0.45354199786957405</v>
      </c>
      <c r="D372" s="302">
        <f t="shared" si="121"/>
        <v>0.8191088491912244</v>
      </c>
      <c r="E372" s="303"/>
      <c r="F372" s="302">
        <v>0.36064692598143094</v>
      </c>
      <c r="G372" s="302">
        <v>0.36796063416691926</v>
      </c>
      <c r="H372" s="302">
        <f t="shared" si="122"/>
        <v>0.72860756014835015</v>
      </c>
      <c r="I372" s="303"/>
      <c r="J372" s="302">
        <v>0.37335298415809659</v>
      </c>
      <c r="K372" s="302">
        <v>0.48927399742171429</v>
      </c>
      <c r="L372" s="302">
        <f t="shared" si="123"/>
        <v>0.86262698157981088</v>
      </c>
      <c r="M372" s="236"/>
      <c r="N372" s="236"/>
    </row>
    <row r="373" spans="1:14" x14ac:dyDescent="0.25">
      <c r="A373" s="237" t="str">
        <f>name!E$11</f>
        <v>Process, plant and machine operatives</v>
      </c>
      <c r="B373" s="302">
        <v>1.2841367324436167E-2</v>
      </c>
      <c r="C373" s="302">
        <v>0.10232609211042357</v>
      </c>
      <c r="D373" s="302">
        <f t="shared" si="121"/>
        <v>0.11516745943485973</v>
      </c>
      <c r="E373" s="303"/>
      <c r="F373" s="302">
        <v>1.0708407257350405E-2</v>
      </c>
      <c r="G373" s="302">
        <v>7.9012311316898134E-2</v>
      </c>
      <c r="H373" s="302">
        <f t="shared" si="122"/>
        <v>8.9720718574248542E-2</v>
      </c>
      <c r="I373" s="303"/>
      <c r="J373" s="302">
        <v>1.4637466822913701E-2</v>
      </c>
      <c r="K373" s="302">
        <v>7.0688879644922334E-2</v>
      </c>
      <c r="L373" s="302">
        <f t="shared" si="123"/>
        <v>8.5326346467836031E-2</v>
      </c>
      <c r="M373" s="236"/>
      <c r="N373" s="236"/>
    </row>
    <row r="374" spans="1:14" x14ac:dyDescent="0.25">
      <c r="A374" s="237" t="str">
        <f>name!E$12</f>
        <v>Elementary occupations</v>
      </c>
      <c r="B374" s="302">
        <v>0.68432679824211939</v>
      </c>
      <c r="C374" s="302">
        <v>0.50612714055243813</v>
      </c>
      <c r="D374" s="302">
        <f t="shared" si="121"/>
        <v>1.1904539387945574</v>
      </c>
      <c r="E374" s="303"/>
      <c r="F374" s="302">
        <v>0.5830910800522412</v>
      </c>
      <c r="G374" s="302">
        <v>0.341645229342594</v>
      </c>
      <c r="H374" s="302">
        <f t="shared" si="122"/>
        <v>0.9247363093948352</v>
      </c>
      <c r="I374" s="303"/>
      <c r="J374" s="302">
        <v>0.42446963296554518</v>
      </c>
      <c r="K374" s="302">
        <v>0.30812670375410628</v>
      </c>
      <c r="L374" s="302">
        <f t="shared" si="123"/>
        <v>0.73259633671965152</v>
      </c>
      <c r="M374" s="236"/>
      <c r="N374" s="236"/>
    </row>
    <row r="375" spans="1:14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5">
      <c r="A376" s="244" t="s">
        <v>33</v>
      </c>
      <c r="B376" s="311">
        <f>SUM(B366:B374)</f>
        <v>5.7432941505940649</v>
      </c>
      <c r="C376" s="311">
        <f t="shared" ref="C376:D376" si="124">SUM(C366:C374)</f>
        <v>6.1587058494059512</v>
      </c>
      <c r="D376" s="311">
        <f t="shared" si="124"/>
        <v>11.902000000000015</v>
      </c>
      <c r="E376" s="311"/>
      <c r="F376" s="311">
        <f t="shared" ref="F376:H376" si="125">SUM(F366:F374)</f>
        <v>5.9246290796568131</v>
      </c>
      <c r="G376" s="311">
        <f t="shared" si="125"/>
        <v>5.9853709203431844</v>
      </c>
      <c r="H376" s="311">
        <f t="shared" si="125"/>
        <v>11.909999999999997</v>
      </c>
      <c r="I376" s="311"/>
      <c r="J376" s="311">
        <f t="shared" ref="J376:L376" si="126">SUM(J366:J374)</f>
        <v>5.7790162076409652</v>
      </c>
      <c r="K376" s="311">
        <f t="shared" si="126"/>
        <v>6.1739837923590315</v>
      </c>
      <c r="L376" s="311">
        <f t="shared" si="126"/>
        <v>11.952999999999998</v>
      </c>
      <c r="M376" s="236"/>
      <c r="N376" s="236"/>
    </row>
    <row r="377" spans="1:14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ht="13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ht="13" x14ac:dyDescent="0.3">
      <c r="A380" s="241" t="str">
        <f>name!B25</f>
        <v>Other services</v>
      </c>
      <c r="B380" s="376">
        <f>B$6</f>
        <v>2015</v>
      </c>
      <c r="C380" s="376"/>
      <c r="D380" s="376"/>
      <c r="E380" s="253"/>
      <c r="F380" s="376">
        <f>F363</f>
        <v>2020</v>
      </c>
      <c r="G380" s="376"/>
      <c r="H380" s="376"/>
      <c r="I380" s="253"/>
      <c r="J380" s="376">
        <f>J363</f>
        <v>2035</v>
      </c>
      <c r="K380" s="376"/>
      <c r="L380" s="376"/>
      <c r="M380" s="236"/>
      <c r="N380" s="236"/>
    </row>
    <row r="381" spans="1:14" ht="13" x14ac:dyDescent="0.3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5">
      <c r="A383" s="237" t="str">
        <f>name!E$4</f>
        <v>Managers, directors and senior officials</v>
      </c>
      <c r="B383" s="302">
        <v>0.54134445827138755</v>
      </c>
      <c r="C383" s="302">
        <v>0.7540522761496693</v>
      </c>
      <c r="D383" s="302">
        <f>SUM(B383:C383)</f>
        <v>1.2953967344210569</v>
      </c>
      <c r="E383" s="303"/>
      <c r="F383" s="302">
        <v>0.62194489203635794</v>
      </c>
      <c r="G383" s="302">
        <v>0.54947990136310221</v>
      </c>
      <c r="H383" s="302">
        <f>SUM(F383:G383)</f>
        <v>1.1714247933994602</v>
      </c>
      <c r="I383" s="303"/>
      <c r="J383" s="302">
        <v>0.58340550418512593</v>
      </c>
      <c r="K383" s="302">
        <v>0.54561747937915217</v>
      </c>
      <c r="L383" s="302">
        <f>SUM(J383:K383)</f>
        <v>1.129022983564278</v>
      </c>
      <c r="M383" s="236"/>
      <c r="N383" s="236"/>
    </row>
    <row r="384" spans="1:14" x14ac:dyDescent="0.25">
      <c r="A384" s="237" t="str">
        <f>name!E$5</f>
        <v>Professional occupations</v>
      </c>
      <c r="B384" s="302">
        <v>1.2153757628007533</v>
      </c>
      <c r="C384" s="302">
        <v>1.4373401174058167</v>
      </c>
      <c r="D384" s="302">
        <f t="shared" ref="D384:D391" si="127">SUM(B384:C384)</f>
        <v>2.65271588020657</v>
      </c>
      <c r="E384" s="303"/>
      <c r="F384" s="302">
        <v>1.609895549356499</v>
      </c>
      <c r="G384" s="302">
        <v>1.3081551109070901</v>
      </c>
      <c r="H384" s="302">
        <f t="shared" ref="H384:H391" si="128">SUM(F384:G384)</f>
        <v>2.9180506602635892</v>
      </c>
      <c r="I384" s="303"/>
      <c r="J384" s="302">
        <v>1.6965241034320695</v>
      </c>
      <c r="K384" s="302">
        <v>1.5369963174385517</v>
      </c>
      <c r="L384" s="302">
        <f t="shared" ref="L384:L391" si="129">SUM(J384:K384)</f>
        <v>3.2335204208706214</v>
      </c>
      <c r="M384" s="236"/>
      <c r="N384" s="236"/>
    </row>
    <row r="385" spans="1:14" x14ac:dyDescent="0.25">
      <c r="A385" s="237" t="str">
        <f>name!E$6</f>
        <v>Associate professional occupations</v>
      </c>
      <c r="B385" s="302">
        <v>1.0587541488961416</v>
      </c>
      <c r="C385" s="302">
        <v>0.9028469529245774</v>
      </c>
      <c r="D385" s="302">
        <f t="shared" si="127"/>
        <v>1.9616011018207189</v>
      </c>
      <c r="E385" s="303"/>
      <c r="F385" s="302">
        <v>1.1691095359783805</v>
      </c>
      <c r="G385" s="302">
        <v>0.73573931982760188</v>
      </c>
      <c r="H385" s="302">
        <f t="shared" si="128"/>
        <v>1.9048488558059824</v>
      </c>
      <c r="I385" s="303"/>
      <c r="J385" s="302">
        <v>1.2737320319216208</v>
      </c>
      <c r="K385" s="302">
        <v>0.76784932613611501</v>
      </c>
      <c r="L385" s="302">
        <f t="shared" si="129"/>
        <v>2.0415813580577358</v>
      </c>
      <c r="M385" s="236"/>
      <c r="N385" s="236"/>
    </row>
    <row r="386" spans="1:14" x14ac:dyDescent="0.25">
      <c r="A386" s="237" t="str">
        <f>name!E$7</f>
        <v>Administrative and secretarial occupations</v>
      </c>
      <c r="B386" s="302">
        <v>1.450811923217715</v>
      </c>
      <c r="C386" s="302">
        <v>0.37993057427214971</v>
      </c>
      <c r="D386" s="302">
        <f t="shared" si="127"/>
        <v>1.8307424974898647</v>
      </c>
      <c r="E386" s="303"/>
      <c r="F386" s="302">
        <v>1.3255476141016018</v>
      </c>
      <c r="G386" s="302">
        <v>0.328646035944197</v>
      </c>
      <c r="H386" s="302">
        <f t="shared" si="128"/>
        <v>1.6541936500457988</v>
      </c>
      <c r="I386" s="303"/>
      <c r="J386" s="302">
        <v>1.2890237657122048</v>
      </c>
      <c r="K386" s="302">
        <v>0.34574616004886832</v>
      </c>
      <c r="L386" s="302">
        <f t="shared" si="129"/>
        <v>1.6347699257610731</v>
      </c>
      <c r="M386" s="236"/>
      <c r="N386" s="236"/>
    </row>
    <row r="387" spans="1:14" x14ac:dyDescent="0.25">
      <c r="A387" s="237" t="str">
        <f>name!E$8</f>
        <v>Skilled trades occupations</v>
      </c>
      <c r="B387" s="302">
        <v>0.1700675865371041</v>
      </c>
      <c r="C387" s="302">
        <v>0.38141705786085583</v>
      </c>
      <c r="D387" s="302">
        <f t="shared" si="127"/>
        <v>0.55148464439795997</v>
      </c>
      <c r="E387" s="303"/>
      <c r="F387" s="302">
        <v>0.1647110630695521</v>
      </c>
      <c r="G387" s="302">
        <v>0.18938347421820886</v>
      </c>
      <c r="H387" s="302">
        <f t="shared" si="128"/>
        <v>0.35409453728776097</v>
      </c>
      <c r="I387" s="303"/>
      <c r="J387" s="302">
        <v>0.22178028102897582</v>
      </c>
      <c r="K387" s="302">
        <v>0.16390079663182519</v>
      </c>
      <c r="L387" s="302">
        <f t="shared" si="129"/>
        <v>0.38568107766080101</v>
      </c>
      <c r="M387" s="236"/>
      <c r="N387" s="236"/>
    </row>
    <row r="388" spans="1:14" x14ac:dyDescent="0.25">
      <c r="A388" s="237" t="str">
        <f>name!E$9</f>
        <v>Caring, leisure and other service occupations</v>
      </c>
      <c r="B388" s="302">
        <v>4.529298802926359</v>
      </c>
      <c r="C388" s="302">
        <v>1.0235981419484894</v>
      </c>
      <c r="D388" s="302">
        <f t="shared" si="127"/>
        <v>5.5528969448748482</v>
      </c>
      <c r="E388" s="303"/>
      <c r="F388" s="302">
        <v>2.7400498373936979</v>
      </c>
      <c r="G388" s="302">
        <v>0.58684084510365997</v>
      </c>
      <c r="H388" s="302">
        <f t="shared" si="128"/>
        <v>3.3268906824973579</v>
      </c>
      <c r="I388" s="303"/>
      <c r="J388" s="302">
        <v>2.2742169657539044</v>
      </c>
      <c r="K388" s="302">
        <v>0.52519167636753483</v>
      </c>
      <c r="L388" s="302">
        <f t="shared" si="129"/>
        <v>2.7994086421214393</v>
      </c>
      <c r="M388" s="236"/>
      <c r="N388" s="236"/>
    </row>
    <row r="389" spans="1:14" x14ac:dyDescent="0.25">
      <c r="A389" s="237" t="str">
        <f>name!E$10</f>
        <v>Sales and customer service occupations</v>
      </c>
      <c r="B389" s="302">
        <v>0.35364458563615836</v>
      </c>
      <c r="C389" s="302">
        <v>0.33834908969113842</v>
      </c>
      <c r="D389" s="302">
        <f t="shared" si="127"/>
        <v>0.69199367532729683</v>
      </c>
      <c r="E389" s="303"/>
      <c r="F389" s="302">
        <v>0.25362683462380203</v>
      </c>
      <c r="G389" s="302">
        <v>0.22001348130636808</v>
      </c>
      <c r="H389" s="302">
        <f t="shared" si="128"/>
        <v>0.47364031593017009</v>
      </c>
      <c r="I389" s="303"/>
      <c r="J389" s="302">
        <v>0.22257562218102867</v>
      </c>
      <c r="K389" s="302">
        <v>0.25507962355531788</v>
      </c>
      <c r="L389" s="302">
        <f t="shared" si="129"/>
        <v>0.47765524573634655</v>
      </c>
      <c r="M389" s="236"/>
      <c r="N389" s="236"/>
    </row>
    <row r="390" spans="1:14" x14ac:dyDescent="0.25">
      <c r="A390" s="237" t="str">
        <f>name!E$11</f>
        <v>Process, plant and machine operatives</v>
      </c>
      <c r="B390" s="302">
        <v>6.3559993924698618E-2</v>
      </c>
      <c r="C390" s="302">
        <v>0.31009140059019796</v>
      </c>
      <c r="D390" s="302">
        <f t="shared" si="127"/>
        <v>0.3736513945148966</v>
      </c>
      <c r="E390" s="303"/>
      <c r="F390" s="302">
        <v>6.117630516492082E-2</v>
      </c>
      <c r="G390" s="302">
        <v>0.15913236618069873</v>
      </c>
      <c r="H390" s="302">
        <f t="shared" si="128"/>
        <v>0.22030867134561954</v>
      </c>
      <c r="I390" s="303"/>
      <c r="J390" s="302">
        <v>4.8642414226454135E-2</v>
      </c>
      <c r="K390" s="302">
        <v>0.11337952840962336</v>
      </c>
      <c r="L390" s="302">
        <f t="shared" si="129"/>
        <v>0.1620219426360775</v>
      </c>
      <c r="M390" s="236"/>
      <c r="N390" s="236"/>
    </row>
    <row r="391" spans="1:14" x14ac:dyDescent="0.25">
      <c r="A391" s="237" t="str">
        <f>name!E$12</f>
        <v>Elementary occupations</v>
      </c>
      <c r="B391" s="302">
        <v>0.73358189390705197</v>
      </c>
      <c r="C391" s="302">
        <v>0.77993523303973633</v>
      </c>
      <c r="D391" s="302">
        <f t="shared" si="127"/>
        <v>1.5135171269467884</v>
      </c>
      <c r="E391" s="303"/>
      <c r="F391" s="302">
        <v>0.54397204034279567</v>
      </c>
      <c r="G391" s="302">
        <v>0.3795757930814776</v>
      </c>
      <c r="H391" s="302">
        <f t="shared" si="128"/>
        <v>0.92354783342427327</v>
      </c>
      <c r="I391" s="303"/>
      <c r="J391" s="302">
        <v>0.34926564676351191</v>
      </c>
      <c r="K391" s="302">
        <v>0.38207275682809871</v>
      </c>
      <c r="L391" s="302">
        <f t="shared" si="129"/>
        <v>0.73133840359161062</v>
      </c>
      <c r="M391" s="236"/>
      <c r="N391" s="236"/>
    </row>
    <row r="392" spans="1:14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5">
      <c r="A393" s="244" t="s">
        <v>33</v>
      </c>
      <c r="B393" s="311">
        <f>SUM(B383:B391)</f>
        <v>10.116439156117369</v>
      </c>
      <c r="C393" s="311">
        <f t="shared" ref="C393:D393" si="130">SUM(C383:C391)</f>
        <v>6.3075608438826309</v>
      </c>
      <c r="D393" s="311">
        <f t="shared" si="130"/>
        <v>16.423999999999999</v>
      </c>
      <c r="E393" s="311"/>
      <c r="F393" s="311">
        <f t="shared" ref="F393:H393" si="131">SUM(F383:F391)</f>
        <v>8.4900336720676073</v>
      </c>
      <c r="G393" s="311">
        <f t="shared" si="131"/>
        <v>4.4569663279324052</v>
      </c>
      <c r="H393" s="311">
        <f t="shared" si="131"/>
        <v>12.947000000000015</v>
      </c>
      <c r="I393" s="311"/>
      <c r="J393" s="311">
        <f t="shared" ref="J393:L393" si="132">SUM(J383:J391)</f>
        <v>7.9591663352048956</v>
      </c>
      <c r="K393" s="311">
        <f t="shared" si="132"/>
        <v>4.6358336647950873</v>
      </c>
      <c r="L393" s="311">
        <f t="shared" si="132"/>
        <v>12.594999999999985</v>
      </c>
      <c r="M393" s="236"/>
      <c r="N393" s="236"/>
    </row>
    <row r="394" spans="1:14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Black Country</v>
      </c>
    </row>
    <row r="2" spans="1:23" ht="13" x14ac:dyDescent="0.3">
      <c r="A2" s="258" t="s">
        <v>520</v>
      </c>
    </row>
    <row r="4" spans="1:23" x14ac:dyDescent="0.25">
      <c r="O4" s="251" t="s">
        <v>36</v>
      </c>
    </row>
    <row r="5" spans="1:23" s="258" customFormat="1" ht="13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ht="13" x14ac:dyDescent="0.3">
      <c r="A6" s="241" t="s">
        <v>0</v>
      </c>
      <c r="B6" s="376">
        <v>2015</v>
      </c>
      <c r="C6" s="376"/>
      <c r="D6" s="376"/>
      <c r="E6" s="376"/>
      <c r="F6" s="246"/>
      <c r="G6" s="376">
        <v>2020</v>
      </c>
      <c r="H6" s="376"/>
      <c r="I6" s="376"/>
      <c r="J6" s="376"/>
      <c r="K6" s="278"/>
      <c r="L6" s="376">
        <v>2035</v>
      </c>
      <c r="M6" s="376"/>
      <c r="N6" s="376"/>
      <c r="O6" s="376"/>
      <c r="S6" s="279"/>
      <c r="T6" s="279"/>
      <c r="U6" s="279"/>
      <c r="V6" s="279"/>
      <c r="W6" s="279"/>
    </row>
    <row r="7" spans="1:23" s="258" customFormat="1" ht="13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5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31.133467726633249</v>
      </c>
      <c r="C9" s="249">
        <f t="shared" ref="C9:D9" si="0">SUM(C26,C43,C60,C77,C94,C111,C128,C145,C162,C179,C196,C213,C230,C247,C264,C281,C298,C315,C332,C349,C366,C383)</f>
        <v>4.2901481335351601</v>
      </c>
      <c r="D9" s="249">
        <f t="shared" si="0"/>
        <v>6.969104755831955</v>
      </c>
      <c r="E9" s="249">
        <f>SUM(B9:D9)</f>
        <v>42.392720616000368</v>
      </c>
      <c r="F9" s="238"/>
      <c r="G9" s="249">
        <f>SUM(G26,G43,G60,G77,G94,G111,G128,G145,G162,G179,G196,G213,G230,G247,G264,G281,G298,G315,G332,G349,G366,G383)</f>
        <v>33.282767648540492</v>
      </c>
      <c r="H9" s="249">
        <f t="shared" ref="H9:I9" si="1">SUM(H26,H43,H60,H77,H94,H111,H128,H145,H162,H179,H196,H213,H230,H247,H264,H281,H298,H315,H332,H349,H366,H383)</f>
        <v>6.6628709224389837</v>
      </c>
      <c r="I9" s="249">
        <f t="shared" si="1"/>
        <v>7.8547289213964042</v>
      </c>
      <c r="J9" s="249">
        <f>SUM(G9:I9)</f>
        <v>47.800367492375884</v>
      </c>
      <c r="K9" s="238"/>
      <c r="L9" s="249">
        <f>SUM(L26,L43,L60,L77,L94,L111,L128,L145,L162,L179,L196,L213,L230,L247,L264,L281,L298,L315,L332,L349,L366,L383)</f>
        <v>32.995507163792198</v>
      </c>
      <c r="M9" s="249">
        <f t="shared" ref="M9:N9" si="2">SUM(M26,M43,M60,M77,M94,M111,M128,M145,M162,M179,M196,M213,M230,M247,M264,M281,M298,M315,M332,M349,M366,M383)</f>
        <v>7.7703462736032787</v>
      </c>
      <c r="N9" s="249">
        <f t="shared" si="2"/>
        <v>8.4603258491387052</v>
      </c>
      <c r="O9" s="249">
        <f>SUM(L9:N9)</f>
        <v>49.226179286534183</v>
      </c>
      <c r="T9" s="249"/>
      <c r="V9" s="249"/>
    </row>
    <row r="10" spans="1:23" s="236" customFormat="1" x14ac:dyDescent="0.25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60.788175719151354</v>
      </c>
      <c r="C10" s="249">
        <f t="shared" si="3"/>
        <v>17.622403704573046</v>
      </c>
      <c r="D10" s="249">
        <f t="shared" si="3"/>
        <v>9.3033282210359278</v>
      </c>
      <c r="E10" s="249">
        <f t="shared" ref="E10:E17" si="4">SUM(B10:D10)</f>
        <v>87.713907644760326</v>
      </c>
      <c r="F10" s="238"/>
      <c r="G10" s="249">
        <f t="shared" ref="G10:I10" si="5">SUM(G27,G44,G61,G78,G95,G112,G129,G146,G163,G180,G197,G214,G231,G248,G265,G282,G299,G316,G333,G350,G367,G384)</f>
        <v>70.980159490467173</v>
      </c>
      <c r="H10" s="249">
        <f t="shared" si="5"/>
        <v>21.956036427019846</v>
      </c>
      <c r="I10" s="249">
        <f t="shared" si="5"/>
        <v>10.607637322201462</v>
      </c>
      <c r="J10" s="249">
        <f t="shared" ref="J10:J17" si="6">SUM(G10:I10)</f>
        <v>103.5438332396885</v>
      </c>
      <c r="K10" s="238"/>
      <c r="L10" s="249">
        <f t="shared" ref="L10:N10" si="7">SUM(L27,L44,L61,L78,L95,L112,L129,L146,L163,L180,L197,L214,L231,L248,L265,L282,L299,L316,L333,L350,L367,L384)</f>
        <v>85.229934199547074</v>
      </c>
      <c r="M10" s="249">
        <f t="shared" si="7"/>
        <v>26.624876266499758</v>
      </c>
      <c r="N10" s="249">
        <f t="shared" si="7"/>
        <v>9.8844070325038444</v>
      </c>
      <c r="O10" s="249">
        <f t="shared" ref="O10:O17" si="8">SUM(L10:N10)</f>
        <v>121.73921749855067</v>
      </c>
      <c r="T10" s="249"/>
      <c r="V10" s="249"/>
    </row>
    <row r="11" spans="1:23" s="236" customFormat="1" x14ac:dyDescent="0.25">
      <c r="A11" s="237" t="str">
        <f>name!E$6</f>
        <v>Associate professional occupations</v>
      </c>
      <c r="B11" s="249">
        <f t="shared" si="3"/>
        <v>37.406265501286327</v>
      </c>
      <c r="C11" s="249">
        <f t="shared" si="3"/>
        <v>11.315431230188342</v>
      </c>
      <c r="D11" s="249">
        <f t="shared" si="3"/>
        <v>7.4056886323617723</v>
      </c>
      <c r="E11" s="249">
        <f t="shared" si="4"/>
        <v>56.127385363836439</v>
      </c>
      <c r="F11" s="238"/>
      <c r="G11" s="249">
        <f t="shared" ref="G11:I11" si="9">SUM(G28,G45,G62,G79,G96,G113,G130,G147,G164,G181,G198,G215,G232,G249,G266,G283,G300,G317,G334,G351,G368,G385)</f>
        <v>40.631885586235995</v>
      </c>
      <c r="H11" s="249">
        <f t="shared" si="9"/>
        <v>13.393550069199673</v>
      </c>
      <c r="I11" s="249">
        <f t="shared" si="9"/>
        <v>6.7901663552149216</v>
      </c>
      <c r="J11" s="249">
        <f t="shared" si="6"/>
        <v>60.815602010650593</v>
      </c>
      <c r="K11" s="238"/>
      <c r="L11" s="249">
        <f t="shared" ref="L11:N11" si="10">SUM(L28,L45,L62,L79,L96,L113,L130,L147,L164,L181,L198,L215,L232,L249,L266,L283,L300,L317,L334,L351,L368,L385)</f>
        <v>47.136504020032433</v>
      </c>
      <c r="M11" s="249">
        <f t="shared" si="10"/>
        <v>17.290290435750592</v>
      </c>
      <c r="N11" s="249">
        <f t="shared" si="10"/>
        <v>7.0831501966160726</v>
      </c>
      <c r="O11" s="249">
        <f t="shared" si="8"/>
        <v>71.509944652399099</v>
      </c>
      <c r="T11" s="249"/>
      <c r="V11" s="249"/>
    </row>
    <row r="12" spans="1:23" s="236" customFormat="1" x14ac:dyDescent="0.25">
      <c r="A12" s="237" t="str">
        <f>name!E$7</f>
        <v>Administrative and secretarial occupations</v>
      </c>
      <c r="B12" s="249">
        <f t="shared" si="3"/>
        <v>33.384017282519274</v>
      </c>
      <c r="C12" s="249">
        <f t="shared" si="3"/>
        <v>24.630183111958118</v>
      </c>
      <c r="D12" s="249">
        <f t="shared" si="3"/>
        <v>2.1237523413864938</v>
      </c>
      <c r="E12" s="249">
        <f t="shared" si="4"/>
        <v>60.137952735863884</v>
      </c>
      <c r="F12" s="238"/>
      <c r="G12" s="249">
        <f t="shared" ref="G12:I12" si="11">SUM(G29,G46,G63,G80,G97,G114,G131,G148,G165,G182,G199,G216,G233,G250,G267,G284,G301,G318,G335,G352,G369,G386)</f>
        <v>31.524575397802167</v>
      </c>
      <c r="H12" s="249">
        <f t="shared" si="11"/>
        <v>23.339216224237727</v>
      </c>
      <c r="I12" s="249">
        <f t="shared" si="11"/>
        <v>1.6146086611746686</v>
      </c>
      <c r="J12" s="249">
        <f t="shared" si="6"/>
        <v>56.478400283214569</v>
      </c>
      <c r="K12" s="238"/>
      <c r="L12" s="249">
        <f t="shared" ref="L12:N12" si="12">SUM(L29,L46,L63,L80,L97,L114,L131,L148,L165,L182,L199,L216,L233,L250,L267,L284,L301,L318,L335,L352,L369,L386)</f>
        <v>31.591179016438865</v>
      </c>
      <c r="M12" s="249">
        <f t="shared" si="12"/>
        <v>20.525634016161874</v>
      </c>
      <c r="N12" s="249">
        <f t="shared" si="12"/>
        <v>1.4104578634164706</v>
      </c>
      <c r="O12" s="249">
        <f t="shared" si="8"/>
        <v>53.527270896017207</v>
      </c>
      <c r="T12" s="249"/>
      <c r="V12" s="249"/>
    </row>
    <row r="13" spans="1:23" s="236" customFormat="1" x14ac:dyDescent="0.25">
      <c r="A13" s="237" t="str">
        <f>name!E$8</f>
        <v>Skilled trades occupations</v>
      </c>
      <c r="B13" s="249">
        <f t="shared" si="3"/>
        <v>41.123298791113136</v>
      </c>
      <c r="C13" s="249">
        <f t="shared" si="3"/>
        <v>5.0380135682616238</v>
      </c>
      <c r="D13" s="249">
        <f t="shared" si="3"/>
        <v>15.137415435555575</v>
      </c>
      <c r="E13" s="249">
        <f t="shared" si="4"/>
        <v>61.298727794930336</v>
      </c>
      <c r="F13" s="238"/>
      <c r="G13" s="249">
        <f t="shared" ref="G13:I13" si="13">SUM(G30,G47,G64,G81,G98,G115,G132,G149,G166,G183,G200,G217,G234,G251,G268,G285,G302,G319,G336,G353,G370,G387)</f>
        <v>31.592653387191223</v>
      </c>
      <c r="H13" s="249">
        <f t="shared" si="13"/>
        <v>4.2057401110957118</v>
      </c>
      <c r="I13" s="249">
        <f t="shared" si="13"/>
        <v>16.434453600766044</v>
      </c>
      <c r="J13" s="249">
        <f t="shared" si="6"/>
        <v>52.232847099052975</v>
      </c>
      <c r="K13" s="238"/>
      <c r="L13" s="249">
        <f t="shared" ref="L13:N13" si="14">SUM(L30,L47,L64,L81,L98,L115,L132,L149,L166,L183,L200,L217,L234,L251,L268,L285,L302,L319,L336,L353,L370,L387)</f>
        <v>25.117956227388458</v>
      </c>
      <c r="M13" s="249">
        <f t="shared" si="14"/>
        <v>4.9505446300954539</v>
      </c>
      <c r="N13" s="249">
        <f t="shared" si="14"/>
        <v>16.694422870269651</v>
      </c>
      <c r="O13" s="249">
        <f t="shared" si="8"/>
        <v>46.762923727753559</v>
      </c>
      <c r="T13" s="249"/>
      <c r="V13" s="249"/>
    </row>
    <row r="14" spans="1:23" s="236" customFormat="1" x14ac:dyDescent="0.25">
      <c r="A14" s="237" t="str">
        <f>name!E$9</f>
        <v>Caring, leisure and other service occupations</v>
      </c>
      <c r="B14" s="249">
        <f t="shared" si="3"/>
        <v>23.908597302848044</v>
      </c>
      <c r="C14" s="249">
        <f t="shared" si="3"/>
        <v>22.38220906091378</v>
      </c>
      <c r="D14" s="249">
        <f t="shared" si="3"/>
        <v>4.187386264924692</v>
      </c>
      <c r="E14" s="249">
        <f t="shared" si="4"/>
        <v>50.478192628686514</v>
      </c>
      <c r="F14" s="238"/>
      <c r="G14" s="249">
        <f t="shared" ref="G14:I14" si="15">SUM(G31,G48,G65,G82,G99,G116,G133,G150,G167,G184,G201,G218,G235,G252,G269,G286,G303,G320,G337,G354,G371,G388)</f>
        <v>23.71483590244987</v>
      </c>
      <c r="H14" s="249">
        <f t="shared" si="15"/>
        <v>22.161845733001076</v>
      </c>
      <c r="I14" s="249">
        <f t="shared" si="15"/>
        <v>3.4612747906834804</v>
      </c>
      <c r="J14" s="249">
        <f t="shared" si="6"/>
        <v>49.337956426134433</v>
      </c>
      <c r="K14" s="238"/>
      <c r="L14" s="249">
        <f t="shared" ref="L14:N14" si="16">SUM(L31,L48,L65,L82,L99,L116,L133,L150,L167,L184,L201,L218,L235,L252,L269,L286,L303,L320,L337,L354,L371,L388)</f>
        <v>27.43416251674244</v>
      </c>
      <c r="M14" s="249">
        <f t="shared" si="16"/>
        <v>22.070126185350993</v>
      </c>
      <c r="N14" s="249">
        <f t="shared" si="16"/>
        <v>4.4154026286537169</v>
      </c>
      <c r="O14" s="249">
        <f t="shared" si="8"/>
        <v>53.919691330747149</v>
      </c>
      <c r="T14" s="249"/>
      <c r="V14" s="249"/>
    </row>
    <row r="15" spans="1:23" s="236" customFormat="1" x14ac:dyDescent="0.25">
      <c r="A15" s="237" t="str">
        <f>name!E$10</f>
        <v>Sales and customer service occupations</v>
      </c>
      <c r="B15" s="249">
        <f t="shared" si="3"/>
        <v>15.417470265024591</v>
      </c>
      <c r="C15" s="249">
        <f t="shared" si="3"/>
        <v>25.392019047392633</v>
      </c>
      <c r="D15" s="249">
        <f t="shared" si="3"/>
        <v>2.5030015296730297</v>
      </c>
      <c r="E15" s="249">
        <f t="shared" si="4"/>
        <v>43.312490842090256</v>
      </c>
      <c r="F15" s="238"/>
      <c r="G15" s="249">
        <f t="shared" ref="G15:I15" si="17">SUM(G32,G49,G66,G83,G100,G117,G134,G151,G168,G185,G202,G219,G236,G253,G270,G287,G304,G321,G338,G355,G372,G389)</f>
        <v>13.698547629359791</v>
      </c>
      <c r="H15" s="249">
        <f t="shared" si="17"/>
        <v>24.073030364519521</v>
      </c>
      <c r="I15" s="249">
        <f t="shared" si="17"/>
        <v>1.5682079469137955</v>
      </c>
      <c r="J15" s="249">
        <f t="shared" si="6"/>
        <v>39.339785940793107</v>
      </c>
      <c r="K15" s="238"/>
      <c r="L15" s="249">
        <f t="shared" ref="L15:N15" si="18">SUM(L32,L49,L66,L83,L100,L117,L134,L151,L168,L185,L202,L219,L236,L253,L270,L287,L304,L321,L338,L355,L372,L389)</f>
        <v>13.657207584313612</v>
      </c>
      <c r="M15" s="249">
        <f t="shared" si="18"/>
        <v>24.162821852635719</v>
      </c>
      <c r="N15" s="249">
        <f t="shared" si="18"/>
        <v>1.2610533671002429</v>
      </c>
      <c r="O15" s="249">
        <f t="shared" si="8"/>
        <v>39.081082804049579</v>
      </c>
      <c r="T15" s="249"/>
      <c r="V15" s="249"/>
    </row>
    <row r="16" spans="1:23" s="236" customFormat="1" x14ac:dyDescent="0.25">
      <c r="A16" s="237" t="str">
        <f>name!E$11</f>
        <v>Process, plant and machine operatives</v>
      </c>
      <c r="B16" s="249">
        <f t="shared" si="3"/>
        <v>36.785480741297256</v>
      </c>
      <c r="C16" s="249">
        <f t="shared" si="3"/>
        <v>4.8615916492614213</v>
      </c>
      <c r="D16" s="249">
        <f t="shared" si="3"/>
        <v>5.4936116692184145</v>
      </c>
      <c r="E16" s="249">
        <f t="shared" si="4"/>
        <v>47.140684059777094</v>
      </c>
      <c r="F16" s="238"/>
      <c r="G16" s="249">
        <f t="shared" ref="G16:I16" si="19">SUM(G33,G50,G67,G84,G101,G118,G135,G152,G169,G186,G203,G220,G237,G254,G271,G288,G305,G322,G339,G356,G373,G390)</f>
        <v>27.940222216185958</v>
      </c>
      <c r="H16" s="249">
        <f t="shared" si="19"/>
        <v>6.2826529822694814</v>
      </c>
      <c r="I16" s="249">
        <f t="shared" si="19"/>
        <v>6.1354991075426115</v>
      </c>
      <c r="J16" s="249">
        <f t="shared" si="6"/>
        <v>40.358374305998055</v>
      </c>
      <c r="K16" s="238"/>
      <c r="L16" s="249">
        <f t="shared" ref="L16:N16" si="20">SUM(L33,L50,L67,L84,L101,L118,L135,L152,L169,L186,L203,L220,L237,L254,L271,L288,L305,L322,L339,L356,L373,L390)</f>
        <v>25.388529038895165</v>
      </c>
      <c r="M16" s="249">
        <f t="shared" si="20"/>
        <v>7.283937976015876</v>
      </c>
      <c r="N16" s="249">
        <f t="shared" si="20"/>
        <v>7.5272707176983209</v>
      </c>
      <c r="O16" s="249">
        <f t="shared" si="8"/>
        <v>40.199737732609364</v>
      </c>
      <c r="T16" s="249"/>
      <c r="V16" s="249"/>
    </row>
    <row r="17" spans="1:15" s="236" customFormat="1" x14ac:dyDescent="0.25">
      <c r="A17" s="237" t="str">
        <f>name!E$12</f>
        <v>Elementary occupations</v>
      </c>
      <c r="B17" s="249">
        <f t="shared" si="3"/>
        <v>25.568732646467684</v>
      </c>
      <c r="C17" s="249">
        <f t="shared" si="3"/>
        <v>25.826809890534861</v>
      </c>
      <c r="D17" s="249">
        <f t="shared" si="3"/>
        <v>5.5643957770523169</v>
      </c>
      <c r="E17" s="249">
        <f t="shared" si="4"/>
        <v>56.95993831405486</v>
      </c>
      <c r="F17" s="238"/>
      <c r="G17" s="249">
        <f t="shared" ref="G17:I17" si="21">SUM(G34,G51,G68,G85,G102,G119,G136,G153,G170,G187,G204,G221,G238,G255,G272,G289,G306,G323,G340,G357,G374,G391)</f>
        <v>19.557269848610286</v>
      </c>
      <c r="H17" s="249">
        <f t="shared" si="21"/>
        <v>22.027755116136468</v>
      </c>
      <c r="I17" s="249">
        <f t="shared" si="21"/>
        <v>4.7018082373451282</v>
      </c>
      <c r="J17" s="249">
        <f t="shared" si="6"/>
        <v>46.286833202091877</v>
      </c>
      <c r="K17" s="238"/>
      <c r="L17" s="249">
        <f t="shared" ref="L17:N17" si="22">SUM(L34,L51,L68,L85,L102,L119,L136,L153,L170,L187,L204,L221,L238,L255,L272,L289,L306,L323,L340,L357,L374,L391)</f>
        <v>21.077674900787802</v>
      </c>
      <c r="M17" s="249">
        <f t="shared" si="22"/>
        <v>18.865557604007254</v>
      </c>
      <c r="N17" s="249">
        <f t="shared" si="22"/>
        <v>6.0347195665437878</v>
      </c>
      <c r="O17" s="249">
        <f t="shared" si="8"/>
        <v>45.977952071338841</v>
      </c>
    </row>
    <row r="18" spans="1:15" s="236" customFormat="1" x14ac:dyDescent="0.25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5">
      <c r="A19" s="244" t="s">
        <v>33</v>
      </c>
      <c r="B19" s="247">
        <f>SUM(B9:B17)</f>
        <v>305.51550597634093</v>
      </c>
      <c r="C19" s="247">
        <f t="shared" ref="C19:O19" si="23">SUM(C9:C17)</f>
        <v>141.35880939661899</v>
      </c>
      <c r="D19" s="247">
        <f t="shared" si="23"/>
        <v>58.687684627040177</v>
      </c>
      <c r="E19" s="247">
        <f t="shared" si="23"/>
        <v>505.56200000000001</v>
      </c>
      <c r="F19" s="247"/>
      <c r="G19" s="247">
        <f t="shared" si="23"/>
        <v>292.92291710684299</v>
      </c>
      <c r="H19" s="247">
        <f t="shared" si="23"/>
        <v>144.10269794991848</v>
      </c>
      <c r="I19" s="247">
        <f t="shared" si="23"/>
        <v>59.168384943238514</v>
      </c>
      <c r="J19" s="247">
        <f t="shared" si="23"/>
        <v>496.19399999999996</v>
      </c>
      <c r="K19" s="247"/>
      <c r="L19" s="247">
        <f t="shared" si="23"/>
        <v>309.62865466793806</v>
      </c>
      <c r="M19" s="247">
        <f t="shared" si="23"/>
        <v>149.54413524012077</v>
      </c>
      <c r="N19" s="247">
        <f t="shared" si="23"/>
        <v>62.771210091940816</v>
      </c>
      <c r="O19" s="247">
        <f t="shared" si="23"/>
        <v>521.94399999999962</v>
      </c>
    </row>
    <row r="20" spans="1:15" s="236" customFormat="1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ht="13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ht="13" x14ac:dyDescent="0.3">
      <c r="A23" s="241" t="str">
        <f>name!B4</f>
        <v>Agriculture</v>
      </c>
      <c r="B23" s="378">
        <f>$B$6</f>
        <v>2015</v>
      </c>
      <c r="C23" s="378"/>
      <c r="D23" s="378"/>
      <c r="E23" s="378"/>
      <c r="F23" s="263"/>
      <c r="G23" s="378">
        <f>$G$6</f>
        <v>2020</v>
      </c>
      <c r="H23" s="378"/>
      <c r="I23" s="378"/>
      <c r="J23" s="378"/>
      <c r="K23" s="263"/>
      <c r="L23" s="378">
        <f>$L$6</f>
        <v>2035</v>
      </c>
      <c r="M23" s="378"/>
      <c r="N23" s="378"/>
      <c r="O23" s="378"/>
    </row>
    <row r="24" spans="1:15" s="236" customFormat="1" ht="13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ht="13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5">
      <c r="A26" s="237" t="str">
        <f>name!E$4</f>
        <v>Managers, directors and senior officials</v>
      </c>
      <c r="B26" s="302">
        <v>0.10012684226140504</v>
      </c>
      <c r="C26" s="302">
        <v>1.8717321347695763E-2</v>
      </c>
      <c r="D26" s="302">
        <v>3.7297490719259835E-2</v>
      </c>
      <c r="E26" s="302">
        <f>SUM(B26:D26)</f>
        <v>0.15614165432836064</v>
      </c>
      <c r="F26" s="303"/>
      <c r="G26" s="302">
        <v>5.4069380488192507E-2</v>
      </c>
      <c r="H26" s="302">
        <v>1.2128595833526469E-3</v>
      </c>
      <c r="I26" s="302">
        <v>1.95798256466337E-2</v>
      </c>
      <c r="J26" s="302">
        <f>SUM(G26:I26)</f>
        <v>7.4862065718178855E-2</v>
      </c>
      <c r="K26" s="303"/>
      <c r="L26" s="302">
        <v>6.6437270599881512E-2</v>
      </c>
      <c r="M26" s="302">
        <v>9.5451370787039212E-4</v>
      </c>
      <c r="N26" s="302">
        <v>2.1892678355188485E-2</v>
      </c>
      <c r="O26" s="302">
        <f>SUM(L26:N26)</f>
        <v>8.9284462662940392E-2</v>
      </c>
    </row>
    <row r="27" spans="1:15" s="236" customFormat="1" x14ac:dyDescent="0.25">
      <c r="A27" s="237" t="str">
        <f>name!E$5</f>
        <v>Professional occupations</v>
      </c>
      <c r="B27" s="302">
        <v>0.10993314683810694</v>
      </c>
      <c r="C27" s="302">
        <v>1.0327540307503706E-2</v>
      </c>
      <c r="D27" s="302">
        <v>9.355667237028905E-3</v>
      </c>
      <c r="E27" s="302">
        <f t="shared" ref="E27:E34" si="24">SUM(B27:D27)</f>
        <v>0.12961635438263955</v>
      </c>
      <c r="F27" s="303"/>
      <c r="G27" s="302">
        <v>8.0883127038692243E-2</v>
      </c>
      <c r="H27" s="302">
        <v>7.3633750688861604E-4</v>
      </c>
      <c r="I27" s="302">
        <v>4.4993523248638536E-3</v>
      </c>
      <c r="J27" s="302">
        <f t="shared" ref="J27:J34" si="25">SUM(G27:I27)</f>
        <v>8.6118816870444717E-2</v>
      </c>
      <c r="K27" s="303"/>
      <c r="L27" s="302">
        <v>0.15978457792976897</v>
      </c>
      <c r="M27" s="302">
        <v>8.1585197227753033E-4</v>
      </c>
      <c r="N27" s="302">
        <v>4.5698087411763918E-3</v>
      </c>
      <c r="O27" s="302">
        <f t="shared" ref="O27:O34" si="26">SUM(L27:N27)</f>
        <v>0.16517023864322289</v>
      </c>
    </row>
    <row r="28" spans="1:15" s="236" customFormat="1" x14ac:dyDescent="0.25">
      <c r="A28" s="237" t="str">
        <f>name!E$6</f>
        <v>Associate professional occupations</v>
      </c>
      <c r="B28" s="302">
        <v>8.5195211236168092E-2</v>
      </c>
      <c r="C28" s="302">
        <v>1.2969458337044826E-2</v>
      </c>
      <c r="D28" s="302">
        <v>4.213185158296987E-3</v>
      </c>
      <c r="E28" s="302">
        <f t="shared" si="24"/>
        <v>0.1023778547315099</v>
      </c>
      <c r="F28" s="303"/>
      <c r="G28" s="302">
        <v>5.4894400351858295E-2</v>
      </c>
      <c r="H28" s="302">
        <v>7.2830101482963025E-4</v>
      </c>
      <c r="I28" s="302">
        <v>2.0370249921120784E-3</v>
      </c>
      <c r="J28" s="302">
        <f t="shared" si="25"/>
        <v>5.7659726358800005E-2</v>
      </c>
      <c r="K28" s="303"/>
      <c r="L28" s="302">
        <v>8.0336683013348967E-2</v>
      </c>
      <c r="M28" s="302">
        <v>6.8780710807613769E-4</v>
      </c>
      <c r="N28" s="302">
        <v>2.8855294484771959E-3</v>
      </c>
      <c r="O28" s="302">
        <f t="shared" si="26"/>
        <v>8.3910019569902308E-2</v>
      </c>
    </row>
    <row r="29" spans="1:15" s="236" customFormat="1" x14ac:dyDescent="0.25">
      <c r="A29" s="237" t="str">
        <f>name!E$7</f>
        <v>Administrative and secretarial occupations</v>
      </c>
      <c r="B29" s="302">
        <v>0.10282180836233965</v>
      </c>
      <c r="C29" s="302">
        <v>8.9895551073467445E-2</v>
      </c>
      <c r="D29" s="302">
        <v>4.8150334719545551E-3</v>
      </c>
      <c r="E29" s="302">
        <f t="shared" si="24"/>
        <v>0.19753239290776164</v>
      </c>
      <c r="F29" s="303"/>
      <c r="G29" s="302">
        <v>6.1178724919821334E-2</v>
      </c>
      <c r="H29" s="302">
        <v>4.0994644304494154E-3</v>
      </c>
      <c r="I29" s="302">
        <v>3.5958016999341224E-3</v>
      </c>
      <c r="J29" s="302">
        <f t="shared" si="25"/>
        <v>6.8873991050204864E-2</v>
      </c>
      <c r="K29" s="303"/>
      <c r="L29" s="302">
        <v>6.5120548856310009E-2</v>
      </c>
      <c r="M29" s="302">
        <v>2.5768257636454611E-3</v>
      </c>
      <c r="N29" s="302">
        <v>2.366710468264927E-3</v>
      </c>
      <c r="O29" s="302">
        <f t="shared" si="26"/>
        <v>7.0064085088220387E-2</v>
      </c>
    </row>
    <row r="30" spans="1:15" s="236" customFormat="1" x14ac:dyDescent="0.25">
      <c r="A30" s="237" t="str">
        <f>name!E$8</f>
        <v>Skilled trades occupations</v>
      </c>
      <c r="B30" s="302">
        <v>0.34377159769976223</v>
      </c>
      <c r="C30" s="302">
        <v>0.12150406503098385</v>
      </c>
      <c r="D30" s="302">
        <v>1.1278628073334311</v>
      </c>
      <c r="E30" s="302">
        <f t="shared" si="24"/>
        <v>1.5931384700641771</v>
      </c>
      <c r="F30" s="303"/>
      <c r="G30" s="302">
        <v>0.12775423171104877</v>
      </c>
      <c r="H30" s="302">
        <v>4.1209767790361916E-3</v>
      </c>
      <c r="I30" s="302">
        <v>0.469069424890105</v>
      </c>
      <c r="J30" s="302">
        <f>SUM(G30:I30)</f>
        <v>0.60094463338019</v>
      </c>
      <c r="K30" s="303"/>
      <c r="L30" s="302">
        <v>0.10823321107705478</v>
      </c>
      <c r="M30" s="302">
        <v>4.1548411663782968E-3</v>
      </c>
      <c r="N30" s="302">
        <v>0.46199182018155061</v>
      </c>
      <c r="O30" s="302">
        <f t="shared" si="26"/>
        <v>0.57437987242498367</v>
      </c>
    </row>
    <row r="31" spans="1:15" s="236" customFormat="1" x14ac:dyDescent="0.25">
      <c r="A31" s="237" t="str">
        <f>name!E$9</f>
        <v>Caring, leisure and other service occupations</v>
      </c>
      <c r="B31" s="302">
        <v>9.0790293891649249E-2</v>
      </c>
      <c r="C31" s="302">
        <v>4.0749423044508078E-2</v>
      </c>
      <c r="D31" s="302">
        <v>8.8628514351936742E-3</v>
      </c>
      <c r="E31" s="302">
        <f t="shared" si="24"/>
        <v>0.14040256837135098</v>
      </c>
      <c r="F31" s="303"/>
      <c r="G31" s="302">
        <v>4.4214685751065387E-2</v>
      </c>
      <c r="H31" s="302">
        <v>1.9262208774985716E-3</v>
      </c>
      <c r="I31" s="302">
        <v>3.9930210621250302E-3</v>
      </c>
      <c r="J31" s="302">
        <f t="shared" si="25"/>
        <v>5.0133927690688987E-2</v>
      </c>
      <c r="K31" s="303"/>
      <c r="L31" s="302">
        <v>4.8780199721441708E-2</v>
      </c>
      <c r="M31" s="302">
        <v>1.2441828594456827E-3</v>
      </c>
      <c r="N31" s="302">
        <v>5.4047453564307251E-3</v>
      </c>
      <c r="O31" s="302">
        <f t="shared" si="26"/>
        <v>5.5429127937318121E-2</v>
      </c>
    </row>
    <row r="32" spans="1:15" s="236" customFormat="1" x14ac:dyDescent="0.25">
      <c r="A32" s="237" t="str">
        <f>name!E$10</f>
        <v>Sales and customer service occupations</v>
      </c>
      <c r="B32" s="302">
        <v>3.0241797927159298E-2</v>
      </c>
      <c r="C32" s="302">
        <v>2.0273791094795282E-2</v>
      </c>
      <c r="D32" s="302">
        <v>1.0472960721087575E-2</v>
      </c>
      <c r="E32" s="302">
        <f t="shared" si="24"/>
        <v>6.0988549743042152E-2</v>
      </c>
      <c r="F32" s="303"/>
      <c r="G32" s="302">
        <v>1.5420271484111158E-2</v>
      </c>
      <c r="H32" s="302">
        <v>8.8467594806218054E-4</v>
      </c>
      <c r="I32" s="302">
        <v>4.314372870194063E-3</v>
      </c>
      <c r="J32" s="302">
        <f t="shared" si="25"/>
        <v>2.0619320302367402E-2</v>
      </c>
      <c r="K32" s="303"/>
      <c r="L32" s="302">
        <v>1.7756550121074136E-2</v>
      </c>
      <c r="M32" s="302">
        <v>6.9472852166882948E-4</v>
      </c>
      <c r="N32" s="302">
        <v>3.3114215033500406E-3</v>
      </c>
      <c r="O32" s="302">
        <f t="shared" si="26"/>
        <v>2.1762700146093005E-2</v>
      </c>
    </row>
    <row r="33" spans="1:15" s="236" customFormat="1" x14ac:dyDescent="0.25">
      <c r="A33" s="237" t="str">
        <f>name!E$11</f>
        <v>Process, plant and machine operatives</v>
      </c>
      <c r="B33" s="302">
        <v>9.1355109442446986E-2</v>
      </c>
      <c r="C33" s="302">
        <v>2.3226666808011408E-2</v>
      </c>
      <c r="D33" s="302">
        <v>5.9668159352679936E-3</v>
      </c>
      <c r="E33" s="302">
        <f t="shared" si="24"/>
        <v>0.12054859218572639</v>
      </c>
      <c r="F33" s="303"/>
      <c r="G33" s="302">
        <v>3.1172302762976032E-2</v>
      </c>
      <c r="H33" s="302">
        <v>9.7715351254085755E-4</v>
      </c>
      <c r="I33" s="302">
        <v>3.0148184756104033E-3</v>
      </c>
      <c r="J33" s="302">
        <f t="shared" si="25"/>
        <v>3.5164274751127288E-2</v>
      </c>
      <c r="K33" s="303"/>
      <c r="L33" s="302">
        <v>2.2694441733276682E-2</v>
      </c>
      <c r="M33" s="302">
        <v>1.2733784376208401E-3</v>
      </c>
      <c r="N33" s="302">
        <v>5.3156025760163457E-3</v>
      </c>
      <c r="O33" s="302">
        <f t="shared" si="26"/>
        <v>2.9283422746913867E-2</v>
      </c>
    </row>
    <row r="34" spans="1:15" s="236" customFormat="1" x14ac:dyDescent="0.25">
      <c r="A34" s="237" t="str">
        <f>name!E$12</f>
        <v>Elementary occupations</v>
      </c>
      <c r="B34" s="302">
        <v>0.29529939056016147</v>
      </c>
      <c r="C34" s="302">
        <v>0.11359937163149139</v>
      </c>
      <c r="D34" s="302">
        <v>5.5354801093774622E-2</v>
      </c>
      <c r="E34" s="302">
        <f t="shared" si="24"/>
        <v>0.4642535632854275</v>
      </c>
      <c r="F34" s="303"/>
      <c r="G34" s="302">
        <v>9.7544804984460429E-2</v>
      </c>
      <c r="H34" s="302">
        <v>4.3817995067005205E-3</v>
      </c>
      <c r="I34" s="302">
        <v>1.8696639386836047E-2</v>
      </c>
      <c r="J34" s="302">
        <f t="shared" si="25"/>
        <v>0.120623243877997</v>
      </c>
      <c r="K34" s="303"/>
      <c r="L34" s="302">
        <v>8.9789531916625628E-2</v>
      </c>
      <c r="M34" s="302">
        <v>7.2447222920747319E-3</v>
      </c>
      <c r="N34" s="302">
        <v>2.8681816571703812E-2</v>
      </c>
      <c r="O34" s="302">
        <f t="shared" si="26"/>
        <v>0.12571607078040417</v>
      </c>
    </row>
    <row r="35" spans="1:15" s="236" customFormat="1" x14ac:dyDescent="0.25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5">
      <c r="A36" s="244" t="s">
        <v>33</v>
      </c>
      <c r="B36" s="311">
        <f>SUM(B26:B34)</f>
        <v>1.2495351982191991</v>
      </c>
      <c r="C36" s="311">
        <f t="shared" ref="C36:O36" si="27">SUM(C26:C34)</f>
        <v>0.45126318867550175</v>
      </c>
      <c r="D36" s="311">
        <f t="shared" si="27"/>
        <v>1.2642016131052951</v>
      </c>
      <c r="E36" s="311">
        <f t="shared" si="27"/>
        <v>2.9649999999999959</v>
      </c>
      <c r="F36" s="311"/>
      <c r="G36" s="311">
        <f t="shared" si="27"/>
        <v>0.56713192949222624</v>
      </c>
      <c r="H36" s="311">
        <f t="shared" si="27"/>
        <v>1.9067789159358632E-2</v>
      </c>
      <c r="I36" s="311">
        <f t="shared" si="27"/>
        <v>0.52880028134841428</v>
      </c>
      <c r="J36" s="311">
        <f t="shared" si="27"/>
        <v>1.1149999999999991</v>
      </c>
      <c r="K36" s="311"/>
      <c r="L36" s="311">
        <f t="shared" si="27"/>
        <v>0.65893301496878243</v>
      </c>
      <c r="M36" s="311">
        <f t="shared" si="27"/>
        <v>1.9646851829057902E-2</v>
      </c>
      <c r="N36" s="311">
        <f t="shared" si="27"/>
        <v>0.53642013320215853</v>
      </c>
      <c r="O36" s="311">
        <f t="shared" si="27"/>
        <v>1.2149999999999985</v>
      </c>
    </row>
    <row r="37" spans="1:15" s="236" customFormat="1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ht="13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ht="13" x14ac:dyDescent="0.3">
      <c r="A40" s="241" t="str">
        <f>name!B5</f>
        <v>Mining and quarrying</v>
      </c>
      <c r="B40" s="378">
        <f>$B$6</f>
        <v>2015</v>
      </c>
      <c r="C40" s="378"/>
      <c r="D40" s="378"/>
      <c r="E40" s="378"/>
      <c r="F40" s="263"/>
      <c r="G40" s="378">
        <f>$G$6</f>
        <v>2020</v>
      </c>
      <c r="H40" s="378"/>
      <c r="I40" s="378"/>
      <c r="J40" s="378"/>
      <c r="K40" s="263"/>
      <c r="L40" s="378">
        <f>$L$6</f>
        <v>2035</v>
      </c>
      <c r="M40" s="378"/>
      <c r="N40" s="378"/>
      <c r="O40" s="378"/>
    </row>
    <row r="41" spans="1:15" s="236" customFormat="1" ht="13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ht="13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5">
      <c r="A43" s="237" t="str">
        <f>name!E$4</f>
        <v>Managers, directors and senior officials</v>
      </c>
      <c r="B43" s="302">
        <v>1.2441758001809812E-2</v>
      </c>
      <c r="C43" s="302">
        <v>5.2433814197273124E-5</v>
      </c>
      <c r="D43" s="302">
        <v>1.0051389879507157E-2</v>
      </c>
      <c r="E43" s="302">
        <f>SUM(B43:D43)</f>
        <v>2.2545581695514242E-2</v>
      </c>
      <c r="F43" s="303"/>
      <c r="G43" s="302">
        <v>2.7931224143539386E-2</v>
      </c>
      <c r="H43" s="302">
        <v>3.5220405360293335E-4</v>
      </c>
      <c r="I43" s="302">
        <v>0</v>
      </c>
      <c r="J43" s="302">
        <f>SUM(G43:I43)</f>
        <v>2.8283428197142319E-2</v>
      </c>
      <c r="K43" s="303"/>
      <c r="L43" s="302">
        <v>1.2123929640237457E-2</v>
      </c>
      <c r="M43" s="302">
        <v>1.7579805337178053E-4</v>
      </c>
      <c r="N43" s="302">
        <v>0</v>
      </c>
      <c r="O43" s="302">
        <f>SUM(L43:N43)</f>
        <v>1.2299727693609238E-2</v>
      </c>
    </row>
    <row r="44" spans="1:15" s="236" customFormat="1" x14ac:dyDescent="0.25">
      <c r="A44" s="237" t="str">
        <f>name!E$5</f>
        <v>Professional occupations</v>
      </c>
      <c r="B44" s="302">
        <v>1.3722672258455099E-2</v>
      </c>
      <c r="C44" s="302">
        <v>2.0598408510678388E-4</v>
      </c>
      <c r="D44" s="302">
        <v>7.6847186721759669E-3</v>
      </c>
      <c r="E44" s="302">
        <f t="shared" ref="E44:E51" si="28">SUM(B44:D44)</f>
        <v>2.1613375015737849E-2</v>
      </c>
      <c r="F44" s="303"/>
      <c r="G44" s="302">
        <v>3.0370048188825088E-2</v>
      </c>
      <c r="H44" s="302">
        <v>8.9926301828317974E-4</v>
      </c>
      <c r="I44" s="302">
        <v>0</v>
      </c>
      <c r="J44" s="302">
        <f t="shared" ref="J44:J46" si="29">SUM(G44:I44)</f>
        <v>3.1269311207108269E-2</v>
      </c>
      <c r="K44" s="303"/>
      <c r="L44" s="302">
        <v>1.5022550608924662E-2</v>
      </c>
      <c r="M44" s="302">
        <v>4.3875945043253881E-4</v>
      </c>
      <c r="N44" s="302">
        <v>0</v>
      </c>
      <c r="O44" s="302">
        <f t="shared" ref="O44:O51" si="30">SUM(L44:N44)</f>
        <v>1.54613100593572E-2</v>
      </c>
    </row>
    <row r="45" spans="1:15" s="236" customFormat="1" x14ac:dyDescent="0.25">
      <c r="A45" s="237" t="str">
        <f>name!E$6</f>
        <v>Associate professional occupations</v>
      </c>
      <c r="B45" s="302">
        <v>1.0685792895927878E-2</v>
      </c>
      <c r="C45" s="302">
        <v>1.2829841107039625E-4</v>
      </c>
      <c r="D45" s="302">
        <v>4.3706222336457635E-3</v>
      </c>
      <c r="E45" s="302">
        <f t="shared" si="28"/>
        <v>1.5184713540644039E-2</v>
      </c>
      <c r="F45" s="303"/>
      <c r="G45" s="302">
        <v>2.747087872576124E-2</v>
      </c>
      <c r="H45" s="302">
        <v>5.2097859159094915E-4</v>
      </c>
      <c r="I45" s="302">
        <v>0</v>
      </c>
      <c r="J45" s="302">
        <f t="shared" si="29"/>
        <v>2.7991857317352188E-2</v>
      </c>
      <c r="K45" s="303"/>
      <c r="L45" s="302">
        <v>1.2172142840514859E-2</v>
      </c>
      <c r="M45" s="302">
        <v>2.2676069964198774E-4</v>
      </c>
      <c r="N45" s="302">
        <v>0</v>
      </c>
      <c r="O45" s="302">
        <f t="shared" si="30"/>
        <v>1.2398903540156847E-2</v>
      </c>
    </row>
    <row r="46" spans="1:15" s="236" customFormat="1" x14ac:dyDescent="0.25">
      <c r="A46" s="237" t="str">
        <f>name!E$7</f>
        <v>Administrative and secretarial occupations</v>
      </c>
      <c r="B46" s="302">
        <v>1.7959337828748053E-3</v>
      </c>
      <c r="C46" s="302">
        <v>2.6254920956011269E-4</v>
      </c>
      <c r="D46" s="302">
        <v>2.0376736595088983E-3</v>
      </c>
      <c r="E46" s="302">
        <f t="shared" si="28"/>
        <v>4.0961566519438167E-3</v>
      </c>
      <c r="F46" s="303"/>
      <c r="G46" s="302">
        <v>8.8602063882325909E-3</v>
      </c>
      <c r="H46" s="302">
        <v>7.5937714980899777E-4</v>
      </c>
      <c r="I46" s="302">
        <v>0</v>
      </c>
      <c r="J46" s="302">
        <f t="shared" si="29"/>
        <v>9.619583538041588E-3</v>
      </c>
      <c r="K46" s="303"/>
      <c r="L46" s="302">
        <v>3.8712081458933435E-3</v>
      </c>
      <c r="M46" s="302">
        <v>2.8153781823428474E-4</v>
      </c>
      <c r="N46" s="302">
        <v>0</v>
      </c>
      <c r="O46" s="302">
        <f t="shared" si="30"/>
        <v>4.1527459641276286E-3</v>
      </c>
    </row>
    <row r="47" spans="1:15" s="236" customFormat="1" x14ac:dyDescent="0.25">
      <c r="A47" s="237" t="str">
        <f>name!E$8</f>
        <v>Skilled trades occupations</v>
      </c>
      <c r="B47" s="302">
        <v>1.8164462160398267E-2</v>
      </c>
      <c r="C47" s="302">
        <v>4.7256682282723228E-5</v>
      </c>
      <c r="D47" s="302">
        <v>1.9061353539284974E-2</v>
      </c>
      <c r="E47" s="302">
        <f t="shared" si="28"/>
        <v>3.7273072381965963E-2</v>
      </c>
      <c r="F47" s="303"/>
      <c r="G47" s="302">
        <v>2.9018498966770355E-2</v>
      </c>
      <c r="H47" s="302">
        <v>2.1618211323059267E-4</v>
      </c>
      <c r="I47" s="302">
        <v>0</v>
      </c>
      <c r="J47" s="302">
        <f>SUM(G47:I47)</f>
        <v>2.9234681080000949E-2</v>
      </c>
      <c r="K47" s="303"/>
      <c r="L47" s="302">
        <v>9.5850256540834598E-3</v>
      </c>
      <c r="M47" s="302">
        <v>1.7903195941878231E-4</v>
      </c>
      <c r="N47" s="302">
        <v>0</v>
      </c>
      <c r="O47" s="302">
        <f t="shared" si="30"/>
        <v>9.7640576135022417E-3</v>
      </c>
    </row>
    <row r="48" spans="1:15" s="236" customFormat="1" x14ac:dyDescent="0.25">
      <c r="A48" s="237" t="str">
        <f>name!E$9</f>
        <v>Caring, leisure and other service occupations</v>
      </c>
      <c r="B48" s="302">
        <v>2.4612581141613488E-3</v>
      </c>
      <c r="C48" s="302">
        <v>2.5350687147500378E-4</v>
      </c>
      <c r="D48" s="302">
        <v>6.0580583184498705E-4</v>
      </c>
      <c r="E48" s="302">
        <f t="shared" si="28"/>
        <v>3.3205708174813397E-3</v>
      </c>
      <c r="F48" s="303"/>
      <c r="G48" s="302">
        <v>3.3634956376107977E-3</v>
      </c>
      <c r="H48" s="302">
        <v>7.0002826025614433E-4</v>
      </c>
      <c r="I48" s="302">
        <v>0</v>
      </c>
      <c r="J48" s="302">
        <f t="shared" ref="J48:J51" si="31">SUM(G48:I48)</f>
        <v>4.0635238978669417E-3</v>
      </c>
      <c r="K48" s="303"/>
      <c r="L48" s="302">
        <v>1.2633937833541459E-3</v>
      </c>
      <c r="M48" s="302">
        <v>2.4144096252134487E-4</v>
      </c>
      <c r="N48" s="302">
        <v>0</v>
      </c>
      <c r="O48" s="302">
        <f t="shared" si="30"/>
        <v>1.5048347458754907E-3</v>
      </c>
    </row>
    <row r="49" spans="1:15" s="236" customFormat="1" x14ac:dyDescent="0.25">
      <c r="A49" s="237" t="str">
        <f>name!E$10</f>
        <v>Sales and customer service occupations</v>
      </c>
      <c r="B49" s="302">
        <v>1.5572751652870736E-3</v>
      </c>
      <c r="C49" s="302">
        <v>2.8539328130527974E-4</v>
      </c>
      <c r="D49" s="302">
        <v>1.447476625848404E-3</v>
      </c>
      <c r="E49" s="302">
        <f t="shared" si="28"/>
        <v>3.2901450724407573E-3</v>
      </c>
      <c r="F49" s="303"/>
      <c r="G49" s="302">
        <v>3.4492304551169304E-3</v>
      </c>
      <c r="H49" s="302">
        <v>8.3256547848788122E-4</v>
      </c>
      <c r="I49" s="302">
        <v>0</v>
      </c>
      <c r="J49" s="302">
        <f t="shared" si="31"/>
        <v>4.2817959336048112E-3</v>
      </c>
      <c r="K49" s="303"/>
      <c r="L49" s="302">
        <v>1.536618834056692E-3</v>
      </c>
      <c r="M49" s="302">
        <v>3.6456658991184429E-4</v>
      </c>
      <c r="N49" s="302">
        <v>0</v>
      </c>
      <c r="O49" s="302">
        <f t="shared" si="30"/>
        <v>1.9011854239685362E-3</v>
      </c>
    </row>
    <row r="50" spans="1:15" s="236" customFormat="1" x14ac:dyDescent="0.25">
      <c r="A50" s="237" t="str">
        <f>name!E$11</f>
        <v>Process, plant and machine operatives</v>
      </c>
      <c r="B50" s="302">
        <v>1.2515994455980575E-2</v>
      </c>
      <c r="C50" s="302">
        <v>6.6319278958667255E-5</v>
      </c>
      <c r="D50" s="302">
        <v>1.1789448713324081E-2</v>
      </c>
      <c r="E50" s="302">
        <f t="shared" si="28"/>
        <v>2.4371762448263324E-2</v>
      </c>
      <c r="F50" s="303"/>
      <c r="G50" s="302">
        <v>1.7545454711268383E-2</v>
      </c>
      <c r="H50" s="302">
        <v>5.460231786733337E-4</v>
      </c>
      <c r="I50" s="302">
        <v>0</v>
      </c>
      <c r="J50" s="302">
        <f t="shared" si="31"/>
        <v>1.8091477889941716E-2</v>
      </c>
      <c r="K50" s="303"/>
      <c r="L50" s="302">
        <v>4.615243419459741E-3</v>
      </c>
      <c r="M50" s="302">
        <v>2.7045355141028249E-4</v>
      </c>
      <c r="N50" s="302">
        <v>0</v>
      </c>
      <c r="O50" s="302">
        <f t="shared" si="30"/>
        <v>4.8856969708700234E-3</v>
      </c>
    </row>
    <row r="51" spans="1:15" s="236" customFormat="1" x14ac:dyDescent="0.25">
      <c r="A51" s="237" t="str">
        <f>name!E$12</f>
        <v>Elementary occupations</v>
      </c>
      <c r="B51" s="302">
        <v>1.2516911100462508E-3</v>
      </c>
      <c r="C51" s="302">
        <v>2.9904887989266817E-4</v>
      </c>
      <c r="D51" s="302">
        <v>2.8753882386070021E-2</v>
      </c>
      <c r="E51" s="302">
        <f t="shared" si="28"/>
        <v>3.0304622376008939E-2</v>
      </c>
      <c r="F51" s="303"/>
      <c r="G51" s="302">
        <v>1.4737936036200384E-3</v>
      </c>
      <c r="H51" s="302">
        <v>6.9054733532144706E-4</v>
      </c>
      <c r="I51" s="302">
        <v>0</v>
      </c>
      <c r="J51" s="302">
        <f t="shared" si="31"/>
        <v>2.1643409389414856E-3</v>
      </c>
      <c r="K51" s="303"/>
      <c r="L51" s="302">
        <v>3.5108395118273904E-4</v>
      </c>
      <c r="M51" s="302">
        <v>2.8045403735005075E-4</v>
      </c>
      <c r="N51" s="302">
        <v>0</v>
      </c>
      <c r="O51" s="302">
        <f t="shared" si="30"/>
        <v>6.3153798853278985E-4</v>
      </c>
    </row>
    <row r="52" spans="1:15" s="236" customFormat="1" x14ac:dyDescent="0.25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5">
      <c r="A53" s="244" t="s">
        <v>33</v>
      </c>
      <c r="B53" s="311">
        <f>SUM(B43:B51)</f>
        <v>7.4596837944941097E-2</v>
      </c>
      <c r="C53" s="311">
        <f t="shared" ref="C53:E53" si="32">SUM(C43:C51)</f>
        <v>1.600790513848908E-3</v>
      </c>
      <c r="D53" s="311">
        <f t="shared" si="32"/>
        <v>8.5802371541210259E-2</v>
      </c>
      <c r="E53" s="311">
        <f t="shared" si="32"/>
        <v>0.16200000000000028</v>
      </c>
      <c r="F53" s="311"/>
      <c r="G53" s="311">
        <f t="shared" ref="G53:J53" si="33">SUM(G43:G51)</f>
        <v>0.14948283082074484</v>
      </c>
      <c r="H53" s="311">
        <f t="shared" si="33"/>
        <v>5.5171691792554592E-3</v>
      </c>
      <c r="I53" s="311">
        <f t="shared" si="33"/>
        <v>0</v>
      </c>
      <c r="J53" s="311">
        <f t="shared" si="33"/>
        <v>0.15500000000000028</v>
      </c>
      <c r="K53" s="311"/>
      <c r="L53" s="311">
        <f t="shared" ref="L53:O53" si="34">SUM(L43:L51)</f>
        <v>6.0541196877707107E-2</v>
      </c>
      <c r="M53" s="311">
        <f t="shared" si="34"/>
        <v>2.4588031222928966E-3</v>
      </c>
      <c r="N53" s="311">
        <f t="shared" si="34"/>
        <v>0</v>
      </c>
      <c r="O53" s="311">
        <f t="shared" si="34"/>
        <v>6.3E-2</v>
      </c>
    </row>
    <row r="54" spans="1:15" s="236" customFormat="1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ht="13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ht="13" x14ac:dyDescent="0.3">
      <c r="A57" s="241" t="str">
        <f>name!B6</f>
        <v>Food drink and tobacco</v>
      </c>
      <c r="B57" s="378">
        <f>$B$6</f>
        <v>2015</v>
      </c>
      <c r="C57" s="378"/>
      <c r="D57" s="378"/>
      <c r="E57" s="378"/>
      <c r="F57" s="263"/>
      <c r="G57" s="378">
        <f>$G$6</f>
        <v>2020</v>
      </c>
      <c r="H57" s="378"/>
      <c r="I57" s="378"/>
      <c r="J57" s="378"/>
      <c r="K57" s="263"/>
      <c r="L57" s="378">
        <f>$L$6</f>
        <v>2035</v>
      </c>
      <c r="M57" s="378"/>
      <c r="N57" s="378"/>
      <c r="O57" s="378"/>
    </row>
    <row r="58" spans="1:15" s="236" customFormat="1" ht="13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ht="13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5">
      <c r="A60" s="237" t="str">
        <f>name!E$4</f>
        <v>Managers, directors and senior officials</v>
      </c>
      <c r="B60" s="302">
        <v>0.37808291514005626</v>
      </c>
      <c r="C60" s="302">
        <v>2.0319094955787414E-2</v>
      </c>
      <c r="D60" s="302">
        <v>4.9835279490476309E-2</v>
      </c>
      <c r="E60" s="302">
        <f>SUM(B60:D60)</f>
        <v>0.44823728958632003</v>
      </c>
      <c r="F60" s="303"/>
      <c r="G60" s="302">
        <v>0.45629196225776558</v>
      </c>
      <c r="H60" s="302">
        <v>3.9282303756468212E-2</v>
      </c>
      <c r="I60" s="302">
        <v>2.7963183724488711E-2</v>
      </c>
      <c r="J60" s="302">
        <f>SUM(G60:I60)</f>
        <v>0.52353744973872252</v>
      </c>
      <c r="K60" s="303"/>
      <c r="L60" s="302">
        <v>0.42283999135321204</v>
      </c>
      <c r="M60" s="302">
        <v>3.2949931877795872E-2</v>
      </c>
      <c r="N60" s="302">
        <v>2.9291429861630476E-2</v>
      </c>
      <c r="O60" s="302">
        <f>SUM(L60:N60)</f>
        <v>0.48508135309263839</v>
      </c>
    </row>
    <row r="61" spans="1:15" s="236" customFormat="1" x14ac:dyDescent="0.25">
      <c r="A61" s="237" t="str">
        <f>name!E$5</f>
        <v>Professional occupations</v>
      </c>
      <c r="B61" s="302">
        <v>0.37219881513418351</v>
      </c>
      <c r="C61" s="302">
        <v>1.9586115372776419E-2</v>
      </c>
      <c r="D61" s="302">
        <v>3.0131562939928521E-2</v>
      </c>
      <c r="E61" s="302">
        <f t="shared" ref="E61:E68" si="35">SUM(B61:D61)</f>
        <v>0.42191649344688847</v>
      </c>
      <c r="F61" s="303"/>
      <c r="G61" s="302">
        <v>0.51120758846198833</v>
      </c>
      <c r="H61" s="302">
        <v>2.9698915928081982E-2</v>
      </c>
      <c r="I61" s="302">
        <v>2.3328987457889909E-2</v>
      </c>
      <c r="J61" s="302">
        <f t="shared" ref="J61:J63" si="36">SUM(G61:I61)</f>
        <v>0.56423549184796018</v>
      </c>
      <c r="K61" s="303"/>
      <c r="L61" s="302">
        <v>0.68101286809072359</v>
      </c>
      <c r="M61" s="302">
        <v>2.6917228500950706E-2</v>
      </c>
      <c r="N61" s="302">
        <v>1.5776415383976422E-2</v>
      </c>
      <c r="O61" s="302">
        <f t="shared" ref="O61:O68" si="37">SUM(L61:N61)</f>
        <v>0.72370651197565072</v>
      </c>
    </row>
    <row r="62" spans="1:15" s="236" customFormat="1" x14ac:dyDescent="0.25">
      <c r="A62" s="237" t="str">
        <f>name!E$6</f>
        <v>Associate professional occupations</v>
      </c>
      <c r="B62" s="302">
        <v>0.49538407814748231</v>
      </c>
      <c r="C62" s="302">
        <v>3.7527073684416525E-2</v>
      </c>
      <c r="D62" s="302">
        <v>2.2078343442496432E-2</v>
      </c>
      <c r="E62" s="302">
        <f t="shared" si="35"/>
        <v>0.55498949527439534</v>
      </c>
      <c r="F62" s="303"/>
      <c r="G62" s="302">
        <v>0.61547760085543834</v>
      </c>
      <c r="H62" s="302">
        <v>4.8666651593559561E-2</v>
      </c>
      <c r="I62" s="302">
        <v>1.3047295081405447E-2</v>
      </c>
      <c r="J62" s="302">
        <f t="shared" si="36"/>
        <v>0.67719154753040334</v>
      </c>
      <c r="K62" s="303"/>
      <c r="L62" s="302">
        <v>0.66073053691715589</v>
      </c>
      <c r="M62" s="302">
        <v>3.5111318607476835E-2</v>
      </c>
      <c r="N62" s="302">
        <v>1.0574638935330369E-2</v>
      </c>
      <c r="O62" s="302">
        <f t="shared" si="37"/>
        <v>0.70641649445996313</v>
      </c>
    </row>
    <row r="63" spans="1:15" s="236" customFormat="1" x14ac:dyDescent="0.25">
      <c r="A63" s="237" t="str">
        <f>name!E$7</f>
        <v>Administrative and secretarial occupations</v>
      </c>
      <c r="B63" s="302">
        <v>0.3658990971503942</v>
      </c>
      <c r="C63" s="302">
        <v>7.6328597394663203E-2</v>
      </c>
      <c r="D63" s="302">
        <v>1.3144891685936098E-2</v>
      </c>
      <c r="E63" s="302">
        <f t="shared" si="35"/>
        <v>0.45537258623099347</v>
      </c>
      <c r="F63" s="303"/>
      <c r="G63" s="302">
        <v>0.39852657985808299</v>
      </c>
      <c r="H63" s="302">
        <v>7.2803692938071943E-2</v>
      </c>
      <c r="I63" s="302">
        <v>7.7744154050380029E-3</v>
      </c>
      <c r="J63" s="302">
        <f t="shared" si="36"/>
        <v>0.4791046882011929</v>
      </c>
      <c r="K63" s="303"/>
      <c r="L63" s="302">
        <v>0.42822657171189676</v>
      </c>
      <c r="M63" s="302">
        <v>3.678641451547638E-2</v>
      </c>
      <c r="N63" s="302">
        <v>7.8361767943606834E-3</v>
      </c>
      <c r="O63" s="302">
        <f t="shared" si="37"/>
        <v>0.4728491630217338</v>
      </c>
    </row>
    <row r="64" spans="1:15" s="236" customFormat="1" x14ac:dyDescent="0.25">
      <c r="A64" s="237" t="str">
        <f>name!E$8</f>
        <v>Skilled trades occupations</v>
      </c>
      <c r="B64" s="302">
        <v>0.84594824352549036</v>
      </c>
      <c r="C64" s="302">
        <v>6.3660570853574946E-2</v>
      </c>
      <c r="D64" s="302">
        <v>0.14771991423227349</v>
      </c>
      <c r="E64" s="302">
        <f t="shared" si="35"/>
        <v>1.0573287286113389</v>
      </c>
      <c r="F64" s="303"/>
      <c r="G64" s="302">
        <v>0.64688218136002251</v>
      </c>
      <c r="H64" s="302">
        <v>6.0691880082259619E-2</v>
      </c>
      <c r="I64" s="302">
        <v>4.7750429624658287E-2</v>
      </c>
      <c r="J64" s="302">
        <f>SUM(G64:I64)</f>
        <v>0.75532449106694033</v>
      </c>
      <c r="K64" s="303"/>
      <c r="L64" s="302">
        <v>0.53944502849648213</v>
      </c>
      <c r="M64" s="302">
        <v>5.3587451369841263E-2</v>
      </c>
      <c r="N64" s="302">
        <v>4.2040293653213004E-2</v>
      </c>
      <c r="O64" s="302">
        <f t="shared" si="37"/>
        <v>0.63507277351953639</v>
      </c>
    </row>
    <row r="65" spans="1:15" s="236" customFormat="1" x14ac:dyDescent="0.25">
      <c r="A65" s="237" t="str">
        <f>name!E$9</f>
        <v>Caring, leisure and other service occupations</v>
      </c>
      <c r="B65" s="302">
        <v>4.8246370330338358E-2</v>
      </c>
      <c r="C65" s="302">
        <v>7.7982633633947897E-3</v>
      </c>
      <c r="D65" s="302">
        <v>8.2554280565590027E-3</v>
      </c>
      <c r="E65" s="302">
        <f t="shared" si="35"/>
        <v>6.4300061750292153E-2</v>
      </c>
      <c r="F65" s="303"/>
      <c r="G65" s="302">
        <v>5.6105682731124838E-2</v>
      </c>
      <c r="H65" s="302">
        <v>8.6955393183078648E-3</v>
      </c>
      <c r="I65" s="302">
        <v>7.7658051279126906E-3</v>
      </c>
      <c r="J65" s="302">
        <f t="shared" ref="J65:J68" si="38">SUM(G65:I65)</f>
        <v>7.2567027177345395E-2</v>
      </c>
      <c r="K65" s="303"/>
      <c r="L65" s="302">
        <v>5.2512607039215849E-2</v>
      </c>
      <c r="M65" s="302">
        <v>5.8854853873275556E-3</v>
      </c>
      <c r="N65" s="302">
        <v>9.368268879409199E-3</v>
      </c>
      <c r="O65" s="302">
        <f t="shared" si="37"/>
        <v>6.7766361305952608E-2</v>
      </c>
    </row>
    <row r="66" spans="1:15" s="236" customFormat="1" x14ac:dyDescent="0.25">
      <c r="A66" s="237" t="str">
        <f>name!E$10</f>
        <v>Sales and customer service occupations</v>
      </c>
      <c r="B66" s="302">
        <v>9.7239733687779786E-2</v>
      </c>
      <c r="C66" s="302">
        <v>6.6963585724478025E-2</v>
      </c>
      <c r="D66" s="302">
        <v>1.3699913662745316E-2</v>
      </c>
      <c r="E66" s="302">
        <f t="shared" si="35"/>
        <v>0.17790323307500311</v>
      </c>
      <c r="F66" s="303"/>
      <c r="G66" s="302">
        <v>9.9455836029119782E-2</v>
      </c>
      <c r="H66" s="302">
        <v>6.5696369927196921E-2</v>
      </c>
      <c r="I66" s="302">
        <v>7.6081154991383629E-3</v>
      </c>
      <c r="J66" s="302">
        <f t="shared" si="38"/>
        <v>0.17276032145545506</v>
      </c>
      <c r="K66" s="303"/>
      <c r="L66" s="302">
        <v>0.10879531414585364</v>
      </c>
      <c r="M66" s="302">
        <v>4.6303430801976096E-2</v>
      </c>
      <c r="N66" s="302">
        <v>6.49538098719399E-3</v>
      </c>
      <c r="O66" s="302">
        <f t="shared" si="37"/>
        <v>0.16159412593502373</v>
      </c>
    </row>
    <row r="67" spans="1:15" s="236" customFormat="1" x14ac:dyDescent="0.25">
      <c r="A67" s="237" t="str">
        <f>name!E$11</f>
        <v>Process, plant and machine operatives</v>
      </c>
      <c r="B67" s="302">
        <v>2.2978490599853867</v>
      </c>
      <c r="C67" s="302">
        <v>0.28810505349134985</v>
      </c>
      <c r="D67" s="302">
        <v>4.4223373280896837E-2</v>
      </c>
      <c r="E67" s="302">
        <f t="shared" si="35"/>
        <v>2.6301774867576335</v>
      </c>
      <c r="F67" s="303"/>
      <c r="G67" s="302">
        <v>1.7855455381414054</v>
      </c>
      <c r="H67" s="302">
        <v>0.30976925611844419</v>
      </c>
      <c r="I67" s="302">
        <v>2.6657456071985809E-2</v>
      </c>
      <c r="J67" s="302">
        <f t="shared" si="38"/>
        <v>2.1219722503318352</v>
      </c>
      <c r="K67" s="303"/>
      <c r="L67" s="302">
        <v>1.4585827440367996</v>
      </c>
      <c r="M67" s="302">
        <v>0.2902335964266568</v>
      </c>
      <c r="N67" s="302">
        <v>3.1231901425262835E-2</v>
      </c>
      <c r="O67" s="302">
        <f t="shared" si="37"/>
        <v>1.7800482418887191</v>
      </c>
    </row>
    <row r="68" spans="1:15" s="236" customFormat="1" x14ac:dyDescent="0.25">
      <c r="A68" s="237" t="str">
        <f>name!E$12</f>
        <v>Elementary occupations</v>
      </c>
      <c r="B68" s="302">
        <v>1.0562008179644238</v>
      </c>
      <c r="C68" s="302">
        <v>0.132153073780542</v>
      </c>
      <c r="D68" s="302">
        <v>1.3420733522159016E-2</v>
      </c>
      <c r="E68" s="302">
        <f t="shared" si="35"/>
        <v>1.2017746252671249</v>
      </c>
      <c r="F68" s="303"/>
      <c r="G68" s="302">
        <v>0.80731241180065261</v>
      </c>
      <c r="H68" s="302">
        <v>0.11748133050086933</v>
      </c>
      <c r="I68" s="302">
        <v>5.5129903486233634E-3</v>
      </c>
      <c r="J68" s="302">
        <f t="shared" si="38"/>
        <v>0.9303067326501453</v>
      </c>
      <c r="K68" s="303"/>
      <c r="L68" s="302">
        <v>0.93525972743723418</v>
      </c>
      <c r="M68" s="302">
        <v>0.20112671862304876</v>
      </c>
      <c r="N68" s="302">
        <v>2.00785287404803E-2</v>
      </c>
      <c r="O68" s="302">
        <f t="shared" si="37"/>
        <v>1.1564649748007632</v>
      </c>
    </row>
    <row r="69" spans="1:15" s="236" customFormat="1" x14ac:dyDescent="0.25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5">
      <c r="A70" s="244" t="s">
        <v>33</v>
      </c>
      <c r="B70" s="311">
        <f>SUM(B60:B68)</f>
        <v>5.9570491310655349</v>
      </c>
      <c r="C70" s="311">
        <f t="shared" ref="C70:E70" si="39">SUM(C60:C68)</f>
        <v>0.71244142862098314</v>
      </c>
      <c r="D70" s="311">
        <f t="shared" si="39"/>
        <v>0.34250944031347097</v>
      </c>
      <c r="E70" s="311">
        <f t="shared" si="39"/>
        <v>7.0119999999999898</v>
      </c>
      <c r="F70" s="311"/>
      <c r="G70" s="311">
        <f t="shared" ref="G70:J70" si="40">SUM(G60:G68)</f>
        <v>5.3768053814956005</v>
      </c>
      <c r="H70" s="311">
        <f t="shared" si="40"/>
        <v>0.7527859401632595</v>
      </c>
      <c r="I70" s="311">
        <f t="shared" si="40"/>
        <v>0.16740867834114059</v>
      </c>
      <c r="J70" s="311">
        <f t="shared" si="40"/>
        <v>6.2970000000000006</v>
      </c>
      <c r="K70" s="311"/>
      <c r="L70" s="311">
        <f t="shared" ref="L70:O70" si="41">SUM(L60:L68)</f>
        <v>5.2874053892285744</v>
      </c>
      <c r="M70" s="311">
        <f t="shared" si="41"/>
        <v>0.72890157611055029</v>
      </c>
      <c r="N70" s="311">
        <f t="shared" si="41"/>
        <v>0.17269303466085728</v>
      </c>
      <c r="O70" s="311">
        <f t="shared" si="41"/>
        <v>6.1889999999999814</v>
      </c>
    </row>
    <row r="71" spans="1:15" s="236" customFormat="1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ht="13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ht="13" x14ac:dyDescent="0.3">
      <c r="A74" s="241" t="str">
        <f>name!B7</f>
        <v>Engineering</v>
      </c>
      <c r="B74" s="378">
        <f>$B$6</f>
        <v>2015</v>
      </c>
      <c r="C74" s="378"/>
      <c r="D74" s="378"/>
      <c r="E74" s="378"/>
      <c r="F74" s="263"/>
      <c r="G74" s="378">
        <f>$G$6</f>
        <v>2020</v>
      </c>
      <c r="H74" s="378"/>
      <c r="I74" s="378"/>
      <c r="J74" s="378"/>
      <c r="K74" s="263"/>
      <c r="L74" s="378">
        <f>$L$6</f>
        <v>2035</v>
      </c>
      <c r="M74" s="378"/>
      <c r="N74" s="378"/>
      <c r="O74" s="378"/>
    </row>
    <row r="75" spans="1:15" s="236" customFormat="1" ht="13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ht="13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5">
      <c r="A77" s="237" t="str">
        <f>name!E$4</f>
        <v>Managers, directors and senior officials</v>
      </c>
      <c r="B77" s="302">
        <v>0.66107542131043628</v>
      </c>
      <c r="C77" s="302">
        <v>4.1650966151107333E-2</v>
      </c>
      <c r="D77" s="302">
        <v>6.134467968539184E-2</v>
      </c>
      <c r="E77" s="302">
        <f>SUM(B77:D77)</f>
        <v>0.7640710671469354</v>
      </c>
      <c r="F77" s="303"/>
      <c r="G77" s="302">
        <v>0.81192836497510279</v>
      </c>
      <c r="H77" s="302">
        <v>7.2406038023119818E-2</v>
      </c>
      <c r="I77" s="302">
        <v>6.9966767375630567E-2</v>
      </c>
      <c r="J77" s="302">
        <f>SUM(G77:I77)</f>
        <v>0.9543011703738532</v>
      </c>
      <c r="K77" s="303"/>
      <c r="L77" s="302">
        <v>0.70265967762892889</v>
      </c>
      <c r="M77" s="302">
        <v>8.0501657693832523E-2</v>
      </c>
      <c r="N77" s="302">
        <v>6.7672330567575656E-2</v>
      </c>
      <c r="O77" s="302">
        <f>SUM(L77:N77)</f>
        <v>0.85083366589033704</v>
      </c>
    </row>
    <row r="78" spans="1:15" s="236" customFormat="1" x14ac:dyDescent="0.25">
      <c r="A78" s="237" t="str">
        <f>name!E$5</f>
        <v>Professional occupations</v>
      </c>
      <c r="B78" s="302">
        <v>1.2030510038934883</v>
      </c>
      <c r="C78" s="302">
        <v>3.5574425231310283E-2</v>
      </c>
      <c r="D78" s="302">
        <v>7.9123114134182063E-2</v>
      </c>
      <c r="E78" s="302">
        <f t="shared" ref="E78:E85" si="42">SUM(B78:D78)</f>
        <v>1.3177485432589808</v>
      </c>
      <c r="F78" s="303"/>
      <c r="G78" s="302">
        <v>1.5968300011470289</v>
      </c>
      <c r="H78" s="302">
        <v>6.0578231465390119E-2</v>
      </c>
      <c r="I78" s="302">
        <v>5.2070365264528302E-2</v>
      </c>
      <c r="J78" s="302">
        <f t="shared" ref="J78:J80" si="43">SUM(G78:I78)</f>
        <v>1.7094785978769473</v>
      </c>
      <c r="K78" s="303"/>
      <c r="L78" s="302">
        <v>2.0012672808305023</v>
      </c>
      <c r="M78" s="302">
        <v>6.5978001856448559E-2</v>
      </c>
      <c r="N78" s="302">
        <v>4.1724996625176945E-2</v>
      </c>
      <c r="O78" s="302">
        <f t="shared" ref="O78:O85" si="44">SUM(L78:N78)</f>
        <v>2.1089702793121279</v>
      </c>
    </row>
    <row r="79" spans="1:15" s="236" customFormat="1" x14ac:dyDescent="0.25">
      <c r="A79" s="237" t="str">
        <f>name!E$6</f>
        <v>Associate professional occupations</v>
      </c>
      <c r="B79" s="302">
        <v>0.63622404885780137</v>
      </c>
      <c r="C79" s="302">
        <v>3.9484182160842422E-2</v>
      </c>
      <c r="D79" s="302">
        <v>2.4046578122786103E-2</v>
      </c>
      <c r="E79" s="302">
        <f t="shared" si="42"/>
        <v>0.69975480914142985</v>
      </c>
      <c r="F79" s="303"/>
      <c r="G79" s="302">
        <v>0.8172513010898137</v>
      </c>
      <c r="H79" s="302">
        <v>4.7012546749497883E-2</v>
      </c>
      <c r="I79" s="302">
        <v>1.9751053014125861E-2</v>
      </c>
      <c r="J79" s="302">
        <f t="shared" si="43"/>
        <v>0.88401490085343737</v>
      </c>
      <c r="K79" s="303"/>
      <c r="L79" s="302">
        <v>0.77171668509353963</v>
      </c>
      <c r="M79" s="302">
        <v>4.1973463569436577E-2</v>
      </c>
      <c r="N79" s="302">
        <v>2.120520433614189E-2</v>
      </c>
      <c r="O79" s="302">
        <f t="shared" si="44"/>
        <v>0.8348953529991181</v>
      </c>
    </row>
    <row r="80" spans="1:15" s="236" customFormat="1" x14ac:dyDescent="0.25">
      <c r="A80" s="237" t="str">
        <f>name!E$7</f>
        <v>Administrative and secretarial occupations</v>
      </c>
      <c r="B80" s="302">
        <v>0.38807087767039111</v>
      </c>
      <c r="C80" s="302">
        <v>0.15616721125904004</v>
      </c>
      <c r="D80" s="302">
        <v>1.2400378339436855E-2</v>
      </c>
      <c r="E80" s="302">
        <f t="shared" si="42"/>
        <v>0.55663846726886801</v>
      </c>
      <c r="F80" s="303"/>
      <c r="G80" s="302">
        <v>0.45943470169021045</v>
      </c>
      <c r="H80" s="302">
        <v>0.16170895493550483</v>
      </c>
      <c r="I80" s="302">
        <v>1.9922667403879549E-2</v>
      </c>
      <c r="J80" s="302">
        <f t="shared" si="43"/>
        <v>0.64106632402959485</v>
      </c>
      <c r="K80" s="303"/>
      <c r="L80" s="302">
        <v>0.41218399081294649</v>
      </c>
      <c r="M80" s="302">
        <v>0.12192590582040065</v>
      </c>
      <c r="N80" s="302">
        <v>1.2627568713383597E-2</v>
      </c>
      <c r="O80" s="302">
        <f t="shared" si="44"/>
        <v>0.54673746534673073</v>
      </c>
    </row>
    <row r="81" spans="1:15" s="236" customFormat="1" x14ac:dyDescent="0.25">
      <c r="A81" s="237" t="str">
        <f>name!E$8</f>
        <v>Skilled trades occupations</v>
      </c>
      <c r="B81" s="302">
        <v>1.7035669299110323</v>
      </c>
      <c r="C81" s="302">
        <v>3.514661502270832E-2</v>
      </c>
      <c r="D81" s="302">
        <v>0.14940510431637752</v>
      </c>
      <c r="E81" s="302">
        <f t="shared" si="42"/>
        <v>1.8881186492501181</v>
      </c>
      <c r="F81" s="303"/>
      <c r="G81" s="302">
        <v>1.5538474717677517</v>
      </c>
      <c r="H81" s="302">
        <v>3.3586772732791023E-2</v>
      </c>
      <c r="I81" s="302">
        <v>8.3096924379488124E-2</v>
      </c>
      <c r="J81" s="302">
        <f>SUM(G81:I81)</f>
        <v>1.6705311688800308</v>
      </c>
      <c r="K81" s="303"/>
      <c r="L81" s="302">
        <v>1.2151855669765408</v>
      </c>
      <c r="M81" s="302">
        <v>3.0421480215714069E-2</v>
      </c>
      <c r="N81" s="302">
        <v>8.7903426776141186E-2</v>
      </c>
      <c r="O81" s="302">
        <f t="shared" si="44"/>
        <v>1.3335104739683961</v>
      </c>
    </row>
    <row r="82" spans="1:15" s="236" customFormat="1" x14ac:dyDescent="0.25">
      <c r="A82" s="237" t="str">
        <f>name!E$9</f>
        <v>Caring, leisure and other service occupations</v>
      </c>
      <c r="B82" s="302">
        <v>2.4347688524107541E-2</v>
      </c>
      <c r="C82" s="302">
        <v>1.3695707352939556E-2</v>
      </c>
      <c r="D82" s="302">
        <v>9.1629985741513379E-3</v>
      </c>
      <c r="E82" s="302">
        <f t="shared" si="42"/>
        <v>4.7206394451198432E-2</v>
      </c>
      <c r="F82" s="303"/>
      <c r="G82" s="302">
        <v>2.6886241664401112E-2</v>
      </c>
      <c r="H82" s="302">
        <v>1.333967327977254E-2</v>
      </c>
      <c r="I82" s="302">
        <v>1.8400956414734833E-2</v>
      </c>
      <c r="J82" s="302">
        <f t="shared" ref="J82:J85" si="45">SUM(G82:I82)</f>
        <v>5.8626871358908483E-2</v>
      </c>
      <c r="K82" s="303"/>
      <c r="L82" s="302">
        <v>2.1012599856224071E-2</v>
      </c>
      <c r="M82" s="302">
        <v>9.7626980855200877E-3</v>
      </c>
      <c r="N82" s="302">
        <v>3.1924203931409829E-2</v>
      </c>
      <c r="O82" s="302">
        <f t="shared" si="44"/>
        <v>6.2699501873153984E-2</v>
      </c>
    </row>
    <row r="83" spans="1:15" s="236" customFormat="1" x14ac:dyDescent="0.25">
      <c r="A83" s="237" t="str">
        <f>name!E$10</f>
        <v>Sales and customer service occupations</v>
      </c>
      <c r="B83" s="302">
        <v>0.14078195154164402</v>
      </c>
      <c r="C83" s="302">
        <v>4.9451004378486561E-2</v>
      </c>
      <c r="D83" s="302">
        <v>8.5759535224060549E-3</v>
      </c>
      <c r="E83" s="302">
        <f t="shared" si="42"/>
        <v>0.19880890944253665</v>
      </c>
      <c r="F83" s="303"/>
      <c r="G83" s="302">
        <v>0.15959819275433057</v>
      </c>
      <c r="H83" s="302">
        <v>6.4406220929289354E-2</v>
      </c>
      <c r="I83" s="302">
        <v>8.2531445534246954E-3</v>
      </c>
      <c r="J83" s="302">
        <f t="shared" si="45"/>
        <v>0.23225755823704461</v>
      </c>
      <c r="K83" s="303"/>
      <c r="L83" s="302">
        <v>0.14165683217495637</v>
      </c>
      <c r="M83" s="302">
        <v>9.1577987011294285E-2</v>
      </c>
      <c r="N83" s="302">
        <v>6.6386776847080558E-3</v>
      </c>
      <c r="O83" s="302">
        <f t="shared" si="44"/>
        <v>0.23987349687095871</v>
      </c>
    </row>
    <row r="84" spans="1:15" s="236" customFormat="1" x14ac:dyDescent="0.25">
      <c r="A84" s="237" t="str">
        <f>name!E$11</f>
        <v>Process, plant and machine operatives</v>
      </c>
      <c r="B84" s="302">
        <v>1.1400991521855273</v>
      </c>
      <c r="C84" s="302">
        <v>5.0784658794610096E-2</v>
      </c>
      <c r="D84" s="302">
        <v>2.4265828469945513E-2</v>
      </c>
      <c r="E84" s="302">
        <f t="shared" si="42"/>
        <v>1.2151496394500829</v>
      </c>
      <c r="F84" s="303"/>
      <c r="G84" s="302">
        <v>0.96268814814825654</v>
      </c>
      <c r="H84" s="302">
        <v>4.8190228537691296E-2</v>
      </c>
      <c r="I84" s="302">
        <v>1.8747353507519497E-2</v>
      </c>
      <c r="J84" s="302">
        <f t="shared" si="45"/>
        <v>1.0296257301934675</v>
      </c>
      <c r="K84" s="303"/>
      <c r="L84" s="302">
        <v>0.80523763262466663</v>
      </c>
      <c r="M84" s="302">
        <v>3.3573745628133554E-2</v>
      </c>
      <c r="N84" s="302">
        <v>1.9089077894916838E-2</v>
      </c>
      <c r="O84" s="302">
        <f t="shared" si="44"/>
        <v>0.85790045614771704</v>
      </c>
    </row>
    <row r="85" spans="1:15" s="236" customFormat="1" x14ac:dyDescent="0.25">
      <c r="A85" s="237" t="str">
        <f>name!E$12</f>
        <v>Elementary occupations</v>
      </c>
      <c r="B85" s="302">
        <v>0.22491389478413173</v>
      </c>
      <c r="C85" s="302">
        <v>3.0261854923268258E-2</v>
      </c>
      <c r="D85" s="302">
        <v>1.7327770882455164E-2</v>
      </c>
      <c r="E85" s="302">
        <f t="shared" si="42"/>
        <v>0.27250352058985516</v>
      </c>
      <c r="F85" s="303"/>
      <c r="G85" s="302">
        <v>0.18963401052162318</v>
      </c>
      <c r="H85" s="302">
        <v>3.0264095249062775E-2</v>
      </c>
      <c r="I85" s="302">
        <v>1.5199572426018139E-2</v>
      </c>
      <c r="J85" s="302">
        <f t="shared" si="45"/>
        <v>0.2350976781967041</v>
      </c>
      <c r="K85" s="303"/>
      <c r="L85" s="302">
        <v>0.1841566588183764</v>
      </c>
      <c r="M85" s="302">
        <v>5.0043005780970963E-2</v>
      </c>
      <c r="N85" s="302">
        <v>2.1379642992110346E-2</v>
      </c>
      <c r="O85" s="302">
        <f t="shared" si="44"/>
        <v>0.25557930759145769</v>
      </c>
    </row>
    <row r="86" spans="1:15" s="236" customFormat="1" x14ac:dyDescent="0.25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5">
      <c r="A87" s="244" t="s">
        <v>33</v>
      </c>
      <c r="B87" s="311">
        <f>SUM(B77:B85)</f>
        <v>6.1221309686785608</v>
      </c>
      <c r="C87" s="311">
        <f t="shared" ref="C87:E87" si="46">SUM(C77:C85)</f>
        <v>0.45221662527431283</v>
      </c>
      <c r="D87" s="311">
        <f t="shared" si="46"/>
        <v>0.38565240604713241</v>
      </c>
      <c r="E87" s="311">
        <f t="shared" si="46"/>
        <v>6.9600000000000053</v>
      </c>
      <c r="F87" s="311"/>
      <c r="G87" s="311">
        <f t="shared" ref="G87:J87" si="47">SUM(G77:G85)</f>
        <v>6.5780984337585178</v>
      </c>
      <c r="H87" s="311">
        <f t="shared" si="47"/>
        <v>0.53149276190211969</v>
      </c>
      <c r="I87" s="311">
        <f t="shared" si="47"/>
        <v>0.30540880433934958</v>
      </c>
      <c r="J87" s="311">
        <f t="shared" si="47"/>
        <v>7.4149999999999885</v>
      </c>
      <c r="K87" s="311"/>
      <c r="L87" s="311">
        <f t="shared" ref="L87:O87" si="48">SUM(L77:L85)</f>
        <v>6.2550769248166818</v>
      </c>
      <c r="M87" s="311">
        <f t="shared" si="48"/>
        <v>0.52575794566175127</v>
      </c>
      <c r="N87" s="311">
        <f t="shared" si="48"/>
        <v>0.31016512952156439</v>
      </c>
      <c r="O87" s="311">
        <f t="shared" si="48"/>
        <v>7.0909999999999975</v>
      </c>
    </row>
    <row r="88" spans="1:15" s="236" customFormat="1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ht="13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ht="13" x14ac:dyDescent="0.3">
      <c r="A91" s="241" t="str">
        <f>name!B8</f>
        <v>Rest of manufacturing</v>
      </c>
      <c r="B91" s="378">
        <f>$B$6</f>
        <v>2015</v>
      </c>
      <c r="C91" s="378"/>
      <c r="D91" s="378"/>
      <c r="E91" s="378"/>
      <c r="F91" s="263"/>
      <c r="G91" s="378">
        <f>$G$6</f>
        <v>2020</v>
      </c>
      <c r="H91" s="378"/>
      <c r="I91" s="378"/>
      <c r="J91" s="378"/>
      <c r="K91" s="263"/>
      <c r="L91" s="378">
        <f>$L$6</f>
        <v>2035</v>
      </c>
      <c r="M91" s="378"/>
      <c r="N91" s="378"/>
      <c r="O91" s="378"/>
    </row>
    <row r="92" spans="1:15" s="236" customFormat="1" ht="13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ht="13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5">
      <c r="A94" s="237" t="str">
        <f>name!E$4</f>
        <v>Managers, directors and senior officials</v>
      </c>
      <c r="B94" s="302">
        <v>3.7007528747037042</v>
      </c>
      <c r="C94" s="302">
        <v>0.14582930901631028</v>
      </c>
      <c r="D94" s="302">
        <v>0.75749621215520246</v>
      </c>
      <c r="E94" s="302">
        <f>SUM(B94:D94)</f>
        <v>4.6040783958752165</v>
      </c>
      <c r="F94" s="303"/>
      <c r="G94" s="302">
        <v>4.0866520226089804</v>
      </c>
      <c r="H94" s="302">
        <v>0.35201483241309012</v>
      </c>
      <c r="I94" s="302">
        <v>0.54257242145186046</v>
      </c>
      <c r="J94" s="302">
        <f>SUM(G94:I94)</f>
        <v>4.9812392764739313</v>
      </c>
      <c r="K94" s="303"/>
      <c r="L94" s="302">
        <v>3.2567106304958271</v>
      </c>
      <c r="M94" s="302">
        <v>0.29334492865221479</v>
      </c>
      <c r="N94" s="302">
        <v>0.47288252561054955</v>
      </c>
      <c r="O94" s="302">
        <f>SUM(L94:N94)</f>
        <v>4.0229380847585912</v>
      </c>
    </row>
    <row r="95" spans="1:15" s="236" customFormat="1" x14ac:dyDescent="0.25">
      <c r="A95" s="237" t="str">
        <f>name!E$5</f>
        <v>Professional occupations</v>
      </c>
      <c r="B95" s="302">
        <v>6.1269112597558948</v>
      </c>
      <c r="C95" s="302">
        <v>0.13866970355962602</v>
      </c>
      <c r="D95" s="302">
        <v>0.40754849022931722</v>
      </c>
      <c r="E95" s="302">
        <f t="shared" ref="E95:E102" si="49">SUM(B95:D95)</f>
        <v>6.6731294535448376</v>
      </c>
      <c r="F95" s="303"/>
      <c r="G95" s="302">
        <v>7.360814455017282</v>
      </c>
      <c r="H95" s="302">
        <v>0.32840044241452959</v>
      </c>
      <c r="I95" s="302">
        <v>0.2872452141463791</v>
      </c>
      <c r="J95" s="302">
        <f t="shared" ref="J95:J97" si="50">SUM(G95:I95)</f>
        <v>7.9764601115781906</v>
      </c>
      <c r="K95" s="303"/>
      <c r="L95" s="302">
        <v>8.3953649866652267</v>
      </c>
      <c r="M95" s="302">
        <v>0.28555126116967455</v>
      </c>
      <c r="N95" s="302">
        <v>0.19583676338792785</v>
      </c>
      <c r="O95" s="302">
        <f t="shared" ref="O95:O102" si="51">SUM(L95:N95)</f>
        <v>8.8767530112228279</v>
      </c>
    </row>
    <row r="96" spans="1:15" s="236" customFormat="1" x14ac:dyDescent="0.25">
      <c r="A96" s="237" t="str">
        <f>name!E$6</f>
        <v>Associate professional occupations</v>
      </c>
      <c r="B96" s="302">
        <v>3.8801458177797103</v>
      </c>
      <c r="C96" s="302">
        <v>0.19662627866353266</v>
      </c>
      <c r="D96" s="302">
        <v>0.3205742404371158</v>
      </c>
      <c r="E96" s="302">
        <f t="shared" si="49"/>
        <v>4.3973463368803589</v>
      </c>
      <c r="F96" s="303"/>
      <c r="G96" s="302">
        <v>4.4403105299878538</v>
      </c>
      <c r="H96" s="302">
        <v>0.39507339308069384</v>
      </c>
      <c r="I96" s="302">
        <v>0.2108600273579764</v>
      </c>
      <c r="J96" s="302">
        <f t="shared" si="50"/>
        <v>5.0462439504265246</v>
      </c>
      <c r="K96" s="303"/>
      <c r="L96" s="302">
        <v>3.840068902656316</v>
      </c>
      <c r="M96" s="302">
        <v>0.26784695467660924</v>
      </c>
      <c r="N96" s="302">
        <v>0.19459290840110019</v>
      </c>
      <c r="O96" s="302">
        <f t="shared" si="51"/>
        <v>4.3025087657340251</v>
      </c>
    </row>
    <row r="97" spans="1:15" s="236" customFormat="1" x14ac:dyDescent="0.25">
      <c r="A97" s="237" t="str">
        <f>name!E$7</f>
        <v>Administrative and secretarial occupations</v>
      </c>
      <c r="B97" s="302">
        <v>2.9899073839071835</v>
      </c>
      <c r="C97" s="302">
        <v>0.68938383016230087</v>
      </c>
      <c r="D97" s="302">
        <v>0.10501723960584035</v>
      </c>
      <c r="E97" s="302">
        <f t="shared" si="49"/>
        <v>3.7843084536753246</v>
      </c>
      <c r="F97" s="303"/>
      <c r="G97" s="302">
        <v>3.137404021294123</v>
      </c>
      <c r="H97" s="302">
        <v>0.82931125406992801</v>
      </c>
      <c r="I97" s="302">
        <v>7.80103916409641E-2</v>
      </c>
      <c r="J97" s="302">
        <f t="shared" si="50"/>
        <v>4.0447256670050153</v>
      </c>
      <c r="K97" s="303"/>
      <c r="L97" s="302">
        <v>2.7913014442492163</v>
      </c>
      <c r="M97" s="302">
        <v>0.49262828984292267</v>
      </c>
      <c r="N97" s="302">
        <v>6.6205223747054343E-2</v>
      </c>
      <c r="O97" s="302">
        <f t="shared" si="51"/>
        <v>3.3501349578391935</v>
      </c>
    </row>
    <row r="98" spans="1:15" s="236" customFormat="1" x14ac:dyDescent="0.25">
      <c r="A98" s="237" t="str">
        <f>name!E$8</f>
        <v>Skilled trades occupations</v>
      </c>
      <c r="B98" s="302">
        <v>15.352400106483422</v>
      </c>
      <c r="C98" s="302">
        <v>0.30889609944317864</v>
      </c>
      <c r="D98" s="302">
        <v>2.2316256497701681</v>
      </c>
      <c r="E98" s="302">
        <f t="shared" si="49"/>
        <v>17.89292185569677</v>
      </c>
      <c r="F98" s="303"/>
      <c r="G98" s="302">
        <v>11.833155677488062</v>
      </c>
      <c r="H98" s="302">
        <v>0.49326054200209957</v>
      </c>
      <c r="I98" s="302">
        <v>1.1152087738969061</v>
      </c>
      <c r="J98" s="302">
        <f>SUM(G98:I98)</f>
        <v>13.441624993387068</v>
      </c>
      <c r="K98" s="303"/>
      <c r="L98" s="302">
        <v>9.0875544322568338</v>
      </c>
      <c r="M98" s="302">
        <v>0.42579067108826352</v>
      </c>
      <c r="N98" s="302">
        <v>0.94812898578317106</v>
      </c>
      <c r="O98" s="302">
        <f t="shared" si="51"/>
        <v>10.461474089128268</v>
      </c>
    </row>
    <row r="99" spans="1:15" s="236" customFormat="1" x14ac:dyDescent="0.25">
      <c r="A99" s="237" t="str">
        <f>name!E$9</f>
        <v>Caring, leisure and other service occupations</v>
      </c>
      <c r="B99" s="302">
        <v>0.3299016510884345</v>
      </c>
      <c r="C99" s="302">
        <v>0.10309682411330653</v>
      </c>
      <c r="D99" s="302">
        <v>7.1060772243526679E-2</v>
      </c>
      <c r="E99" s="302">
        <f t="shared" si="49"/>
        <v>0.50405924744526776</v>
      </c>
      <c r="F99" s="303"/>
      <c r="G99" s="302">
        <v>0.3536367049524361</v>
      </c>
      <c r="H99" s="302">
        <v>0.23811199257772589</v>
      </c>
      <c r="I99" s="302">
        <v>7.8956173144344929E-2</v>
      </c>
      <c r="J99" s="302">
        <f t="shared" ref="J99:J102" si="52">SUM(G99:I99)</f>
        <v>0.6707048706745069</v>
      </c>
      <c r="K99" s="303"/>
      <c r="L99" s="302">
        <v>0.29515211523584678</v>
      </c>
      <c r="M99" s="302">
        <v>0.213163545151978</v>
      </c>
      <c r="N99" s="302">
        <v>8.9683214985188095E-2</v>
      </c>
      <c r="O99" s="302">
        <f t="shared" si="51"/>
        <v>0.59799887537301277</v>
      </c>
    </row>
    <row r="100" spans="1:15" s="236" customFormat="1" x14ac:dyDescent="0.25">
      <c r="A100" s="237" t="str">
        <f>name!E$10</f>
        <v>Sales and customer service occupations</v>
      </c>
      <c r="B100" s="302">
        <v>1.1615705856421972</v>
      </c>
      <c r="C100" s="302">
        <v>0.29076071457545155</v>
      </c>
      <c r="D100" s="302">
        <v>0.13809870061869389</v>
      </c>
      <c r="E100" s="302">
        <f t="shared" si="49"/>
        <v>1.5904300008363426</v>
      </c>
      <c r="F100" s="303"/>
      <c r="G100" s="302">
        <v>1.1710903558754429</v>
      </c>
      <c r="H100" s="302">
        <v>0.44164314836084162</v>
      </c>
      <c r="I100" s="302">
        <v>6.825509510684738E-2</v>
      </c>
      <c r="J100" s="302">
        <f t="shared" si="52"/>
        <v>1.6809885993431319</v>
      </c>
      <c r="K100" s="303"/>
      <c r="L100" s="302">
        <v>1.0870459648089292</v>
      </c>
      <c r="M100" s="302">
        <v>0.38210644592699272</v>
      </c>
      <c r="N100" s="302">
        <v>4.1704232899669888E-2</v>
      </c>
      <c r="O100" s="302">
        <f t="shared" si="51"/>
        <v>1.5108566436355919</v>
      </c>
    </row>
    <row r="101" spans="1:15" s="236" customFormat="1" x14ac:dyDescent="0.25">
      <c r="A101" s="237" t="str">
        <f>name!E$11</f>
        <v>Process, plant and machine operatives</v>
      </c>
      <c r="B101" s="302">
        <v>11.380477052109054</v>
      </c>
      <c r="C101" s="302">
        <v>0.41543892520087961</v>
      </c>
      <c r="D101" s="302">
        <v>0.39991802406345833</v>
      </c>
      <c r="E101" s="302">
        <f t="shared" si="49"/>
        <v>12.195834001373392</v>
      </c>
      <c r="F101" s="303"/>
      <c r="G101" s="302">
        <v>8.786768167037577</v>
      </c>
      <c r="H101" s="302">
        <v>0.70922896617123454</v>
      </c>
      <c r="I101" s="302">
        <v>0.29924483430636123</v>
      </c>
      <c r="J101" s="302">
        <f t="shared" si="52"/>
        <v>9.7952419675151727</v>
      </c>
      <c r="K101" s="303"/>
      <c r="L101" s="302">
        <v>7.2557255449003817</v>
      </c>
      <c r="M101" s="302">
        <v>0.64133253893210307</v>
      </c>
      <c r="N101" s="302">
        <v>0.27648477567941676</v>
      </c>
      <c r="O101" s="302">
        <f t="shared" si="51"/>
        <v>8.1735428595119011</v>
      </c>
    </row>
    <row r="102" spans="1:15" s="236" customFormat="1" x14ac:dyDescent="0.25">
      <c r="A102" s="237" t="str">
        <f>name!E$12</f>
        <v>Elementary occupations</v>
      </c>
      <c r="B102" s="302">
        <v>2.386147263901826</v>
      </c>
      <c r="C102" s="302">
        <v>0.35629798328502527</v>
      </c>
      <c r="D102" s="302">
        <v>0.30244700748557046</v>
      </c>
      <c r="E102" s="302">
        <f t="shared" si="49"/>
        <v>3.0448922546724217</v>
      </c>
      <c r="F102" s="303"/>
      <c r="G102" s="302">
        <v>1.8930526870966176</v>
      </c>
      <c r="H102" s="302">
        <v>0.46301961810108166</v>
      </c>
      <c r="I102" s="302">
        <v>0.17369825839877021</v>
      </c>
      <c r="J102" s="302">
        <f t="shared" si="52"/>
        <v>2.5297705635964696</v>
      </c>
      <c r="K102" s="303"/>
      <c r="L102" s="302">
        <v>1.5354190716312173</v>
      </c>
      <c r="M102" s="302">
        <v>0.60968782100478613</v>
      </c>
      <c r="N102" s="302">
        <v>0.16868582016049921</v>
      </c>
      <c r="O102" s="302">
        <f t="shared" si="51"/>
        <v>2.3137927127965026</v>
      </c>
    </row>
    <row r="103" spans="1:15" s="236" customFormat="1" x14ac:dyDescent="0.25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5">
      <c r="A104" s="244" t="s">
        <v>33</v>
      </c>
      <c r="B104" s="311">
        <f>SUM(B94:B102)</f>
        <v>47.308213995371425</v>
      </c>
      <c r="C104" s="311">
        <f t="shared" ref="C104:E104" si="53">SUM(C94:C102)</f>
        <v>2.6449996680196115</v>
      </c>
      <c r="D104" s="311">
        <f t="shared" si="53"/>
        <v>4.733786336608893</v>
      </c>
      <c r="E104" s="311">
        <f t="shared" si="53"/>
        <v>54.686999999999927</v>
      </c>
      <c r="F104" s="311"/>
      <c r="G104" s="311">
        <f t="shared" ref="G104:J104" si="54">SUM(G94:G102)</f>
        <v>43.062884621358378</v>
      </c>
      <c r="H104" s="311">
        <f t="shared" si="54"/>
        <v>4.2500641891912245</v>
      </c>
      <c r="I104" s="311">
        <f t="shared" si="54"/>
        <v>2.8540511894504101</v>
      </c>
      <c r="J104" s="311">
        <f t="shared" si="54"/>
        <v>50.167000000000009</v>
      </c>
      <c r="K104" s="311"/>
      <c r="L104" s="311">
        <f t="shared" ref="L104:O104" si="55">SUM(L94:L102)</f>
        <v>37.544343092899794</v>
      </c>
      <c r="M104" s="311">
        <f t="shared" si="55"/>
        <v>3.6114524564455448</v>
      </c>
      <c r="N104" s="311">
        <f t="shared" si="55"/>
        <v>2.4542044506545766</v>
      </c>
      <c r="O104" s="311">
        <f t="shared" si="55"/>
        <v>43.609999999999921</v>
      </c>
    </row>
    <row r="105" spans="1:15" s="236" customFormat="1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ht="13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ht="13" x14ac:dyDescent="0.3">
      <c r="A108" s="241" t="str">
        <f>name!B9</f>
        <v>Electricity and gas</v>
      </c>
      <c r="B108" s="378">
        <f>$B$6</f>
        <v>2015</v>
      </c>
      <c r="C108" s="378"/>
      <c r="D108" s="378"/>
      <c r="E108" s="378"/>
      <c r="F108" s="263"/>
      <c r="G108" s="378">
        <f>$G$6</f>
        <v>2020</v>
      </c>
      <c r="H108" s="378"/>
      <c r="I108" s="378"/>
      <c r="J108" s="378"/>
      <c r="K108" s="263"/>
      <c r="L108" s="378">
        <f>$L$6</f>
        <v>2035</v>
      </c>
      <c r="M108" s="378"/>
      <c r="N108" s="378"/>
      <c r="O108" s="378"/>
    </row>
    <row r="109" spans="1:15" s="236" customFormat="1" ht="13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ht="13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5">
      <c r="A111" s="237" t="str">
        <f>name!E$4</f>
        <v>Managers, directors and senior officials</v>
      </c>
      <c r="B111" s="302">
        <v>0.45346843347445243</v>
      </c>
      <c r="C111" s="302">
        <v>1.6093454120013218E-2</v>
      </c>
      <c r="D111" s="302">
        <v>4.3205961738982925E-2</v>
      </c>
      <c r="E111" s="302">
        <f>SUM(B111:D111)</f>
        <v>0.51276784933344854</v>
      </c>
      <c r="F111" s="303"/>
      <c r="G111" s="302">
        <v>0.20128667894664695</v>
      </c>
      <c r="H111" s="302">
        <v>8.9147898654504329E-3</v>
      </c>
      <c r="I111" s="302">
        <v>0</v>
      </c>
      <c r="J111" s="302">
        <f>SUM(G111:I111)</f>
        <v>0.21020146881209739</v>
      </c>
      <c r="K111" s="303"/>
      <c r="L111" s="302">
        <v>0.17844249905047024</v>
      </c>
      <c r="M111" s="302">
        <v>8.8495549803600682E-3</v>
      </c>
      <c r="N111" s="302">
        <v>0</v>
      </c>
      <c r="O111" s="302">
        <f>SUM(L111:N111)</f>
        <v>0.18729205403083032</v>
      </c>
    </row>
    <row r="112" spans="1:15" s="236" customFormat="1" x14ac:dyDescent="0.25">
      <c r="A112" s="237" t="str">
        <f>name!E$5</f>
        <v>Professional occupations</v>
      </c>
      <c r="B112" s="302">
        <v>1.0455269116701946</v>
      </c>
      <c r="C112" s="302">
        <v>2.0271276721820386E-2</v>
      </c>
      <c r="D112" s="302">
        <v>5.9921344187321028E-2</v>
      </c>
      <c r="E112" s="302">
        <f t="shared" ref="E112:E119" si="56">SUM(B112:D112)</f>
        <v>1.1257195325793359</v>
      </c>
      <c r="F112" s="303"/>
      <c r="G112" s="302">
        <v>0.49744705707212045</v>
      </c>
      <c r="H112" s="302">
        <v>9.9922441608148935E-3</v>
      </c>
      <c r="I112" s="302">
        <v>0</v>
      </c>
      <c r="J112" s="302">
        <f t="shared" ref="J112:J114" si="57">SUM(G112:I112)</f>
        <v>0.50743930123293535</v>
      </c>
      <c r="K112" s="303"/>
      <c r="L112" s="302">
        <v>0.58059689309759555</v>
      </c>
      <c r="M112" s="302">
        <v>1.1551196042481272E-2</v>
      </c>
      <c r="N112" s="302">
        <v>0</v>
      </c>
      <c r="O112" s="302">
        <f t="shared" ref="O112:O119" si="58">SUM(L112:N112)</f>
        <v>0.59214808914007677</v>
      </c>
    </row>
    <row r="113" spans="1:15" s="236" customFormat="1" x14ac:dyDescent="0.25">
      <c r="A113" s="237" t="str">
        <f>name!E$6</f>
        <v>Associate professional occupations</v>
      </c>
      <c r="B113" s="302">
        <v>0.71414471107584199</v>
      </c>
      <c r="C113" s="302">
        <v>2.7421201067171927E-2</v>
      </c>
      <c r="D113" s="302">
        <v>2.3301628309347018E-2</v>
      </c>
      <c r="E113" s="302">
        <f t="shared" si="56"/>
        <v>0.76486754045236094</v>
      </c>
      <c r="F113" s="303"/>
      <c r="G113" s="302">
        <v>0.33910315037170835</v>
      </c>
      <c r="H113" s="302">
        <v>1.1794483717278578E-2</v>
      </c>
      <c r="I113" s="302">
        <v>0</v>
      </c>
      <c r="J113" s="302">
        <f t="shared" si="57"/>
        <v>0.35089763408898694</v>
      </c>
      <c r="K113" s="303"/>
      <c r="L113" s="302">
        <v>0.30600585622239285</v>
      </c>
      <c r="M113" s="302">
        <v>9.6782258379363023E-3</v>
      </c>
      <c r="N113" s="302">
        <v>0</v>
      </c>
      <c r="O113" s="302">
        <f t="shared" si="58"/>
        <v>0.31568408206032916</v>
      </c>
    </row>
    <row r="114" spans="1:15" s="236" customFormat="1" x14ac:dyDescent="0.25">
      <c r="A114" s="237" t="str">
        <f>name!E$7</f>
        <v>Administrative and secretarial occupations</v>
      </c>
      <c r="B114" s="302">
        <v>0.51078622805850415</v>
      </c>
      <c r="C114" s="302">
        <v>0.10160725230219785</v>
      </c>
      <c r="D114" s="302">
        <v>1.4093870754497426E-2</v>
      </c>
      <c r="E114" s="302">
        <f t="shared" si="56"/>
        <v>0.62648735111519938</v>
      </c>
      <c r="F114" s="303"/>
      <c r="G114" s="302">
        <v>0.21243689554366571</v>
      </c>
      <c r="H114" s="302">
        <v>3.7707452738426329E-2</v>
      </c>
      <c r="I114" s="302">
        <v>0</v>
      </c>
      <c r="J114" s="302">
        <f t="shared" si="57"/>
        <v>0.25014434828209203</v>
      </c>
      <c r="K114" s="303"/>
      <c r="L114" s="302">
        <v>0.16642233277311111</v>
      </c>
      <c r="M114" s="302">
        <v>3.1085473269113095E-2</v>
      </c>
      <c r="N114" s="302">
        <v>0</v>
      </c>
      <c r="O114" s="302">
        <f t="shared" si="58"/>
        <v>0.1975078060422242</v>
      </c>
    </row>
    <row r="115" spans="1:15" s="236" customFormat="1" x14ac:dyDescent="0.25">
      <c r="A115" s="237" t="str">
        <f>name!E$8</f>
        <v>Skilled trades occupations</v>
      </c>
      <c r="B115" s="302">
        <v>1.2671755735950254</v>
      </c>
      <c r="C115" s="302">
        <v>2.4409015185566985E-2</v>
      </c>
      <c r="D115" s="302">
        <v>6.2142088124975972E-2</v>
      </c>
      <c r="E115" s="302">
        <f t="shared" si="56"/>
        <v>1.3537266769055682</v>
      </c>
      <c r="F115" s="303"/>
      <c r="G115" s="302">
        <v>0.37154516655757525</v>
      </c>
      <c r="H115" s="302">
        <v>4.3929822279434308E-3</v>
      </c>
      <c r="I115" s="302">
        <v>0</v>
      </c>
      <c r="J115" s="302">
        <f>SUM(G115:I115)</f>
        <v>0.37593814878551868</v>
      </c>
      <c r="K115" s="303"/>
      <c r="L115" s="302">
        <v>0.26410421881316848</v>
      </c>
      <c r="M115" s="302">
        <v>5.7877344294372263E-3</v>
      </c>
      <c r="N115" s="302">
        <v>0</v>
      </c>
      <c r="O115" s="302">
        <f t="shared" si="58"/>
        <v>0.26989195324260573</v>
      </c>
    </row>
    <row r="116" spans="1:15" s="236" customFormat="1" x14ac:dyDescent="0.25">
      <c r="A116" s="237" t="str">
        <f>name!E$9</f>
        <v>Caring, leisure and other service occupations</v>
      </c>
      <c r="B116" s="302">
        <v>4.0089032877971831E-2</v>
      </c>
      <c r="C116" s="302">
        <v>1.5171445038485594E-2</v>
      </c>
      <c r="D116" s="302">
        <v>2.7137865040661627E-3</v>
      </c>
      <c r="E116" s="302">
        <f t="shared" si="56"/>
        <v>5.7974264420523586E-2</v>
      </c>
      <c r="F116" s="303"/>
      <c r="G116" s="302">
        <v>1.5241425893803373E-2</v>
      </c>
      <c r="H116" s="302">
        <v>4.6374869699731753E-3</v>
      </c>
      <c r="I116" s="302">
        <v>0</v>
      </c>
      <c r="J116" s="302">
        <f t="shared" ref="J116:J119" si="59">SUM(G116:I116)</f>
        <v>1.9878912863776549E-2</v>
      </c>
      <c r="K116" s="303"/>
      <c r="L116" s="302">
        <v>1.1298830812887548E-2</v>
      </c>
      <c r="M116" s="302">
        <v>2.6375812772822262E-3</v>
      </c>
      <c r="N116" s="302">
        <v>0</v>
      </c>
      <c r="O116" s="302">
        <f t="shared" si="58"/>
        <v>1.3936412090169775E-2</v>
      </c>
    </row>
    <row r="117" spans="1:15" s="236" customFormat="1" x14ac:dyDescent="0.25">
      <c r="A117" s="237" t="str">
        <f>name!E$10</f>
        <v>Sales and customer service occupations</v>
      </c>
      <c r="B117" s="302">
        <v>0.27529365713964027</v>
      </c>
      <c r="C117" s="302">
        <v>0.11595314380094275</v>
      </c>
      <c r="D117" s="302">
        <v>2.7516989687898018E-2</v>
      </c>
      <c r="E117" s="302">
        <f t="shared" si="56"/>
        <v>0.41876379062848101</v>
      </c>
      <c r="F117" s="303"/>
      <c r="G117" s="302">
        <v>0.11210023817415059</v>
      </c>
      <c r="H117" s="302">
        <v>4.7178015345231653E-2</v>
      </c>
      <c r="I117" s="302">
        <v>0</v>
      </c>
      <c r="J117" s="302">
        <f t="shared" si="59"/>
        <v>0.15927825351938224</v>
      </c>
      <c r="K117" s="303"/>
      <c r="L117" s="302">
        <v>0.11520073815486984</v>
      </c>
      <c r="M117" s="302">
        <v>4.4910543244908306E-2</v>
      </c>
      <c r="N117" s="302">
        <v>0</v>
      </c>
      <c r="O117" s="302">
        <f t="shared" si="58"/>
        <v>0.16011128139977815</v>
      </c>
    </row>
    <row r="118" spans="1:15" s="236" customFormat="1" x14ac:dyDescent="0.25">
      <c r="A118" s="237" t="str">
        <f>name!E$11</f>
        <v>Process, plant and machine operatives</v>
      </c>
      <c r="B118" s="302">
        <v>0.23862138893629611</v>
      </c>
      <c r="C118" s="302">
        <v>1.017052702225902E-2</v>
      </c>
      <c r="D118" s="302">
        <v>2.9300241532950935E-2</v>
      </c>
      <c r="E118" s="302">
        <f t="shared" si="56"/>
        <v>0.27809215749150606</v>
      </c>
      <c r="F118" s="303"/>
      <c r="G118" s="302">
        <v>7.1288820952192203E-2</v>
      </c>
      <c r="H118" s="302">
        <v>3.0886758471275889E-3</v>
      </c>
      <c r="I118" s="302">
        <v>0</v>
      </c>
      <c r="J118" s="302">
        <f t="shared" si="59"/>
        <v>7.4377496799319792E-2</v>
      </c>
      <c r="K118" s="303"/>
      <c r="L118" s="302">
        <v>5.9226251461997829E-2</v>
      </c>
      <c r="M118" s="302">
        <v>2.9776126766695235E-3</v>
      </c>
      <c r="N118" s="302">
        <v>0</v>
      </c>
      <c r="O118" s="302">
        <f t="shared" si="58"/>
        <v>6.2203864138667353E-2</v>
      </c>
    </row>
    <row r="119" spans="1:15" s="236" customFormat="1" x14ac:dyDescent="0.25">
      <c r="A119" s="237" t="str">
        <f>name!E$12</f>
        <v>Elementary occupations</v>
      </c>
      <c r="B119" s="302">
        <v>6.2262807411402513E-2</v>
      </c>
      <c r="C119" s="302">
        <v>1.3011527239328285E-2</v>
      </c>
      <c r="D119" s="302">
        <v>1.1326502422840178E-2</v>
      </c>
      <c r="E119" s="302">
        <f t="shared" si="56"/>
        <v>8.6600837073570983E-2</v>
      </c>
      <c r="F119" s="303"/>
      <c r="G119" s="302">
        <v>1.900231097697553E-2</v>
      </c>
      <c r="H119" s="302">
        <v>3.8421246389135932E-3</v>
      </c>
      <c r="I119" s="302">
        <v>0</v>
      </c>
      <c r="J119" s="302">
        <f t="shared" si="59"/>
        <v>2.2844435615889124E-2</v>
      </c>
      <c r="K119" s="303"/>
      <c r="L119" s="302">
        <v>1.382603106580226E-2</v>
      </c>
      <c r="M119" s="302">
        <v>5.3984267895191874E-3</v>
      </c>
      <c r="N119" s="302">
        <v>0</v>
      </c>
      <c r="O119" s="302">
        <f t="shared" si="58"/>
        <v>1.9224457855321446E-2</v>
      </c>
    </row>
    <row r="120" spans="1:15" s="236" customFormat="1" x14ac:dyDescent="0.25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5">
      <c r="A121" s="244" t="s">
        <v>33</v>
      </c>
      <c r="B121" s="311">
        <f>SUM(B111:B119)</f>
        <v>4.6073687442393281</v>
      </c>
      <c r="C121" s="311">
        <f t="shared" ref="C121:E121" si="60">SUM(C111:C119)</f>
        <v>0.344108842497786</v>
      </c>
      <c r="D121" s="311">
        <f t="shared" si="60"/>
        <v>0.27352241326287963</v>
      </c>
      <c r="E121" s="311">
        <f t="shared" si="60"/>
        <v>5.2249999999999943</v>
      </c>
      <c r="F121" s="311"/>
      <c r="G121" s="311">
        <f t="shared" ref="G121:J121" si="61">SUM(G111:G119)</f>
        <v>1.8394517444888383</v>
      </c>
      <c r="H121" s="311">
        <f t="shared" si="61"/>
        <v>0.13154825551115967</v>
      </c>
      <c r="I121" s="311">
        <f t="shared" si="61"/>
        <v>0</v>
      </c>
      <c r="J121" s="311">
        <f t="shared" si="61"/>
        <v>1.9709999999999981</v>
      </c>
      <c r="K121" s="311"/>
      <c r="L121" s="311">
        <f t="shared" ref="L121:O121" si="62">SUM(L111:L119)</f>
        <v>1.6951236514522958</v>
      </c>
      <c r="M121" s="311">
        <f t="shared" si="62"/>
        <v>0.12287634854770721</v>
      </c>
      <c r="N121" s="311">
        <f t="shared" si="62"/>
        <v>0</v>
      </c>
      <c r="O121" s="311">
        <f t="shared" si="62"/>
        <v>1.8180000000000027</v>
      </c>
    </row>
    <row r="122" spans="1:15" s="236" customFormat="1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ht="13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ht="13" x14ac:dyDescent="0.3">
      <c r="A125" s="241" t="str">
        <f>name!B10</f>
        <v>Water and sewerage</v>
      </c>
      <c r="B125" s="378">
        <f>$B$6</f>
        <v>2015</v>
      </c>
      <c r="C125" s="378"/>
      <c r="D125" s="378"/>
      <c r="E125" s="378"/>
      <c r="F125" s="263"/>
      <c r="G125" s="378">
        <f>$G$6</f>
        <v>2020</v>
      </c>
      <c r="H125" s="378"/>
      <c r="I125" s="378"/>
      <c r="J125" s="378"/>
      <c r="K125" s="263"/>
      <c r="L125" s="378">
        <f>$L$6</f>
        <v>2035</v>
      </c>
      <c r="M125" s="378"/>
      <c r="N125" s="378"/>
      <c r="O125" s="378"/>
    </row>
    <row r="126" spans="1:15" s="236" customFormat="1" ht="13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ht="13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5">
      <c r="A128" s="237" t="str">
        <f>name!E$4</f>
        <v>Managers, directors and senior officials</v>
      </c>
      <c r="B128" s="302">
        <v>0.35276889983424564</v>
      </c>
      <c r="C128" s="302">
        <v>1.3654080930277661E-2</v>
      </c>
      <c r="D128" s="302">
        <v>4.0064642917630455E-2</v>
      </c>
      <c r="E128" s="302">
        <f>SUM(B128:D128)</f>
        <v>0.40648762368215374</v>
      </c>
      <c r="F128" s="303"/>
      <c r="G128" s="302">
        <v>0.29291136968158182</v>
      </c>
      <c r="H128" s="302">
        <v>7.3736786774920932E-2</v>
      </c>
      <c r="I128" s="302">
        <v>1.8598554533802267E-3</v>
      </c>
      <c r="J128" s="302">
        <f>SUM(G128:I128)</f>
        <v>0.36850801190988297</v>
      </c>
      <c r="K128" s="303"/>
      <c r="L128" s="302">
        <v>0.2923924602782465</v>
      </c>
      <c r="M128" s="302">
        <v>7.9517396055376E-2</v>
      </c>
      <c r="N128" s="302">
        <v>1.7968443068749065E-3</v>
      </c>
      <c r="O128" s="302">
        <f>SUM(L128:N128)</f>
        <v>0.37370670064049744</v>
      </c>
    </row>
    <row r="129" spans="1:15" s="236" customFormat="1" x14ac:dyDescent="0.25">
      <c r="A129" s="237" t="str">
        <f>name!E$5</f>
        <v>Professional occupations</v>
      </c>
      <c r="B129" s="302">
        <v>0.36509117318246664</v>
      </c>
      <c r="C129" s="302">
        <v>3.0181565832542789E-2</v>
      </c>
      <c r="D129" s="302">
        <v>2.6122131022644112E-2</v>
      </c>
      <c r="E129" s="302">
        <f t="shared" ref="E129:E136" si="63">SUM(B129:D129)</f>
        <v>0.42139487003765352</v>
      </c>
      <c r="F129" s="303"/>
      <c r="G129" s="302">
        <v>0.33785877992726077</v>
      </c>
      <c r="H129" s="302">
        <v>7.5804004611856157E-2</v>
      </c>
      <c r="I129" s="302">
        <v>2.6845234363085629E-3</v>
      </c>
      <c r="J129" s="302">
        <f t="shared" ref="J129:J131" si="64">SUM(G129:I129)</f>
        <v>0.41634730797542546</v>
      </c>
      <c r="K129" s="303"/>
      <c r="L129" s="302">
        <v>0.41841724356848131</v>
      </c>
      <c r="M129" s="302">
        <v>8.7969687845561945E-2</v>
      </c>
      <c r="N129" s="302">
        <v>2.4443062492665222E-3</v>
      </c>
      <c r="O129" s="302">
        <f t="shared" ref="O129:O136" si="65">SUM(L129:N129)</f>
        <v>0.50883123766330973</v>
      </c>
    </row>
    <row r="130" spans="1:15" s="236" customFormat="1" x14ac:dyDescent="0.25">
      <c r="A130" s="237" t="str">
        <f>name!E$6</f>
        <v>Associate professional occupations</v>
      </c>
      <c r="B130" s="302">
        <v>0.47716788470891597</v>
      </c>
      <c r="C130" s="302">
        <v>6.180894128871002E-2</v>
      </c>
      <c r="D130" s="302">
        <v>2.9321903208154611E-2</v>
      </c>
      <c r="E130" s="302">
        <f t="shared" si="63"/>
        <v>0.56829872920578062</v>
      </c>
      <c r="F130" s="303"/>
      <c r="G130" s="302">
        <v>0.46278781086902449</v>
      </c>
      <c r="H130" s="302">
        <v>0.13153508461496852</v>
      </c>
      <c r="I130" s="302">
        <v>2.9399426975088901E-3</v>
      </c>
      <c r="J130" s="302">
        <f t="shared" si="64"/>
        <v>0.59726283818150183</v>
      </c>
      <c r="K130" s="303"/>
      <c r="L130" s="302">
        <v>0.53965342483106404</v>
      </c>
      <c r="M130" s="302">
        <v>0.10668252006536368</v>
      </c>
      <c r="N130" s="302">
        <v>3.279148606813915E-3</v>
      </c>
      <c r="O130" s="302">
        <f t="shared" si="65"/>
        <v>0.64961509350324165</v>
      </c>
    </row>
    <row r="131" spans="1:15" s="236" customFormat="1" x14ac:dyDescent="0.25">
      <c r="A131" s="237" t="str">
        <f>name!E$7</f>
        <v>Administrative and secretarial occupations</v>
      </c>
      <c r="B131" s="302">
        <v>0.2753760313336126</v>
      </c>
      <c r="C131" s="302">
        <v>9.3025211746468717E-2</v>
      </c>
      <c r="D131" s="302">
        <v>8.1886759855167232E-3</v>
      </c>
      <c r="E131" s="302">
        <f t="shared" si="63"/>
        <v>0.37658991906559802</v>
      </c>
      <c r="F131" s="303"/>
      <c r="G131" s="302">
        <v>0.24241271020923555</v>
      </c>
      <c r="H131" s="302">
        <v>0.23309342117726584</v>
      </c>
      <c r="I131" s="302">
        <v>7.8457759807900392E-4</v>
      </c>
      <c r="J131" s="302">
        <f t="shared" si="64"/>
        <v>0.47629070898458037</v>
      </c>
      <c r="K131" s="303"/>
      <c r="L131" s="302">
        <v>0.24553971534357849</v>
      </c>
      <c r="M131" s="302">
        <v>0.23809786249392789</v>
      </c>
      <c r="N131" s="302">
        <v>6.2724870231659687E-4</v>
      </c>
      <c r="O131" s="302">
        <f t="shared" si="65"/>
        <v>0.484264826539823</v>
      </c>
    </row>
    <row r="132" spans="1:15" s="236" customFormat="1" x14ac:dyDescent="0.25">
      <c r="A132" s="237" t="str">
        <f>name!E$8</f>
        <v>Skilled trades occupations</v>
      </c>
      <c r="B132" s="302">
        <v>0.41161179026552075</v>
      </c>
      <c r="C132" s="302">
        <v>1.4972661707314091E-2</v>
      </c>
      <c r="D132" s="302">
        <v>7.3873869811652199E-2</v>
      </c>
      <c r="E132" s="302">
        <f t="shared" si="63"/>
        <v>0.50045832178448701</v>
      </c>
      <c r="F132" s="303"/>
      <c r="G132" s="302">
        <v>0.25985061754196981</v>
      </c>
      <c r="H132" s="302">
        <v>0.11254773644558787</v>
      </c>
      <c r="I132" s="302">
        <v>3.8107439573771278E-3</v>
      </c>
      <c r="J132" s="302">
        <f>SUM(G132:I132)</f>
        <v>0.37620909794493479</v>
      </c>
      <c r="K132" s="303"/>
      <c r="L132" s="302">
        <v>0.24317391376846276</v>
      </c>
      <c r="M132" s="302">
        <v>0.16294453238401027</v>
      </c>
      <c r="N132" s="302">
        <v>3.3207712974657024E-3</v>
      </c>
      <c r="O132" s="302">
        <f t="shared" si="65"/>
        <v>0.40943921744993877</v>
      </c>
    </row>
    <row r="133" spans="1:15" s="236" customFormat="1" x14ac:dyDescent="0.25">
      <c r="A133" s="237" t="str">
        <f>name!E$9</f>
        <v>Caring, leisure and other service occupations</v>
      </c>
      <c r="B133" s="302">
        <v>8.2416321686391403E-2</v>
      </c>
      <c r="C133" s="302">
        <v>1.0522671301083425E-2</v>
      </c>
      <c r="D133" s="302">
        <v>1.4897681983066791E-2</v>
      </c>
      <c r="E133" s="302">
        <f t="shared" si="63"/>
        <v>0.10783667497054161</v>
      </c>
      <c r="F133" s="303"/>
      <c r="G133" s="302">
        <v>7.4988869330967406E-2</v>
      </c>
      <c r="H133" s="302">
        <v>1.9874125722830614E-2</v>
      </c>
      <c r="I133" s="302">
        <v>1.4418460979310581E-3</v>
      </c>
      <c r="J133" s="302">
        <f t="shared" ref="J133:J136" si="66">SUM(G133:I133)</f>
        <v>9.630484115172909E-2</v>
      </c>
      <c r="K133" s="303"/>
      <c r="L133" s="302">
        <v>9.7880264417875881E-2</v>
      </c>
      <c r="M133" s="302">
        <v>1.4816556428525911E-2</v>
      </c>
      <c r="N133" s="302">
        <v>1.5614690400486716E-3</v>
      </c>
      <c r="O133" s="302">
        <f t="shared" si="65"/>
        <v>0.11425828988645045</v>
      </c>
    </row>
    <row r="134" spans="1:15" s="236" customFormat="1" x14ac:dyDescent="0.25">
      <c r="A134" s="237" t="str">
        <f>name!E$10</f>
        <v>Sales and customer service occupations</v>
      </c>
      <c r="B134" s="302">
        <v>0.10367336329064827</v>
      </c>
      <c r="C134" s="302">
        <v>3.4779742423577654E-2</v>
      </c>
      <c r="D134" s="302">
        <v>1.1518307024203114E-2</v>
      </c>
      <c r="E134" s="302">
        <f t="shared" si="63"/>
        <v>0.14997141273842904</v>
      </c>
      <c r="F134" s="303"/>
      <c r="G134" s="302">
        <v>8.3682327052265387E-2</v>
      </c>
      <c r="H134" s="302">
        <v>0.11876500929707907</v>
      </c>
      <c r="I134" s="302">
        <v>4.2870443902762916E-4</v>
      </c>
      <c r="J134" s="302">
        <f t="shared" si="66"/>
        <v>0.2028760407883721</v>
      </c>
      <c r="K134" s="303"/>
      <c r="L134" s="302">
        <v>0.10420744325378291</v>
      </c>
      <c r="M134" s="302">
        <v>9.0225907673984654E-2</v>
      </c>
      <c r="N134" s="302">
        <v>2.5505772819145255E-4</v>
      </c>
      <c r="O134" s="302">
        <f t="shared" si="65"/>
        <v>0.19468840865595902</v>
      </c>
    </row>
    <row r="135" spans="1:15" s="236" customFormat="1" x14ac:dyDescent="0.25">
      <c r="A135" s="237" t="str">
        <f>name!E$11</f>
        <v>Process, plant and machine operatives</v>
      </c>
      <c r="B135" s="302">
        <v>0.99211218997173478</v>
      </c>
      <c r="C135" s="302">
        <v>1.5277507642856103E-2</v>
      </c>
      <c r="D135" s="302">
        <v>1.1785161092317529E-2</v>
      </c>
      <c r="E135" s="302">
        <f t="shared" si="63"/>
        <v>1.0191748587069083</v>
      </c>
      <c r="F135" s="303"/>
      <c r="G135" s="302">
        <v>0.59678907580333262</v>
      </c>
      <c r="H135" s="302">
        <v>0.15462655461418517</v>
      </c>
      <c r="I135" s="302">
        <v>6.5522522303903608E-4</v>
      </c>
      <c r="J135" s="302">
        <f t="shared" si="66"/>
        <v>0.75207085564055687</v>
      </c>
      <c r="K135" s="303"/>
      <c r="L135" s="302">
        <v>0.62221022113763114</v>
      </c>
      <c r="M135" s="302">
        <v>0.18661709563327669</v>
      </c>
      <c r="N135" s="302">
        <v>3.2159979914106934E-4</v>
      </c>
      <c r="O135" s="302">
        <f t="shared" si="65"/>
        <v>0.80914891657004884</v>
      </c>
    </row>
    <row r="136" spans="1:15" s="236" customFormat="1" x14ac:dyDescent="0.25">
      <c r="A136" s="237" t="str">
        <f>name!E$12</f>
        <v>Elementary occupations</v>
      </c>
      <c r="B136" s="302">
        <v>0.69739579604675128</v>
      </c>
      <c r="C136" s="302">
        <v>6.1915845647030197E-2</v>
      </c>
      <c r="D136" s="302">
        <v>2.2475948114652328E-2</v>
      </c>
      <c r="E136" s="302">
        <f t="shared" si="63"/>
        <v>0.78178758980843388</v>
      </c>
      <c r="F136" s="303"/>
      <c r="G136" s="302">
        <v>0.41108765508559653</v>
      </c>
      <c r="H136" s="302">
        <v>0.10475753580377352</v>
      </c>
      <c r="I136" s="302">
        <v>1.2851065336433058E-3</v>
      </c>
      <c r="J136" s="302">
        <f t="shared" si="66"/>
        <v>0.51713029742301342</v>
      </c>
      <c r="K136" s="303"/>
      <c r="L136" s="302">
        <v>0.37527487213525756</v>
      </c>
      <c r="M136" s="302">
        <v>0.12630278933395525</v>
      </c>
      <c r="N136" s="302">
        <v>2.4696476215114675E-3</v>
      </c>
      <c r="O136" s="302">
        <f t="shared" si="65"/>
        <v>0.50404730909072426</v>
      </c>
    </row>
    <row r="137" spans="1:15" s="236" customFormat="1" x14ac:dyDescent="0.25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5">
      <c r="A138" s="244" t="s">
        <v>33</v>
      </c>
      <c r="B138" s="311">
        <f>SUM(B128:B136)</f>
        <v>3.7576134503202874</v>
      </c>
      <c r="C138" s="311">
        <f t="shared" ref="C138:E138" si="67">SUM(C128:C136)</f>
        <v>0.33613822851986069</v>
      </c>
      <c r="D138" s="311">
        <f t="shared" si="67"/>
        <v>0.23824832115983788</v>
      </c>
      <c r="E138" s="311">
        <f t="shared" si="67"/>
        <v>4.3319999999999856</v>
      </c>
      <c r="F138" s="311"/>
      <c r="G138" s="311">
        <f t="shared" ref="G138:J138" si="68">SUM(G128:G136)</f>
        <v>2.7623692155012347</v>
      </c>
      <c r="H138" s="311">
        <f t="shared" si="68"/>
        <v>1.0247402590624679</v>
      </c>
      <c r="I138" s="311">
        <f t="shared" si="68"/>
        <v>1.589052543629484E-2</v>
      </c>
      <c r="J138" s="311">
        <f t="shared" si="68"/>
        <v>3.8029999999999964</v>
      </c>
      <c r="K138" s="311"/>
      <c r="L138" s="311">
        <f t="shared" ref="L138:O138" si="69">SUM(L128:L136)</f>
        <v>2.9387495587343806</v>
      </c>
      <c r="M138" s="311">
        <f t="shared" si="69"/>
        <v>1.0931743479139824</v>
      </c>
      <c r="N138" s="311">
        <f t="shared" si="69"/>
        <v>1.6076093351630308E-2</v>
      </c>
      <c r="O138" s="311">
        <f t="shared" si="69"/>
        <v>4.0479999999999929</v>
      </c>
    </row>
    <row r="139" spans="1:15" s="236" customFormat="1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ht="13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ht="13" x14ac:dyDescent="0.3">
      <c r="A142" s="241" t="str">
        <f>name!B11</f>
        <v>Construction</v>
      </c>
      <c r="B142" s="378">
        <f>$B$6</f>
        <v>2015</v>
      </c>
      <c r="C142" s="378"/>
      <c r="D142" s="378"/>
      <c r="E142" s="378"/>
      <c r="F142" s="263"/>
      <c r="G142" s="378">
        <f>$G$6</f>
        <v>2020</v>
      </c>
      <c r="H142" s="378"/>
      <c r="I142" s="378"/>
      <c r="J142" s="378"/>
      <c r="K142" s="263"/>
      <c r="L142" s="378">
        <f>$L$6</f>
        <v>2035</v>
      </c>
      <c r="M142" s="378"/>
      <c r="N142" s="378"/>
      <c r="O142" s="378"/>
    </row>
    <row r="143" spans="1:15" s="236" customFormat="1" ht="13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ht="13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5">
      <c r="A145" s="237" t="str">
        <f>name!E$4</f>
        <v>Managers, directors and senior officials</v>
      </c>
      <c r="B145" s="302">
        <v>1.4930937127127126</v>
      </c>
      <c r="C145" s="302">
        <v>0.20345596126372301</v>
      </c>
      <c r="D145" s="302">
        <v>0.53221903289365924</v>
      </c>
      <c r="E145" s="302">
        <f>SUM(B145:D145)</f>
        <v>2.228768706870095</v>
      </c>
      <c r="F145" s="303"/>
      <c r="G145" s="302">
        <v>1.7208104167084197</v>
      </c>
      <c r="H145" s="302">
        <v>0.29368053999383087</v>
      </c>
      <c r="I145" s="302">
        <v>1.3441040944335945</v>
      </c>
      <c r="J145" s="302">
        <f>SUM(G145:I145)</f>
        <v>3.3585950511358451</v>
      </c>
      <c r="K145" s="303"/>
      <c r="L145" s="302">
        <v>1.6566108271919484</v>
      </c>
      <c r="M145" s="302">
        <v>0.32118568086494859</v>
      </c>
      <c r="N145" s="302">
        <v>1.4379624131433661</v>
      </c>
      <c r="O145" s="302">
        <f>SUM(L145:N145)</f>
        <v>3.415758921200263</v>
      </c>
    </row>
    <row r="146" spans="1:15" s="236" customFormat="1" x14ac:dyDescent="0.25">
      <c r="A146" s="237" t="str">
        <f>name!E$5</f>
        <v>Professional occupations</v>
      </c>
      <c r="B146" s="302">
        <v>2.6253785973371486</v>
      </c>
      <c r="C146" s="302">
        <v>0.14214412097355045</v>
      </c>
      <c r="D146" s="302">
        <v>0.38233204531891857</v>
      </c>
      <c r="E146" s="302">
        <f t="shared" ref="E146:E153" si="70">SUM(B146:D146)</f>
        <v>3.1498547636296177</v>
      </c>
      <c r="F146" s="303"/>
      <c r="G146" s="302">
        <v>3.3008320197639267</v>
      </c>
      <c r="H146" s="302">
        <v>0.17601499367367415</v>
      </c>
      <c r="I146" s="302">
        <v>0.90497371262690152</v>
      </c>
      <c r="J146" s="302">
        <f t="shared" ref="J146:J148" si="71">SUM(G146:I146)</f>
        <v>4.3818207260645021</v>
      </c>
      <c r="K146" s="303"/>
      <c r="L146" s="302">
        <v>4.4954704542312314</v>
      </c>
      <c r="M146" s="302">
        <v>0.20865337794591707</v>
      </c>
      <c r="N146" s="302">
        <v>0.73480672955160531</v>
      </c>
      <c r="O146" s="302">
        <f t="shared" ref="O146:O153" si="72">SUM(L146:N146)</f>
        <v>5.4389305617287542</v>
      </c>
    </row>
    <row r="147" spans="1:15" s="236" customFormat="1" x14ac:dyDescent="0.25">
      <c r="A147" s="237" t="str">
        <f>name!E$6</f>
        <v>Associate professional occupations</v>
      </c>
      <c r="B147" s="302">
        <v>1.2810413251794557</v>
      </c>
      <c r="C147" s="302">
        <v>0.19246993459239373</v>
      </c>
      <c r="D147" s="302">
        <v>0.13761913172150378</v>
      </c>
      <c r="E147" s="302">
        <f t="shared" si="70"/>
        <v>1.6111303914933532</v>
      </c>
      <c r="F147" s="303"/>
      <c r="G147" s="302">
        <v>1.5557220483772085</v>
      </c>
      <c r="H147" s="302">
        <v>0.21938072571716696</v>
      </c>
      <c r="I147" s="302">
        <v>0.25530681134059041</v>
      </c>
      <c r="J147" s="302">
        <f t="shared" si="71"/>
        <v>2.030409585434966</v>
      </c>
      <c r="K147" s="303"/>
      <c r="L147" s="302">
        <v>1.6768458469411371</v>
      </c>
      <c r="M147" s="302">
        <v>0.20804198182670486</v>
      </c>
      <c r="N147" s="302">
        <v>0.2749137830422434</v>
      </c>
      <c r="O147" s="302">
        <f t="shared" si="72"/>
        <v>2.1598016118100851</v>
      </c>
    </row>
    <row r="148" spans="1:15" s="236" customFormat="1" x14ac:dyDescent="0.25">
      <c r="A148" s="237" t="str">
        <f>name!E$7</f>
        <v>Administrative and secretarial occupations</v>
      </c>
      <c r="B148" s="302">
        <v>1.5801616871682624</v>
      </c>
      <c r="C148" s="302">
        <v>1.0939156184362333</v>
      </c>
      <c r="D148" s="302">
        <v>0.30169517959235748</v>
      </c>
      <c r="E148" s="302">
        <f t="shared" si="70"/>
        <v>2.9757724851968534</v>
      </c>
      <c r="F148" s="303"/>
      <c r="G148" s="302">
        <v>1.6205680960562663</v>
      </c>
      <c r="H148" s="302">
        <v>0.9808437719233235</v>
      </c>
      <c r="I148" s="302">
        <v>0.29960200092020633</v>
      </c>
      <c r="J148" s="302">
        <f t="shared" si="71"/>
        <v>2.901013868899796</v>
      </c>
      <c r="K148" s="303"/>
      <c r="L148" s="302">
        <v>1.4779317699629064</v>
      </c>
      <c r="M148" s="302">
        <v>0.99221870296724257</v>
      </c>
      <c r="N148" s="302">
        <v>0.22549633680123718</v>
      </c>
      <c r="O148" s="302">
        <f t="shared" si="72"/>
        <v>2.6956468097313864</v>
      </c>
    </row>
    <row r="149" spans="1:15" s="236" customFormat="1" x14ac:dyDescent="0.25">
      <c r="A149" s="237" t="str">
        <f>name!E$8</f>
        <v>Skilled trades occupations</v>
      </c>
      <c r="B149" s="302">
        <v>8.4916912934519857</v>
      </c>
      <c r="C149" s="302">
        <v>0.46880469354202853</v>
      </c>
      <c r="D149" s="302">
        <v>7.1768822983612743</v>
      </c>
      <c r="E149" s="302">
        <f t="shared" si="70"/>
        <v>16.13737828535529</v>
      </c>
      <c r="F149" s="303"/>
      <c r="G149" s="302">
        <v>6.5698551698746286</v>
      </c>
      <c r="H149" s="302">
        <v>0.23215470730141938</v>
      </c>
      <c r="I149" s="302">
        <v>11.708621563699152</v>
      </c>
      <c r="J149" s="302">
        <f>SUM(G149:I149)</f>
        <v>18.510631440875201</v>
      </c>
      <c r="K149" s="303"/>
      <c r="L149" s="302">
        <v>5.0494942228827409</v>
      </c>
      <c r="M149" s="302">
        <v>0.32588335806054158</v>
      </c>
      <c r="N149" s="302">
        <v>11.638575895008159</v>
      </c>
      <c r="O149" s="302">
        <f t="shared" si="72"/>
        <v>17.013953475951443</v>
      </c>
    </row>
    <row r="150" spans="1:15" s="236" customFormat="1" x14ac:dyDescent="0.25">
      <c r="A150" s="237" t="str">
        <f>name!E$9</f>
        <v>Caring, leisure and other service occupations</v>
      </c>
      <c r="B150" s="302">
        <v>4.5106815829444952E-2</v>
      </c>
      <c r="C150" s="302">
        <v>2.4910240344349275E-2</v>
      </c>
      <c r="D150" s="302">
        <v>1.1241763804422355E-2</v>
      </c>
      <c r="E150" s="302">
        <f t="shared" si="70"/>
        <v>8.1258819978216573E-2</v>
      </c>
      <c r="F150" s="303"/>
      <c r="G150" s="302">
        <v>4.7375726822376368E-2</v>
      </c>
      <c r="H150" s="302">
        <v>2.1108821555838545E-2</v>
      </c>
      <c r="I150" s="302">
        <v>1.5491377238898348E-2</v>
      </c>
      <c r="J150" s="302">
        <f t="shared" ref="J150:J153" si="73">SUM(G150:I150)</f>
        <v>8.3975925617113256E-2</v>
      </c>
      <c r="K150" s="303"/>
      <c r="L150" s="302">
        <v>4.3377140109043644E-2</v>
      </c>
      <c r="M150" s="302">
        <v>1.7216698415121766E-2</v>
      </c>
      <c r="N150" s="302">
        <v>2.2573861662153791E-2</v>
      </c>
      <c r="O150" s="302">
        <f t="shared" si="72"/>
        <v>8.3167700186319193E-2</v>
      </c>
    </row>
    <row r="151" spans="1:15" s="236" customFormat="1" x14ac:dyDescent="0.25">
      <c r="A151" s="237" t="str">
        <f>name!E$10</f>
        <v>Sales and customer service occupations</v>
      </c>
      <c r="B151" s="302">
        <v>0.36920438009815698</v>
      </c>
      <c r="C151" s="302">
        <v>0.23585485336193246</v>
      </c>
      <c r="D151" s="302">
        <v>6.5919860577852138E-2</v>
      </c>
      <c r="E151" s="302">
        <f t="shared" si="70"/>
        <v>0.67097909403794165</v>
      </c>
      <c r="F151" s="303"/>
      <c r="G151" s="302">
        <v>0.36874885131132745</v>
      </c>
      <c r="H151" s="302">
        <v>0.22499628407963854</v>
      </c>
      <c r="I151" s="302">
        <v>0.10397724741876782</v>
      </c>
      <c r="J151" s="302">
        <f t="shared" si="73"/>
        <v>0.69772238280973375</v>
      </c>
      <c r="K151" s="303"/>
      <c r="L151" s="302">
        <v>0.38036558000713633</v>
      </c>
      <c r="M151" s="302">
        <v>0.24126125047487346</v>
      </c>
      <c r="N151" s="302">
        <v>0.11357816094377637</v>
      </c>
      <c r="O151" s="302">
        <f t="shared" si="72"/>
        <v>0.73520499142578621</v>
      </c>
    </row>
    <row r="152" spans="1:15" s="236" customFormat="1" x14ac:dyDescent="0.25">
      <c r="A152" s="237" t="str">
        <f>name!E$11</f>
        <v>Process, plant and machine operatives</v>
      </c>
      <c r="B152" s="302">
        <v>2.0229052492396784</v>
      </c>
      <c r="C152" s="302">
        <v>0.10312066688290816</v>
      </c>
      <c r="D152" s="302">
        <v>0.48597263782407241</v>
      </c>
      <c r="E152" s="302">
        <f t="shared" si="70"/>
        <v>2.611998553946659</v>
      </c>
      <c r="F152" s="303"/>
      <c r="G152" s="302">
        <v>1.5789809584996426</v>
      </c>
      <c r="H152" s="302">
        <v>8.9253946099223699E-2</v>
      </c>
      <c r="I152" s="302">
        <v>1.0879829394702596</v>
      </c>
      <c r="J152" s="302">
        <f t="shared" si="73"/>
        <v>2.7562178440691261</v>
      </c>
      <c r="K152" s="303"/>
      <c r="L152" s="302">
        <v>1.3891924236442319</v>
      </c>
      <c r="M152" s="302">
        <v>8.4388629129360418E-2</v>
      </c>
      <c r="N152" s="302">
        <v>1.6048724904787073</v>
      </c>
      <c r="O152" s="302">
        <f t="shared" si="72"/>
        <v>3.0784535432522997</v>
      </c>
    </row>
    <row r="153" spans="1:15" s="236" customFormat="1" x14ac:dyDescent="0.25">
      <c r="A153" s="237" t="str">
        <f>name!E$12</f>
        <v>Elementary occupations</v>
      </c>
      <c r="B153" s="302">
        <v>1.0877920901369798</v>
      </c>
      <c r="C153" s="302">
        <v>0.58140394459422184</v>
      </c>
      <c r="D153" s="302">
        <v>0.62666286476074895</v>
      </c>
      <c r="E153" s="302">
        <f t="shared" si="70"/>
        <v>2.2958588994919507</v>
      </c>
      <c r="F153" s="303"/>
      <c r="G153" s="302">
        <v>0.82133785786654423</v>
      </c>
      <c r="H153" s="302">
        <v>0.41160841324782027</v>
      </c>
      <c r="I153" s="302">
        <v>1.0616669039793134</v>
      </c>
      <c r="J153" s="302">
        <f t="shared" si="73"/>
        <v>2.2946131750936778</v>
      </c>
      <c r="K153" s="303"/>
      <c r="L153" s="302">
        <v>0.98059324904024681</v>
      </c>
      <c r="M153" s="302">
        <v>0.39140102616356209</v>
      </c>
      <c r="N153" s="302">
        <v>1.4570881095097985</v>
      </c>
      <c r="O153" s="302">
        <f t="shared" si="72"/>
        <v>2.8290823847136073</v>
      </c>
    </row>
    <row r="154" spans="1:15" s="236" customFormat="1" x14ac:dyDescent="0.25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5">
      <c r="A155" s="244" t="s">
        <v>33</v>
      </c>
      <c r="B155" s="311">
        <f>SUM(B145:B153)</f>
        <v>18.996375151153824</v>
      </c>
      <c r="C155" s="311">
        <f t="shared" ref="C155:E155" si="74">SUM(C145:C153)</f>
        <v>3.0460800339913408</v>
      </c>
      <c r="D155" s="311">
        <f t="shared" si="74"/>
        <v>9.7205448148548097</v>
      </c>
      <c r="E155" s="311">
        <f t="shared" si="74"/>
        <v>31.76299999999998</v>
      </c>
      <c r="F155" s="311"/>
      <c r="G155" s="311">
        <f t="shared" ref="G155:J155" si="75">SUM(G145:G153)</f>
        <v>17.584231145280341</v>
      </c>
      <c r="H155" s="311">
        <f t="shared" si="75"/>
        <v>2.6490422035919359</v>
      </c>
      <c r="I155" s="311">
        <f t="shared" si="75"/>
        <v>16.781726651127684</v>
      </c>
      <c r="J155" s="311">
        <f t="shared" si="75"/>
        <v>37.014999999999965</v>
      </c>
      <c r="K155" s="311"/>
      <c r="L155" s="311">
        <f t="shared" ref="L155:O155" si="76">SUM(L145:L153)</f>
        <v>17.149881514010623</v>
      </c>
      <c r="M155" s="311">
        <f t="shared" si="76"/>
        <v>2.7902507058482722</v>
      </c>
      <c r="N155" s="311">
        <f t="shared" si="76"/>
        <v>17.509867780141047</v>
      </c>
      <c r="O155" s="311">
        <f t="shared" si="76"/>
        <v>37.449999999999946</v>
      </c>
    </row>
    <row r="156" spans="1:15" s="236" customFormat="1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ht="13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ht="13" x14ac:dyDescent="0.3">
      <c r="A159" s="241" t="str">
        <f>name!B12</f>
        <v>Wholesale and retail trade</v>
      </c>
      <c r="B159" s="378">
        <f>$B$6</f>
        <v>2015</v>
      </c>
      <c r="C159" s="378"/>
      <c r="D159" s="378"/>
      <c r="E159" s="378"/>
      <c r="F159" s="263"/>
      <c r="G159" s="378">
        <f>$G$6</f>
        <v>2020</v>
      </c>
      <c r="H159" s="378"/>
      <c r="I159" s="378"/>
      <c r="J159" s="378"/>
      <c r="K159" s="263"/>
      <c r="L159" s="378">
        <f>$L$6</f>
        <v>2035</v>
      </c>
      <c r="M159" s="378"/>
      <c r="N159" s="378"/>
      <c r="O159" s="378"/>
    </row>
    <row r="160" spans="1:15" s="236" customFormat="1" ht="13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ht="13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5">
      <c r="A162" s="237" t="str">
        <f>name!E$4</f>
        <v>Managers, directors and senior officials</v>
      </c>
      <c r="B162" s="302">
        <v>8.7425722422970242</v>
      </c>
      <c r="C162" s="302">
        <v>1.0098103497193562</v>
      </c>
      <c r="D162" s="302">
        <v>2.0658472161842081</v>
      </c>
      <c r="E162" s="302">
        <f>SUM(B162:D162)</f>
        <v>11.818229808200588</v>
      </c>
      <c r="F162" s="303"/>
      <c r="G162" s="302">
        <v>9.3412988370571295</v>
      </c>
      <c r="H162" s="302">
        <v>1.6685324683090761</v>
      </c>
      <c r="I162" s="302">
        <v>2.0982552371959495</v>
      </c>
      <c r="J162" s="302">
        <f>SUM(G162:I162)</f>
        <v>13.108086542562155</v>
      </c>
      <c r="K162" s="303"/>
      <c r="L162" s="302">
        <v>9.6321157619226803</v>
      </c>
      <c r="M162" s="302">
        <v>1.8705432271455078</v>
      </c>
      <c r="N162" s="302">
        <v>2.3584010330810963</v>
      </c>
      <c r="O162" s="302">
        <f>SUM(L162:N162)</f>
        <v>13.861060022149283</v>
      </c>
    </row>
    <row r="163" spans="1:15" s="236" customFormat="1" x14ac:dyDescent="0.25">
      <c r="A163" s="237" t="str">
        <f>name!E$5</f>
        <v>Professional occupations</v>
      </c>
      <c r="B163" s="302">
        <v>5.6686978105503094</v>
      </c>
      <c r="C163" s="302">
        <v>1.5749228361908272</v>
      </c>
      <c r="D163" s="302">
        <v>0.62719805984928412</v>
      </c>
      <c r="E163" s="302">
        <f t="shared" ref="E163:E170" si="77">SUM(B163:D163)</f>
        <v>7.8708187065904216</v>
      </c>
      <c r="F163" s="303"/>
      <c r="G163" s="302">
        <v>6.8489897408456093</v>
      </c>
      <c r="H163" s="302">
        <v>2.1018719631299536</v>
      </c>
      <c r="I163" s="302">
        <v>0.47127749419579151</v>
      </c>
      <c r="J163" s="302">
        <f t="shared" ref="J163:J165" si="78">SUM(G163:I163)</f>
        <v>9.4221391981713527</v>
      </c>
      <c r="K163" s="303"/>
      <c r="L163" s="302">
        <v>9.1882905628837879</v>
      </c>
      <c r="M163" s="302">
        <v>2.2147795399846637</v>
      </c>
      <c r="N163" s="302">
        <v>0.37382559844929736</v>
      </c>
      <c r="O163" s="302">
        <f t="shared" ref="O163:O170" si="79">SUM(L163:N163)</f>
        <v>11.776895701317748</v>
      </c>
    </row>
    <row r="164" spans="1:15" s="236" customFormat="1" x14ac:dyDescent="0.25">
      <c r="A164" s="237" t="str">
        <f>name!E$6</f>
        <v>Associate professional occupations</v>
      </c>
      <c r="B164" s="302">
        <v>5.4642217261388319</v>
      </c>
      <c r="C164" s="302">
        <v>1.4313773667508252</v>
      </c>
      <c r="D164" s="302">
        <v>0.36396156153032877</v>
      </c>
      <c r="E164" s="302">
        <f t="shared" si="77"/>
        <v>7.2595606544199862</v>
      </c>
      <c r="F164" s="303"/>
      <c r="G164" s="302">
        <v>5.9907881083136321</v>
      </c>
      <c r="H164" s="302">
        <v>1.6785309176879237</v>
      </c>
      <c r="I164" s="302">
        <v>0.29054621733537944</v>
      </c>
      <c r="J164" s="302">
        <f t="shared" si="78"/>
        <v>7.9598652433369352</v>
      </c>
      <c r="K164" s="303"/>
      <c r="L164" s="302">
        <v>6.75794692678235</v>
      </c>
      <c r="M164" s="302">
        <v>1.5407817697695672</v>
      </c>
      <c r="N164" s="302">
        <v>0.27281975907695788</v>
      </c>
      <c r="O164" s="302">
        <f t="shared" si="79"/>
        <v>8.571548455628875</v>
      </c>
    </row>
    <row r="165" spans="1:15" s="236" customFormat="1" x14ac:dyDescent="0.25">
      <c r="A165" s="237" t="str">
        <f>name!E$7</f>
        <v>Administrative and secretarial occupations</v>
      </c>
      <c r="B165" s="302">
        <v>6.2740527675945312</v>
      </c>
      <c r="C165" s="302">
        <v>3.1389828086865608</v>
      </c>
      <c r="D165" s="302">
        <v>0.12045380204521443</v>
      </c>
      <c r="E165" s="302">
        <f t="shared" si="77"/>
        <v>9.5334893783263066</v>
      </c>
      <c r="F165" s="303"/>
      <c r="G165" s="302">
        <v>6.1928754747030474</v>
      </c>
      <c r="H165" s="302">
        <v>3.2472414716941111</v>
      </c>
      <c r="I165" s="302">
        <v>0.1500110674613962</v>
      </c>
      <c r="J165" s="302">
        <f t="shared" si="78"/>
        <v>9.5901280138585534</v>
      </c>
      <c r="K165" s="303"/>
      <c r="L165" s="302">
        <v>7.0103389274598999</v>
      </c>
      <c r="M165" s="302">
        <v>3.0198596436791512</v>
      </c>
      <c r="N165" s="302">
        <v>0.10749224212553915</v>
      </c>
      <c r="O165" s="302">
        <f t="shared" si="79"/>
        <v>10.137690813264591</v>
      </c>
    </row>
    <row r="166" spans="1:15" s="236" customFormat="1" x14ac:dyDescent="0.25">
      <c r="A166" s="237" t="str">
        <f>name!E$8</f>
        <v>Skilled trades occupations</v>
      </c>
      <c r="B166" s="302">
        <v>6.8867721697763926</v>
      </c>
      <c r="C166" s="302">
        <v>0.9967436286079967</v>
      </c>
      <c r="D166" s="302">
        <v>1.8555136946355806</v>
      </c>
      <c r="E166" s="302">
        <f t="shared" si="77"/>
        <v>9.7390294930199701</v>
      </c>
      <c r="F166" s="303"/>
      <c r="G166" s="302">
        <v>5.7024279207883799</v>
      </c>
      <c r="H166" s="302">
        <v>0.85260149620919901</v>
      </c>
      <c r="I166" s="302">
        <v>1.1409800165128838</v>
      </c>
      <c r="J166" s="302">
        <f>SUM(G166:I166)</f>
        <v>7.6960094335104632</v>
      </c>
      <c r="K166" s="303"/>
      <c r="L166" s="302">
        <v>5.1874402529494059</v>
      </c>
      <c r="M166" s="302">
        <v>0.94054923365151555</v>
      </c>
      <c r="N166" s="302">
        <v>1.3418897918428041</v>
      </c>
      <c r="O166" s="302">
        <f t="shared" si="79"/>
        <v>7.4698792784437256</v>
      </c>
    </row>
    <row r="167" spans="1:15" s="236" customFormat="1" x14ac:dyDescent="0.25">
      <c r="A167" s="237" t="str">
        <f>name!E$9</f>
        <v>Caring, leisure and other service occupations</v>
      </c>
      <c r="B167" s="302">
        <v>0.52075841147067892</v>
      </c>
      <c r="C167" s="302">
        <v>0.18836174240185274</v>
      </c>
      <c r="D167" s="302">
        <v>5.8878148547146895E-2</v>
      </c>
      <c r="E167" s="302">
        <f t="shared" si="77"/>
        <v>0.76799830241967859</v>
      </c>
      <c r="F167" s="303"/>
      <c r="G167" s="302">
        <v>0.51445634513609706</v>
      </c>
      <c r="H167" s="302">
        <v>0.16793515441307325</v>
      </c>
      <c r="I167" s="302">
        <v>0.10788436155214151</v>
      </c>
      <c r="J167" s="302">
        <f t="shared" ref="J167:J170" si="80">SUM(G167:I167)</f>
        <v>0.79027586110131187</v>
      </c>
      <c r="K167" s="303"/>
      <c r="L167" s="302">
        <v>0.67386896175973277</v>
      </c>
      <c r="M167" s="302">
        <v>0.1222296903579258</v>
      </c>
      <c r="N167" s="302">
        <v>0.19065711869635268</v>
      </c>
      <c r="O167" s="302">
        <f t="shared" si="79"/>
        <v>0.98675577081401122</v>
      </c>
    </row>
    <row r="168" spans="1:15" s="236" customFormat="1" x14ac:dyDescent="0.25">
      <c r="A168" s="237" t="str">
        <f>name!E$10</f>
        <v>Sales and customer service occupations</v>
      </c>
      <c r="B168" s="302">
        <v>6.0855228007912396</v>
      </c>
      <c r="C168" s="302">
        <v>18.803861739286116</v>
      </c>
      <c r="D168" s="302">
        <v>0.95317863994826613</v>
      </c>
      <c r="E168" s="302">
        <f t="shared" si="77"/>
        <v>25.842563180025621</v>
      </c>
      <c r="F168" s="303"/>
      <c r="G168" s="302">
        <v>5.2493782295171263</v>
      </c>
      <c r="H168" s="302">
        <v>17.555226111928956</v>
      </c>
      <c r="I168" s="302">
        <v>0.59793138318368988</v>
      </c>
      <c r="J168" s="302">
        <f t="shared" si="80"/>
        <v>23.402535724629772</v>
      </c>
      <c r="K168" s="303"/>
      <c r="L168" s="302">
        <v>4.5411010755087249</v>
      </c>
      <c r="M168" s="302">
        <v>15.497544230212297</v>
      </c>
      <c r="N168" s="302">
        <v>0.41104834202974044</v>
      </c>
      <c r="O168" s="302">
        <f t="shared" si="79"/>
        <v>20.449693647750763</v>
      </c>
    </row>
    <row r="169" spans="1:15" s="236" customFormat="1" x14ac:dyDescent="0.25">
      <c r="A169" s="237" t="str">
        <f>name!E$11</f>
        <v>Process, plant and machine operatives</v>
      </c>
      <c r="B169" s="302">
        <v>6.7765843989983754</v>
      </c>
      <c r="C169" s="302">
        <v>1.3684707270066288</v>
      </c>
      <c r="D169" s="302">
        <v>0.18017143344924835</v>
      </c>
      <c r="E169" s="302">
        <f t="shared" si="77"/>
        <v>8.3252265594542525</v>
      </c>
      <c r="F169" s="303"/>
      <c r="G169" s="302">
        <v>5.1783205844824769</v>
      </c>
      <c r="H169" s="302">
        <v>1.4074492740724749</v>
      </c>
      <c r="I169" s="302">
        <v>0.15091634407175183</v>
      </c>
      <c r="J169" s="302">
        <f t="shared" si="80"/>
        <v>6.7366862026267036</v>
      </c>
      <c r="K169" s="303"/>
      <c r="L169" s="302">
        <v>4.9018398275401047</v>
      </c>
      <c r="M169" s="302">
        <v>1.5300214077021241</v>
      </c>
      <c r="N169" s="302">
        <v>0.20179006636611124</v>
      </c>
      <c r="O169" s="302">
        <f t="shared" si="79"/>
        <v>6.6336513016083405</v>
      </c>
    </row>
    <row r="170" spans="1:15" s="236" customFormat="1" x14ac:dyDescent="0.25">
      <c r="A170" s="237" t="str">
        <f>name!E$12</f>
        <v>Elementary occupations</v>
      </c>
      <c r="B170" s="302">
        <v>5.6830328986375847</v>
      </c>
      <c r="C170" s="302">
        <v>5.0196971405865094</v>
      </c>
      <c r="D170" s="302">
        <v>0.20635387831910293</v>
      </c>
      <c r="E170" s="302">
        <f t="shared" si="77"/>
        <v>10.909083917543196</v>
      </c>
      <c r="F170" s="303"/>
      <c r="G170" s="302">
        <v>4.174512591238372</v>
      </c>
      <c r="H170" s="302">
        <v>4.0183949383231523</v>
      </c>
      <c r="I170" s="302">
        <v>0.17536625064133488</v>
      </c>
      <c r="J170" s="302">
        <f t="shared" si="80"/>
        <v>8.3682737802028591</v>
      </c>
      <c r="K170" s="303"/>
      <c r="L170" s="302">
        <v>4.4880443507818599</v>
      </c>
      <c r="M170" s="302">
        <v>4.1732758645373718</v>
      </c>
      <c r="N170" s="302">
        <v>0.29450479370329719</v>
      </c>
      <c r="O170" s="302">
        <f t="shared" si="79"/>
        <v>8.9558250090225293</v>
      </c>
    </row>
    <row r="171" spans="1:15" s="236" customFormat="1" x14ac:dyDescent="0.25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5">
      <c r="A172" s="244" t="s">
        <v>33</v>
      </c>
      <c r="B172" s="311">
        <f>SUM(B162:B170)</f>
        <v>52.10221522625497</v>
      </c>
      <c r="C172" s="311">
        <f t="shared" ref="C172:E172" si="81">SUM(C162:C170)</f>
        <v>33.532228339236674</v>
      </c>
      <c r="D172" s="311">
        <f t="shared" si="81"/>
        <v>6.4315564345083809</v>
      </c>
      <c r="E172" s="311">
        <f t="shared" si="81"/>
        <v>92.066000000000031</v>
      </c>
      <c r="F172" s="311"/>
      <c r="G172" s="311">
        <f t="shared" ref="G172:J172" si="82">SUM(G162:G170)</f>
        <v>49.193047832081874</v>
      </c>
      <c r="H172" s="311">
        <f t="shared" si="82"/>
        <v>32.697783795767926</v>
      </c>
      <c r="I172" s="311">
        <f t="shared" si="82"/>
        <v>5.1831683721503188</v>
      </c>
      <c r="J172" s="311">
        <f t="shared" si="82"/>
        <v>87.074000000000098</v>
      </c>
      <c r="K172" s="311"/>
      <c r="L172" s="311">
        <f t="shared" ref="L172:O172" si="83">SUM(L162:L170)</f>
        <v>52.380986647588557</v>
      </c>
      <c r="M172" s="311">
        <f t="shared" si="83"/>
        <v>30.909584607040124</v>
      </c>
      <c r="N172" s="311">
        <f t="shared" si="83"/>
        <v>5.5524287453711967</v>
      </c>
      <c r="O172" s="311">
        <f t="shared" si="83"/>
        <v>88.842999999999861</v>
      </c>
    </row>
    <row r="173" spans="1:15" s="236" customFormat="1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ht="13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ht="13" x14ac:dyDescent="0.3">
      <c r="A176" s="241" t="str">
        <f>name!B13</f>
        <v>Transport and storage</v>
      </c>
      <c r="B176" s="378">
        <f>$B$6</f>
        <v>2015</v>
      </c>
      <c r="C176" s="378"/>
      <c r="D176" s="378"/>
      <c r="E176" s="378"/>
      <c r="F176" s="263"/>
      <c r="G176" s="378">
        <f>$G$6</f>
        <v>2020</v>
      </c>
      <c r="H176" s="378"/>
      <c r="I176" s="378"/>
      <c r="J176" s="378"/>
      <c r="K176" s="263"/>
      <c r="L176" s="378">
        <f>$L$6</f>
        <v>2035</v>
      </c>
      <c r="M176" s="378"/>
      <c r="N176" s="378"/>
      <c r="O176" s="378"/>
    </row>
    <row r="177" spans="1:15" s="236" customFormat="1" ht="13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ht="13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5">
      <c r="A179" s="237" t="str">
        <f>name!E$4</f>
        <v>Managers, directors and senior officials</v>
      </c>
      <c r="B179" s="302">
        <v>1.9974470863005001</v>
      </c>
      <c r="C179" s="302">
        <v>9.8324702550229154E-2</v>
      </c>
      <c r="D179" s="302">
        <v>0.40065401157277597</v>
      </c>
      <c r="E179" s="302">
        <f>SUM(B179:D179)</f>
        <v>2.4964258004235051</v>
      </c>
      <c r="F179" s="303"/>
      <c r="G179" s="302">
        <v>2.2919152266139542</v>
      </c>
      <c r="H179" s="302">
        <v>0.28660293229275463</v>
      </c>
      <c r="I179" s="302">
        <v>0.45414051580418779</v>
      </c>
      <c r="J179" s="302">
        <f>SUM(G179:I179)</f>
        <v>3.0326586747108966</v>
      </c>
      <c r="K179" s="303"/>
      <c r="L179" s="302">
        <v>2.6100265713504105</v>
      </c>
      <c r="M179" s="302">
        <v>0.34012624538735009</v>
      </c>
      <c r="N179" s="302">
        <v>0.49970482517628134</v>
      </c>
      <c r="O179" s="302">
        <f>SUM(L179:N179)</f>
        <v>3.4498576419140421</v>
      </c>
    </row>
    <row r="180" spans="1:15" s="236" customFormat="1" x14ac:dyDescent="0.25">
      <c r="A180" s="237" t="str">
        <f>name!E$5</f>
        <v>Professional occupations</v>
      </c>
      <c r="B180" s="302">
        <v>1.4348803915263404</v>
      </c>
      <c r="C180" s="302">
        <v>8.2767836527091909E-2</v>
      </c>
      <c r="D180" s="302">
        <v>0.13459379446626069</v>
      </c>
      <c r="E180" s="302">
        <f t="shared" ref="E180:E187" si="84">SUM(B180:D180)</f>
        <v>1.652242022519693</v>
      </c>
      <c r="F180" s="303"/>
      <c r="G180" s="302">
        <v>1.8619159214604317</v>
      </c>
      <c r="H180" s="302">
        <v>0.21571196717926427</v>
      </c>
      <c r="I180" s="302">
        <v>0.14025260396510969</v>
      </c>
      <c r="J180" s="302">
        <f t="shared" ref="J180:J182" si="85">SUM(G180:I180)</f>
        <v>2.2178804926048059</v>
      </c>
      <c r="K180" s="303"/>
      <c r="L180" s="302">
        <v>2.687787665810077</v>
      </c>
      <c r="M180" s="302">
        <v>0.33633768075896675</v>
      </c>
      <c r="N180" s="302">
        <v>0.12998602259149852</v>
      </c>
      <c r="O180" s="302">
        <f t="shared" ref="O180:O187" si="86">SUM(L180:N180)</f>
        <v>3.1541113691605425</v>
      </c>
    </row>
    <row r="181" spans="1:15" s="236" customFormat="1" x14ac:dyDescent="0.25">
      <c r="A181" s="237" t="str">
        <f>name!E$6</f>
        <v>Associate professional occupations</v>
      </c>
      <c r="B181" s="302">
        <v>1.4328242969528946</v>
      </c>
      <c r="C181" s="302">
        <v>0.13084517903207779</v>
      </c>
      <c r="D181" s="302">
        <v>7.5415021343754024E-2</v>
      </c>
      <c r="E181" s="302">
        <f t="shared" si="84"/>
        <v>1.6390844973287264</v>
      </c>
      <c r="F181" s="303"/>
      <c r="G181" s="302">
        <v>1.6206863883377856</v>
      </c>
      <c r="H181" s="302">
        <v>0.25314796588788546</v>
      </c>
      <c r="I181" s="302">
        <v>7.8265594295294977E-2</v>
      </c>
      <c r="J181" s="302">
        <f t="shared" si="85"/>
        <v>1.952099948520966</v>
      </c>
      <c r="K181" s="303"/>
      <c r="L181" s="302">
        <v>1.7928247945125471</v>
      </c>
      <c r="M181" s="302">
        <v>0.3187360875016384</v>
      </c>
      <c r="N181" s="302">
        <v>9.1100664182530044E-2</v>
      </c>
      <c r="O181" s="302">
        <f t="shared" si="86"/>
        <v>2.2026615461967154</v>
      </c>
    </row>
    <row r="182" spans="1:15" s="236" customFormat="1" x14ac:dyDescent="0.25">
      <c r="A182" s="237" t="str">
        <f>name!E$7</f>
        <v>Administrative and secretarial occupations</v>
      </c>
      <c r="B182" s="302">
        <v>2.4441207225717543</v>
      </c>
      <c r="C182" s="302">
        <v>0.9317916671690476</v>
      </c>
      <c r="D182" s="302">
        <v>7.0862746400260135E-2</v>
      </c>
      <c r="E182" s="302">
        <f t="shared" si="84"/>
        <v>3.4467751361410621</v>
      </c>
      <c r="F182" s="303"/>
      <c r="G182" s="302">
        <v>2.5075301785762338</v>
      </c>
      <c r="H182" s="302">
        <v>1.1241674889864688</v>
      </c>
      <c r="I182" s="302">
        <v>5.9844757356261817E-2</v>
      </c>
      <c r="J182" s="302">
        <f t="shared" si="85"/>
        <v>3.6915424249189646</v>
      </c>
      <c r="K182" s="303"/>
      <c r="L182" s="302">
        <v>3.210718661036386</v>
      </c>
      <c r="M182" s="302">
        <v>1.20802207441395</v>
      </c>
      <c r="N182" s="302">
        <v>6.1996973550364542E-2</v>
      </c>
      <c r="O182" s="302">
        <f t="shared" si="86"/>
        <v>4.4807377090007003</v>
      </c>
    </row>
    <row r="183" spans="1:15" s="236" customFormat="1" x14ac:dyDescent="0.25">
      <c r="A183" s="237" t="str">
        <f>name!E$8</f>
        <v>Skilled trades occupations</v>
      </c>
      <c r="B183" s="302">
        <v>1.273038976950102</v>
      </c>
      <c r="C183" s="302">
        <v>0.32895932184074178</v>
      </c>
      <c r="D183" s="302">
        <v>0.45235585918733578</v>
      </c>
      <c r="E183" s="302">
        <f t="shared" si="84"/>
        <v>2.0543541579781799</v>
      </c>
      <c r="F183" s="303"/>
      <c r="G183" s="302">
        <v>0.92010562323947076</v>
      </c>
      <c r="H183" s="302">
        <v>0.22317808610563594</v>
      </c>
      <c r="I183" s="302">
        <v>0.30174322417609689</v>
      </c>
      <c r="J183" s="302">
        <f>SUM(G183:I183)</f>
        <v>1.4450269335212036</v>
      </c>
      <c r="K183" s="303"/>
      <c r="L183" s="302">
        <v>0.75998945543544993</v>
      </c>
      <c r="M183" s="302">
        <v>0.34044133082868344</v>
      </c>
      <c r="N183" s="302">
        <v>0.31588405440195871</v>
      </c>
      <c r="O183" s="302">
        <f t="shared" si="86"/>
        <v>1.4163148406660921</v>
      </c>
    </row>
    <row r="184" spans="1:15" s="236" customFormat="1" x14ac:dyDescent="0.25">
      <c r="A184" s="237" t="str">
        <f>name!E$9</f>
        <v>Caring, leisure and other service occupations</v>
      </c>
      <c r="B184" s="302">
        <v>0.92909469718875393</v>
      </c>
      <c r="C184" s="302">
        <v>0.4468528470677226</v>
      </c>
      <c r="D184" s="302">
        <v>0.15575434716531555</v>
      </c>
      <c r="E184" s="302">
        <f t="shared" si="84"/>
        <v>1.5317018914217921</v>
      </c>
      <c r="F184" s="303"/>
      <c r="G184" s="302">
        <v>0.89262686718320206</v>
      </c>
      <c r="H184" s="302">
        <v>0.86941236312218151</v>
      </c>
      <c r="I184" s="302">
        <v>0.15119455699473022</v>
      </c>
      <c r="J184" s="302">
        <f t="shared" ref="J184:J187" si="87">SUM(G184:I184)</f>
        <v>1.9132337873001137</v>
      </c>
      <c r="K184" s="303"/>
      <c r="L184" s="302">
        <v>0.75467547633337861</v>
      </c>
      <c r="M184" s="302">
        <v>0.91514576952052429</v>
      </c>
      <c r="N184" s="302">
        <v>0.1962008978840894</v>
      </c>
      <c r="O184" s="302">
        <f t="shared" si="86"/>
        <v>1.8660221437379922</v>
      </c>
    </row>
    <row r="185" spans="1:15" s="236" customFormat="1" x14ac:dyDescent="0.25">
      <c r="A185" s="237" t="str">
        <f>name!E$10</f>
        <v>Sales and customer service occupations</v>
      </c>
      <c r="B185" s="302">
        <v>0.81072003282449234</v>
      </c>
      <c r="C185" s="302">
        <v>0.25301322583511293</v>
      </c>
      <c r="D185" s="302">
        <v>7.4105826902408981E-2</v>
      </c>
      <c r="E185" s="302">
        <f t="shared" si="84"/>
        <v>1.1378390855620144</v>
      </c>
      <c r="F185" s="303"/>
      <c r="G185" s="302">
        <v>0.82514708451704588</v>
      </c>
      <c r="H185" s="302">
        <v>0.26297887625169031</v>
      </c>
      <c r="I185" s="302">
        <v>5.9978941597554944E-2</v>
      </c>
      <c r="J185" s="302">
        <f t="shared" si="87"/>
        <v>1.148104902366291</v>
      </c>
      <c r="K185" s="303"/>
      <c r="L185" s="302">
        <v>0.963383301827613</v>
      </c>
      <c r="M185" s="302">
        <v>0.3900454079225113</v>
      </c>
      <c r="N185" s="302">
        <v>5.9956303402132809E-2</v>
      </c>
      <c r="O185" s="302">
        <f t="shared" si="86"/>
        <v>1.4133850131522572</v>
      </c>
    </row>
    <row r="186" spans="1:15" s="236" customFormat="1" x14ac:dyDescent="0.25">
      <c r="A186" s="237" t="str">
        <f>name!E$11</f>
        <v>Process, plant and machine operatives</v>
      </c>
      <c r="B186" s="302">
        <v>9.3325510773261122</v>
      </c>
      <c r="C186" s="302">
        <v>0.63012323641416601</v>
      </c>
      <c r="D186" s="302">
        <v>3.3343592146951337</v>
      </c>
      <c r="E186" s="302">
        <f t="shared" si="84"/>
        <v>13.297033528435412</v>
      </c>
      <c r="F186" s="303"/>
      <c r="G186" s="302">
        <v>7.2242841792140116</v>
      </c>
      <c r="H186" s="302">
        <v>1.8104622127135075</v>
      </c>
      <c r="I186" s="302">
        <v>3.4802101632499007</v>
      </c>
      <c r="J186" s="302">
        <f t="shared" si="87"/>
        <v>12.51495655517742</v>
      </c>
      <c r="K186" s="303"/>
      <c r="L186" s="302">
        <v>7.3957872807829954</v>
      </c>
      <c r="M186" s="302">
        <v>2.20323480645109</v>
      </c>
      <c r="N186" s="302">
        <v>4.1014032559055575</v>
      </c>
      <c r="O186" s="302">
        <f t="shared" si="86"/>
        <v>13.700425343139644</v>
      </c>
    </row>
    <row r="187" spans="1:15" s="236" customFormat="1" x14ac:dyDescent="0.25">
      <c r="A187" s="237" t="str">
        <f>name!E$12</f>
        <v>Elementary occupations</v>
      </c>
      <c r="B187" s="302">
        <v>4.6828600114223473</v>
      </c>
      <c r="C187" s="302">
        <v>1.3281162469513792</v>
      </c>
      <c r="D187" s="302">
        <v>0.19056762181587039</v>
      </c>
      <c r="E187" s="302">
        <f t="shared" si="84"/>
        <v>6.2015438801895968</v>
      </c>
      <c r="F187" s="303"/>
      <c r="G187" s="302">
        <v>3.8124488507994614</v>
      </c>
      <c r="H187" s="302">
        <v>1.077605135036215</v>
      </c>
      <c r="I187" s="302">
        <v>0.14244229504362119</v>
      </c>
      <c r="J187" s="302">
        <f t="shared" si="87"/>
        <v>5.0324962808792977</v>
      </c>
      <c r="K187" s="303"/>
      <c r="L187" s="302">
        <v>4.4879688294841857</v>
      </c>
      <c r="M187" s="302">
        <v>1.4294940638929954</v>
      </c>
      <c r="N187" s="302">
        <v>0.16002149965485907</v>
      </c>
      <c r="O187" s="302">
        <f t="shared" si="86"/>
        <v>6.0774843930320399</v>
      </c>
    </row>
    <row r="188" spans="1:15" s="236" customFormat="1" x14ac:dyDescent="0.25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5">
      <c r="A189" s="244" t="s">
        <v>33</v>
      </c>
      <c r="B189" s="311">
        <f>SUM(B179:B187)</f>
        <v>24.337537293063299</v>
      </c>
      <c r="C189" s="311">
        <f t="shared" ref="C189:E189" si="88">SUM(C179:C187)</f>
        <v>4.230794263387569</v>
      </c>
      <c r="D189" s="311">
        <f t="shared" si="88"/>
        <v>4.8886684435491157</v>
      </c>
      <c r="E189" s="311">
        <f t="shared" si="88"/>
        <v>33.456999999999979</v>
      </c>
      <c r="F189" s="311"/>
      <c r="G189" s="311">
        <f t="shared" ref="G189:J189" si="89">SUM(G179:G187)</f>
        <v>21.956660319941598</v>
      </c>
      <c r="H189" s="311">
        <f t="shared" si="89"/>
        <v>6.1232670275756034</v>
      </c>
      <c r="I189" s="311">
        <f t="shared" si="89"/>
        <v>4.8680726524827582</v>
      </c>
      <c r="J189" s="311">
        <f t="shared" si="89"/>
        <v>32.947999999999958</v>
      </c>
      <c r="K189" s="311"/>
      <c r="L189" s="311">
        <f t="shared" ref="L189:O189" si="90">SUM(L179:L187)</f>
        <v>24.663162036573045</v>
      </c>
      <c r="M189" s="311">
        <f t="shared" si="90"/>
        <v>7.4815834666777103</v>
      </c>
      <c r="N189" s="311">
        <f t="shared" si="90"/>
        <v>5.6162544967492725</v>
      </c>
      <c r="O189" s="311">
        <f t="shared" si="90"/>
        <v>37.761000000000024</v>
      </c>
    </row>
    <row r="190" spans="1:15" s="236" customFormat="1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ht="13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ht="13" x14ac:dyDescent="0.3">
      <c r="A193" s="241" t="str">
        <f>name!B14</f>
        <v>Accommodation and food</v>
      </c>
      <c r="B193" s="378">
        <f>$B$6</f>
        <v>2015</v>
      </c>
      <c r="C193" s="378"/>
      <c r="D193" s="378"/>
      <c r="E193" s="378"/>
      <c r="F193" s="263"/>
      <c r="G193" s="378">
        <f>$G$6</f>
        <v>2020</v>
      </c>
      <c r="H193" s="378"/>
      <c r="I193" s="378"/>
      <c r="J193" s="378"/>
      <c r="K193" s="263"/>
      <c r="L193" s="378">
        <f>$L$6</f>
        <v>2035</v>
      </c>
      <c r="M193" s="378"/>
      <c r="N193" s="378"/>
      <c r="O193" s="378"/>
    </row>
    <row r="194" spans="1:15" s="236" customFormat="1" ht="13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ht="13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5">
      <c r="A196" s="237" t="str">
        <f>name!E$4</f>
        <v>Managers, directors and senior officials</v>
      </c>
      <c r="B196" s="302">
        <v>1.7650574428974055</v>
      </c>
      <c r="C196" s="302">
        <v>0.24103705273341872</v>
      </c>
      <c r="D196" s="302">
        <v>0.67732276423652493</v>
      </c>
      <c r="E196" s="302">
        <f>SUM(B196:D196)</f>
        <v>2.6834172598673494</v>
      </c>
      <c r="F196" s="303"/>
      <c r="G196" s="302">
        <v>2.3252195536635796</v>
      </c>
      <c r="H196" s="302">
        <v>0.46812045692249782</v>
      </c>
      <c r="I196" s="302">
        <v>0.6688284299914804</v>
      </c>
      <c r="J196" s="302">
        <f>SUM(G196:I196)</f>
        <v>3.4621684405775577</v>
      </c>
      <c r="K196" s="303"/>
      <c r="L196" s="302">
        <v>2.8776349754843578</v>
      </c>
      <c r="M196" s="302">
        <v>0.67963477499158831</v>
      </c>
      <c r="N196" s="302">
        <v>0.75829811340173681</v>
      </c>
      <c r="O196" s="302">
        <f>SUM(L196:N196)</f>
        <v>4.3155678638776829</v>
      </c>
    </row>
    <row r="197" spans="1:15" s="236" customFormat="1" x14ac:dyDescent="0.25">
      <c r="A197" s="237" t="str">
        <f>name!E$5</f>
        <v>Professional occupations</v>
      </c>
      <c r="B197" s="302">
        <v>0.60131565113695851</v>
      </c>
      <c r="C197" s="302">
        <v>8.9948299871190213E-2</v>
      </c>
      <c r="D197" s="302">
        <v>5.5640599398154092E-2</v>
      </c>
      <c r="E197" s="302">
        <f t="shared" ref="E197:E204" si="91">SUM(B197:D197)</f>
        <v>0.74690455040630288</v>
      </c>
      <c r="F197" s="303"/>
      <c r="G197" s="302">
        <v>0.94546533182542103</v>
      </c>
      <c r="H197" s="302">
        <v>0.18491800926934146</v>
      </c>
      <c r="I197" s="302">
        <v>5.2902721223304361E-2</v>
      </c>
      <c r="J197" s="302">
        <f t="shared" ref="J197:J199" si="92">SUM(G197:I197)</f>
        <v>1.183286062318067</v>
      </c>
      <c r="K197" s="303"/>
      <c r="L197" s="302">
        <v>1.3749878493565775</v>
      </c>
      <c r="M197" s="302">
        <v>0.3242235430414695</v>
      </c>
      <c r="N197" s="302">
        <v>4.1598562263898839E-2</v>
      </c>
      <c r="O197" s="302">
        <f t="shared" ref="O197:O204" si="93">SUM(L197:N197)</f>
        <v>1.7408099546619458</v>
      </c>
    </row>
    <row r="198" spans="1:15" s="236" customFormat="1" x14ac:dyDescent="0.25">
      <c r="A198" s="237" t="str">
        <f>name!E$6</f>
        <v>Associate professional occupations</v>
      </c>
      <c r="B198" s="302">
        <v>0.48606996020389143</v>
      </c>
      <c r="C198" s="302">
        <v>0.25709468796286417</v>
      </c>
      <c r="D198" s="302">
        <v>3.2974355241346641E-2</v>
      </c>
      <c r="E198" s="302">
        <f t="shared" si="91"/>
        <v>0.77613900340810216</v>
      </c>
      <c r="F198" s="303"/>
      <c r="G198" s="302">
        <v>0.69054139049943986</v>
      </c>
      <c r="H198" s="302">
        <v>0.37049382665858849</v>
      </c>
      <c r="I198" s="302">
        <v>2.6566531693857198E-2</v>
      </c>
      <c r="J198" s="302">
        <f t="shared" si="92"/>
        <v>1.0876017488518857</v>
      </c>
      <c r="K198" s="303"/>
      <c r="L198" s="302">
        <v>0.95488836756414286</v>
      </c>
      <c r="M198" s="302">
        <v>0.6930662734219547</v>
      </c>
      <c r="N198" s="302">
        <v>2.8765566850819026E-2</v>
      </c>
      <c r="O198" s="302">
        <f t="shared" si="93"/>
        <v>1.6767202078369166</v>
      </c>
    </row>
    <row r="199" spans="1:15" s="236" customFormat="1" x14ac:dyDescent="0.25">
      <c r="A199" s="237" t="str">
        <f>name!E$7</f>
        <v>Administrative and secretarial occupations</v>
      </c>
      <c r="B199" s="302">
        <v>0.77521714519979446</v>
      </c>
      <c r="C199" s="302">
        <v>0.40316398892266753</v>
      </c>
      <c r="D199" s="302">
        <v>2.4153869391872623E-2</v>
      </c>
      <c r="E199" s="302">
        <f t="shared" si="91"/>
        <v>1.2025350035143345</v>
      </c>
      <c r="F199" s="303"/>
      <c r="G199" s="302">
        <v>0.91902981597157007</v>
      </c>
      <c r="H199" s="302">
        <v>0.53557370289436645</v>
      </c>
      <c r="I199" s="302">
        <v>1.8838798040532592E-2</v>
      </c>
      <c r="J199" s="302">
        <f t="shared" si="92"/>
        <v>1.4734423169064692</v>
      </c>
      <c r="K199" s="303"/>
      <c r="L199" s="302">
        <v>1.3446932209659503</v>
      </c>
      <c r="M199" s="302">
        <v>0.97453516728138478</v>
      </c>
      <c r="N199" s="302">
        <v>2.469326693543749E-2</v>
      </c>
      <c r="O199" s="302">
        <f t="shared" si="93"/>
        <v>2.3439216551827724</v>
      </c>
    </row>
    <row r="200" spans="1:15" s="236" customFormat="1" x14ac:dyDescent="0.25">
      <c r="A200" s="237" t="str">
        <f>name!E$8</f>
        <v>Skilled trades occupations</v>
      </c>
      <c r="B200" s="302">
        <v>1.4323606348381206</v>
      </c>
      <c r="C200" s="302">
        <v>1.1731753756998371</v>
      </c>
      <c r="D200" s="302">
        <v>0.19454720588724134</v>
      </c>
      <c r="E200" s="302">
        <f t="shared" si="91"/>
        <v>2.8000832164251994</v>
      </c>
      <c r="F200" s="303"/>
      <c r="G200" s="302">
        <v>1.294753345235256</v>
      </c>
      <c r="H200" s="302">
        <v>1.1696944520516919</v>
      </c>
      <c r="I200" s="302">
        <v>0.19352612132061595</v>
      </c>
      <c r="J200" s="302">
        <f>SUM(G200:I200)</f>
        <v>2.6579739186075639</v>
      </c>
      <c r="K200" s="303"/>
      <c r="L200" s="302">
        <v>0.8756940636383006</v>
      </c>
      <c r="M200" s="302">
        <v>1.6194162141454744</v>
      </c>
      <c r="N200" s="302">
        <v>0.24229951284437126</v>
      </c>
      <c r="O200" s="302">
        <f t="shared" si="93"/>
        <v>2.7374097906281465</v>
      </c>
    </row>
    <row r="201" spans="1:15" s="236" customFormat="1" x14ac:dyDescent="0.25">
      <c r="A201" s="237" t="str">
        <f>name!E$9</f>
        <v>Caring, leisure and other service occupations</v>
      </c>
      <c r="B201" s="302">
        <v>0.45687608048535594</v>
      </c>
      <c r="C201" s="302">
        <v>0.50083059629165916</v>
      </c>
      <c r="D201" s="302">
        <v>5.2108597145707793E-2</v>
      </c>
      <c r="E201" s="302">
        <f t="shared" si="91"/>
        <v>1.0098152739227229</v>
      </c>
      <c r="F201" s="303"/>
      <c r="G201" s="302">
        <v>0.49682650757810348</v>
      </c>
      <c r="H201" s="302">
        <v>0.57885501083905988</v>
      </c>
      <c r="I201" s="302">
        <v>6.1745606045983427E-2</v>
      </c>
      <c r="J201" s="302">
        <f t="shared" ref="J201:J204" si="94">SUM(G201:I201)</f>
        <v>1.1374271244631466</v>
      </c>
      <c r="K201" s="303"/>
      <c r="L201" s="302">
        <v>0.52391338382128583</v>
      </c>
      <c r="M201" s="302">
        <v>0.6911615343462082</v>
      </c>
      <c r="N201" s="302">
        <v>0.10939900343440503</v>
      </c>
      <c r="O201" s="302">
        <f t="shared" si="93"/>
        <v>1.324473921601899</v>
      </c>
    </row>
    <row r="202" spans="1:15" s="236" customFormat="1" x14ac:dyDescent="0.25">
      <c r="A202" s="237" t="str">
        <f>name!E$10</f>
        <v>Sales and customer service occupations</v>
      </c>
      <c r="B202" s="302">
        <v>0.53254593475594292</v>
      </c>
      <c r="C202" s="302">
        <v>0.98166204160136505</v>
      </c>
      <c r="D202" s="302">
        <v>0.28758660449892082</v>
      </c>
      <c r="E202" s="302">
        <f t="shared" si="91"/>
        <v>1.8017945808562288</v>
      </c>
      <c r="F202" s="303"/>
      <c r="G202" s="302">
        <v>0.60970667652931798</v>
      </c>
      <c r="H202" s="302">
        <v>1.2634491612192749</v>
      </c>
      <c r="I202" s="302">
        <v>0.19367254299196743</v>
      </c>
      <c r="J202" s="302">
        <f t="shared" si="94"/>
        <v>2.0668283807405601</v>
      </c>
      <c r="K202" s="303"/>
      <c r="L202" s="302">
        <v>0.91010219920748503</v>
      </c>
      <c r="M202" s="302">
        <v>2.25150816211158</v>
      </c>
      <c r="N202" s="302">
        <v>0.15629517164437301</v>
      </c>
      <c r="O202" s="302">
        <f t="shared" si="93"/>
        <v>3.3179055329634379</v>
      </c>
    </row>
    <row r="203" spans="1:15" s="236" customFormat="1" x14ac:dyDescent="0.25">
      <c r="A203" s="237" t="str">
        <f>name!E$11</f>
        <v>Process, plant and machine operatives</v>
      </c>
      <c r="B203" s="302">
        <v>0.31187641013797035</v>
      </c>
      <c r="C203" s="302">
        <v>0.51515866321948933</v>
      </c>
      <c r="D203" s="302">
        <v>2.3277858636729334E-2</v>
      </c>
      <c r="E203" s="302">
        <f t="shared" si="91"/>
        <v>0.850312931994189</v>
      </c>
      <c r="F203" s="303"/>
      <c r="G203" s="302">
        <v>0.28007054200200654</v>
      </c>
      <c r="H203" s="302">
        <v>0.69173055609631284</v>
      </c>
      <c r="I203" s="302">
        <v>2.0289771334090715E-2</v>
      </c>
      <c r="J203" s="302">
        <f t="shared" si="94"/>
        <v>0.99209086943241009</v>
      </c>
      <c r="K203" s="303"/>
      <c r="L203" s="302">
        <v>0.34918484905549391</v>
      </c>
      <c r="M203" s="302">
        <v>1.3351017834421952</v>
      </c>
      <c r="N203" s="302">
        <v>3.1810902839426808E-2</v>
      </c>
      <c r="O203" s="302">
        <f t="shared" si="93"/>
        <v>1.716097535337116</v>
      </c>
    </row>
    <row r="204" spans="1:15" s="236" customFormat="1" x14ac:dyDescent="0.25">
      <c r="A204" s="237" t="str">
        <f>name!E$12</f>
        <v>Elementary occupations</v>
      </c>
      <c r="B204" s="302">
        <v>1.9562254891131186</v>
      </c>
      <c r="C204" s="302">
        <v>8.0040564287096583</v>
      </c>
      <c r="D204" s="302">
        <v>7.4716261782755936E-2</v>
      </c>
      <c r="E204" s="302">
        <f t="shared" si="91"/>
        <v>10.034998179605532</v>
      </c>
      <c r="F204" s="303"/>
      <c r="G204" s="302">
        <v>2.0095286785445947</v>
      </c>
      <c r="H204" s="302">
        <v>8.5833312942577802</v>
      </c>
      <c r="I204" s="302">
        <v>4.8321165299976002E-2</v>
      </c>
      <c r="J204" s="302">
        <f t="shared" si="94"/>
        <v>10.64118113810235</v>
      </c>
      <c r="K204" s="303"/>
      <c r="L204" s="302">
        <v>2.31745763795112</v>
      </c>
      <c r="M204" s="302">
        <v>7.7779810735386379</v>
      </c>
      <c r="N204" s="302">
        <v>8.3654826420297451E-2</v>
      </c>
      <c r="O204" s="302">
        <f t="shared" si="93"/>
        <v>10.179093537910054</v>
      </c>
    </row>
    <row r="205" spans="1:15" s="236" customFormat="1" x14ac:dyDescent="0.25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5">
      <c r="A206" s="244" t="s">
        <v>33</v>
      </c>
      <c r="B206" s="311">
        <f>SUM(B196:B204)</f>
        <v>8.3175447487685581</v>
      </c>
      <c r="C206" s="311">
        <f t="shared" ref="C206:E206" si="95">SUM(C196:C204)</f>
        <v>12.16612713501215</v>
      </c>
      <c r="D206" s="311">
        <f t="shared" si="95"/>
        <v>1.4223281162192534</v>
      </c>
      <c r="E206" s="311">
        <f t="shared" si="95"/>
        <v>21.905999999999963</v>
      </c>
      <c r="F206" s="311"/>
      <c r="G206" s="311">
        <f t="shared" ref="G206:J206" si="96">SUM(G196:G204)</f>
        <v>9.571141841849288</v>
      </c>
      <c r="H206" s="311">
        <f t="shared" si="96"/>
        <v>13.846166470208914</v>
      </c>
      <c r="I206" s="311">
        <f t="shared" si="96"/>
        <v>1.2846916879418082</v>
      </c>
      <c r="J206" s="311">
        <f t="shared" si="96"/>
        <v>24.702000000000012</v>
      </c>
      <c r="K206" s="311"/>
      <c r="L206" s="311">
        <f t="shared" ref="L206:O206" si="97">SUM(L196:L204)</f>
        <v>11.528556547044715</v>
      </c>
      <c r="M206" s="311">
        <f t="shared" si="97"/>
        <v>16.346628526320494</v>
      </c>
      <c r="N206" s="311">
        <f t="shared" si="97"/>
        <v>1.4768149266347657</v>
      </c>
      <c r="O206" s="311">
        <f t="shared" si="97"/>
        <v>29.351999999999968</v>
      </c>
    </row>
    <row r="207" spans="1:15" s="236" customFormat="1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ht="13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ht="13" x14ac:dyDescent="0.3">
      <c r="A210" s="241" t="str">
        <f>name!B15</f>
        <v>Media</v>
      </c>
      <c r="B210" s="378">
        <f>$B$6</f>
        <v>2015</v>
      </c>
      <c r="C210" s="378"/>
      <c r="D210" s="378"/>
      <c r="E210" s="378"/>
      <c r="F210" s="263"/>
      <c r="G210" s="378">
        <f>$G$6</f>
        <v>2020</v>
      </c>
      <c r="H210" s="378"/>
      <c r="I210" s="378"/>
      <c r="J210" s="378"/>
      <c r="K210" s="263"/>
      <c r="L210" s="378">
        <f>$L$6</f>
        <v>2035</v>
      </c>
      <c r="M210" s="378"/>
      <c r="N210" s="378"/>
      <c r="O210" s="378"/>
    </row>
    <row r="211" spans="1:15" s="236" customFormat="1" ht="13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ht="13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5">
      <c r="A213" s="237" t="str">
        <f>name!E$4</f>
        <v>Managers, directors and senior officials</v>
      </c>
      <c r="B213" s="302">
        <v>8.937740393237345E-2</v>
      </c>
      <c r="C213" s="302">
        <v>1.2817700341524397E-2</v>
      </c>
      <c r="D213" s="302">
        <v>4.9606724884297855E-2</v>
      </c>
      <c r="E213" s="302">
        <f>SUM(B213:D213)</f>
        <v>0.15180182915819571</v>
      </c>
      <c r="F213" s="303"/>
      <c r="G213" s="302">
        <v>7.758912756903992E-2</v>
      </c>
      <c r="H213" s="302">
        <v>2.5478257889050462E-2</v>
      </c>
      <c r="I213" s="302">
        <v>9.6314301700891836E-2</v>
      </c>
      <c r="J213" s="302">
        <f>SUM(G213:I213)</f>
        <v>0.19938168715898222</v>
      </c>
      <c r="K213" s="303"/>
      <c r="L213" s="302">
        <v>6.2914056617863021E-2</v>
      </c>
      <c r="M213" s="302">
        <v>3.0417836138574843E-2</v>
      </c>
      <c r="N213" s="302">
        <v>9.95249072272687E-2</v>
      </c>
      <c r="O213" s="302">
        <f>SUM(L213:N213)</f>
        <v>0.19285679998370656</v>
      </c>
    </row>
    <row r="214" spans="1:15" s="236" customFormat="1" x14ac:dyDescent="0.25">
      <c r="A214" s="237" t="str">
        <f>name!E$5</f>
        <v>Professional occupations</v>
      </c>
      <c r="B214" s="302">
        <v>0.16644820972661098</v>
      </c>
      <c r="C214" s="302">
        <v>2.5042917292312814E-2</v>
      </c>
      <c r="D214" s="302">
        <v>0.15132105919128686</v>
      </c>
      <c r="E214" s="302">
        <f t="shared" ref="E214:E221" si="98">SUM(B214:D214)</f>
        <v>0.34281218621021065</v>
      </c>
      <c r="F214" s="303"/>
      <c r="G214" s="302">
        <v>0.17208467015704895</v>
      </c>
      <c r="H214" s="302">
        <v>4.9714805203301973E-2</v>
      </c>
      <c r="I214" s="302">
        <v>0.25534022107200333</v>
      </c>
      <c r="J214" s="302">
        <f t="shared" ref="J214:J216" si="99">SUM(G214:I214)</f>
        <v>0.47713969643235427</v>
      </c>
      <c r="K214" s="303"/>
      <c r="L214" s="302">
        <v>0.21288518705550705</v>
      </c>
      <c r="M214" s="302">
        <v>7.3114915812518666E-2</v>
      </c>
      <c r="N214" s="302">
        <v>0.22759743747482555</v>
      </c>
      <c r="O214" s="302">
        <f t="shared" ref="O214:O221" si="100">SUM(L214:N214)</f>
        <v>0.51359754034285121</v>
      </c>
    </row>
    <row r="215" spans="1:15" s="236" customFormat="1" x14ac:dyDescent="0.25">
      <c r="A215" s="237" t="str">
        <f>name!E$6</f>
        <v>Associate professional occupations</v>
      </c>
      <c r="B215" s="302">
        <v>0.13564372967180641</v>
      </c>
      <c r="C215" s="302">
        <v>4.7891002466704996E-2</v>
      </c>
      <c r="D215" s="302">
        <v>0.23003550899117139</v>
      </c>
      <c r="E215" s="302">
        <f t="shared" si="98"/>
        <v>0.41357024112968277</v>
      </c>
      <c r="F215" s="303"/>
      <c r="G215" s="302">
        <v>0.11330982077571815</v>
      </c>
      <c r="H215" s="302">
        <v>7.928473095467993E-2</v>
      </c>
      <c r="I215" s="302">
        <v>0.40018852352538758</v>
      </c>
      <c r="J215" s="302">
        <f t="shared" si="99"/>
        <v>0.59278307525578566</v>
      </c>
      <c r="K215" s="303"/>
      <c r="L215" s="302">
        <v>0.10399941606355612</v>
      </c>
      <c r="M215" s="302">
        <v>8.0153806811996187E-2</v>
      </c>
      <c r="N215" s="302">
        <v>0.37574561733895662</v>
      </c>
      <c r="O215" s="302">
        <f t="shared" si="100"/>
        <v>0.55989884021450886</v>
      </c>
    </row>
    <row r="216" spans="1:15" s="236" customFormat="1" x14ac:dyDescent="0.25">
      <c r="A216" s="237" t="str">
        <f>name!E$7</f>
        <v>Administrative and secretarial occupations</v>
      </c>
      <c r="B216" s="302">
        <v>9.2173505670630609E-2</v>
      </c>
      <c r="C216" s="302">
        <v>9.234169520623417E-2</v>
      </c>
      <c r="D216" s="302">
        <v>9.6440284918476327E-3</v>
      </c>
      <c r="E216" s="302">
        <f t="shared" si="98"/>
        <v>0.19415922936871244</v>
      </c>
      <c r="F216" s="303"/>
      <c r="G216" s="302">
        <v>6.2111293014288194E-2</v>
      </c>
      <c r="H216" s="302">
        <v>0.11762486953222294</v>
      </c>
      <c r="I216" s="302">
        <v>1.7224029629665488E-2</v>
      </c>
      <c r="J216" s="302">
        <f t="shared" si="99"/>
        <v>0.19696019217617663</v>
      </c>
      <c r="K216" s="303"/>
      <c r="L216" s="302">
        <v>5.5650938813353389E-2</v>
      </c>
      <c r="M216" s="302">
        <v>0.11509035370987047</v>
      </c>
      <c r="N216" s="302">
        <v>1.4606780184624687E-2</v>
      </c>
      <c r="O216" s="302">
        <f t="shared" si="100"/>
        <v>0.18534807270784856</v>
      </c>
    </row>
    <row r="217" spans="1:15" s="236" customFormat="1" x14ac:dyDescent="0.25">
      <c r="A217" s="237" t="str">
        <f>name!E$8</f>
        <v>Skilled trades occupations</v>
      </c>
      <c r="B217" s="302">
        <v>5.3052679066786512E-2</v>
      </c>
      <c r="C217" s="302">
        <v>9.8434316371973397E-3</v>
      </c>
      <c r="D217" s="302">
        <v>5.6761829889482245E-2</v>
      </c>
      <c r="E217" s="302">
        <f t="shared" si="98"/>
        <v>0.1196579405934661</v>
      </c>
      <c r="F217" s="303"/>
      <c r="G217" s="302">
        <v>3.3649359695203246E-2</v>
      </c>
      <c r="H217" s="302">
        <v>1.2174051325593823E-2</v>
      </c>
      <c r="I217" s="302">
        <v>8.6415007573110214E-2</v>
      </c>
      <c r="J217" s="302">
        <f>SUM(G217:I217)</f>
        <v>0.13223841859390728</v>
      </c>
      <c r="K217" s="303"/>
      <c r="L217" s="302">
        <v>1.8290442065943529E-2</v>
      </c>
      <c r="M217" s="302">
        <v>1.5141869915495633E-2</v>
      </c>
      <c r="N217" s="302">
        <v>9.5449340050925258E-2</v>
      </c>
      <c r="O217" s="302">
        <f t="shared" si="100"/>
        <v>0.1288816520323644</v>
      </c>
    </row>
    <row r="218" spans="1:15" s="236" customFormat="1" x14ac:dyDescent="0.25">
      <c r="A218" s="237" t="str">
        <f>name!E$9</f>
        <v>Caring, leisure and other service occupations</v>
      </c>
      <c r="B218" s="302">
        <v>4.6501443706388632E-2</v>
      </c>
      <c r="C218" s="302">
        <v>4.5684129203881957E-2</v>
      </c>
      <c r="D218" s="302">
        <v>9.6970629277535643E-3</v>
      </c>
      <c r="E218" s="302">
        <f t="shared" si="98"/>
        <v>0.10188263583802415</v>
      </c>
      <c r="F218" s="303"/>
      <c r="G218" s="302">
        <v>2.7702394842756099E-2</v>
      </c>
      <c r="H218" s="302">
        <v>5.9306148517387268E-2</v>
      </c>
      <c r="I218" s="302">
        <v>2.1081228227812731E-2</v>
      </c>
      <c r="J218" s="302">
        <f t="shared" ref="J218:J221" si="101">SUM(G218:I218)</f>
        <v>0.1080897715879561</v>
      </c>
      <c r="K218" s="303"/>
      <c r="L218" s="302">
        <v>2.9082647184378991E-2</v>
      </c>
      <c r="M218" s="302">
        <v>5.6207757066143366E-2</v>
      </c>
      <c r="N218" s="302">
        <v>2.3328261816666775E-2</v>
      </c>
      <c r="O218" s="302">
        <f t="shared" si="100"/>
        <v>0.10861866606718913</v>
      </c>
    </row>
    <row r="219" spans="1:15" s="236" customFormat="1" x14ac:dyDescent="0.25">
      <c r="A219" s="237" t="str">
        <f>name!E$10</f>
        <v>Sales and customer service occupations</v>
      </c>
      <c r="B219" s="302">
        <v>5.1873427976939793E-2</v>
      </c>
      <c r="C219" s="302">
        <v>3.6099730254399505E-2</v>
      </c>
      <c r="D219" s="302">
        <v>1.1128914184818659E-2</v>
      </c>
      <c r="E219" s="302">
        <f t="shared" si="98"/>
        <v>9.9102072416157969E-2</v>
      </c>
      <c r="F219" s="303"/>
      <c r="G219" s="302">
        <v>3.5237542329283653E-2</v>
      </c>
      <c r="H219" s="302">
        <v>5.2904571583027762E-2</v>
      </c>
      <c r="I219" s="302">
        <v>1.5181874705139159E-2</v>
      </c>
      <c r="J219" s="302">
        <f t="shared" si="101"/>
        <v>0.10332398861745057</v>
      </c>
      <c r="K219" s="303"/>
      <c r="L219" s="302">
        <v>3.5082571321466305E-2</v>
      </c>
      <c r="M219" s="302">
        <v>6.6096785982293585E-2</v>
      </c>
      <c r="N219" s="302">
        <v>1.2364441893009366E-2</v>
      </c>
      <c r="O219" s="302">
        <f t="shared" si="100"/>
        <v>0.11354379919676925</v>
      </c>
    </row>
    <row r="220" spans="1:15" s="236" customFormat="1" x14ac:dyDescent="0.25">
      <c r="A220" s="237" t="str">
        <f>name!E$11</f>
        <v>Process, plant and machine operatives</v>
      </c>
      <c r="B220" s="302">
        <v>1.5516211898087662E-2</v>
      </c>
      <c r="C220" s="302">
        <v>5.8856386045841461E-3</v>
      </c>
      <c r="D220" s="302">
        <v>1.5614039890463602E-2</v>
      </c>
      <c r="E220" s="302">
        <f t="shared" si="98"/>
        <v>3.7015890393135409E-2</v>
      </c>
      <c r="F220" s="303"/>
      <c r="G220" s="302">
        <v>8.72678370526353E-3</v>
      </c>
      <c r="H220" s="302">
        <v>9.2272615081798216E-3</v>
      </c>
      <c r="I220" s="302">
        <v>3.4930325209047895E-2</v>
      </c>
      <c r="J220" s="302">
        <f t="shared" si="101"/>
        <v>5.288437042249125E-2</v>
      </c>
      <c r="K220" s="303"/>
      <c r="L220" s="302">
        <v>5.3487483316070191E-3</v>
      </c>
      <c r="M220" s="302">
        <v>8.6602975912486568E-3</v>
      </c>
      <c r="N220" s="302">
        <v>4.7745248916984791E-2</v>
      </c>
      <c r="O220" s="302">
        <f t="shared" si="100"/>
        <v>6.1754294839840462E-2</v>
      </c>
    </row>
    <row r="221" spans="1:15" s="236" customFormat="1" x14ac:dyDescent="0.25">
      <c r="A221" s="237" t="str">
        <f>name!E$12</f>
        <v>Elementary occupations</v>
      </c>
      <c r="B221" s="302">
        <v>7.0902245933797556E-2</v>
      </c>
      <c r="C221" s="302">
        <v>8.5774916454986652E-2</v>
      </c>
      <c r="D221" s="302">
        <v>9.1320812503628501E-2</v>
      </c>
      <c r="E221" s="302">
        <f t="shared" si="98"/>
        <v>0.24799797489241271</v>
      </c>
      <c r="F221" s="303"/>
      <c r="G221" s="302">
        <v>3.2993528949342148E-2</v>
      </c>
      <c r="H221" s="302">
        <v>9.1809969393836913E-2</v>
      </c>
      <c r="I221" s="302">
        <v>0.12239530141171889</v>
      </c>
      <c r="J221" s="302">
        <f t="shared" si="101"/>
        <v>0.24719879975489795</v>
      </c>
      <c r="K221" s="303"/>
      <c r="L221" s="302">
        <v>2.938335655070726E-2</v>
      </c>
      <c r="M221" s="302">
        <v>7.5098495253830236E-2</v>
      </c>
      <c r="N221" s="302">
        <v>0.13701848281038201</v>
      </c>
      <c r="O221" s="302">
        <f t="shared" si="100"/>
        <v>0.24150033461491949</v>
      </c>
    </row>
    <row r="222" spans="1:15" s="236" customFormat="1" x14ac:dyDescent="0.25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5">
      <c r="A223" s="244" t="s">
        <v>33</v>
      </c>
      <c r="B223" s="311">
        <f>SUM(B213:B221)</f>
        <v>0.72148885758342174</v>
      </c>
      <c r="C223" s="311">
        <f t="shared" ref="C223:E223" si="102">SUM(C213:C221)</f>
        <v>0.36138116146182597</v>
      </c>
      <c r="D223" s="311">
        <f t="shared" si="102"/>
        <v>0.62512998095475036</v>
      </c>
      <c r="E223" s="311">
        <f t="shared" si="102"/>
        <v>1.707999999999998</v>
      </c>
      <c r="F223" s="311"/>
      <c r="G223" s="311">
        <f t="shared" ref="G223:J223" si="103">SUM(G213:G221)</f>
        <v>0.56340452103794392</v>
      </c>
      <c r="H223" s="311">
        <f t="shared" si="103"/>
        <v>0.49752466590728089</v>
      </c>
      <c r="I223" s="311">
        <f t="shared" si="103"/>
        <v>1.0490708130547775</v>
      </c>
      <c r="J223" s="311">
        <f t="shared" si="103"/>
        <v>2.1100000000000017</v>
      </c>
      <c r="K223" s="311"/>
      <c r="L223" s="311">
        <f t="shared" ref="L223:O223" si="104">SUM(L213:L221)</f>
        <v>0.55263736400438257</v>
      </c>
      <c r="M223" s="311">
        <f t="shared" si="104"/>
        <v>0.51998211828197161</v>
      </c>
      <c r="N223" s="311">
        <f t="shared" si="104"/>
        <v>1.0333805177136439</v>
      </c>
      <c r="O223" s="311">
        <f t="shared" si="104"/>
        <v>2.1059999999999977</v>
      </c>
    </row>
    <row r="224" spans="1:15" s="236" customFormat="1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ht="13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ht="13" x14ac:dyDescent="0.3">
      <c r="A227" s="241" t="str">
        <f>name!B16</f>
        <v>Information technology</v>
      </c>
      <c r="B227" s="378">
        <f>$B$6</f>
        <v>2015</v>
      </c>
      <c r="C227" s="378"/>
      <c r="D227" s="378"/>
      <c r="E227" s="378"/>
      <c r="F227" s="263"/>
      <c r="G227" s="378">
        <f>$G$6</f>
        <v>2020</v>
      </c>
      <c r="H227" s="378"/>
      <c r="I227" s="378"/>
      <c r="J227" s="378"/>
      <c r="K227" s="263"/>
      <c r="L227" s="378">
        <f>$L$6</f>
        <v>2035</v>
      </c>
      <c r="M227" s="378"/>
      <c r="N227" s="378"/>
      <c r="O227" s="378"/>
    </row>
    <row r="228" spans="1:15" s="236" customFormat="1" ht="13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ht="13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5">
      <c r="A230" s="237" t="str">
        <f>name!E$4</f>
        <v>Managers, directors and senior officials</v>
      </c>
      <c r="B230" s="302">
        <v>0.7665697631592302</v>
      </c>
      <c r="C230" s="302">
        <v>7.1431072967348852E-2</v>
      </c>
      <c r="D230" s="302">
        <v>8.2334798494845665E-2</v>
      </c>
      <c r="E230" s="302">
        <f>SUM(B230:D230)</f>
        <v>0.92033563462142476</v>
      </c>
      <c r="F230" s="303"/>
      <c r="G230" s="302">
        <v>0.79092791352507885</v>
      </c>
      <c r="H230" s="302">
        <v>7.2813810110001279E-2</v>
      </c>
      <c r="I230" s="302">
        <v>0.16014596148793175</v>
      </c>
      <c r="J230" s="302">
        <f>SUM(G230:I230)</f>
        <v>1.0238876851230119</v>
      </c>
      <c r="K230" s="303"/>
      <c r="L230" s="302">
        <v>0.70824569016854622</v>
      </c>
      <c r="M230" s="302">
        <v>8.2099902594696378E-2</v>
      </c>
      <c r="N230" s="302">
        <v>0.18305572532520581</v>
      </c>
      <c r="O230" s="302">
        <f>SUM(L230:N230)</f>
        <v>0.97340131808844843</v>
      </c>
    </row>
    <row r="231" spans="1:15" s="236" customFormat="1" x14ac:dyDescent="0.25">
      <c r="A231" s="237" t="str">
        <f>name!E$5</f>
        <v>Professional occupations</v>
      </c>
      <c r="B231" s="302">
        <v>2.3215520825912734</v>
      </c>
      <c r="C231" s="302">
        <v>0.10011421023992056</v>
      </c>
      <c r="D231" s="302">
        <v>0.30428673343796514</v>
      </c>
      <c r="E231" s="302">
        <f t="shared" ref="E231:E238" si="105">SUM(B231:D231)</f>
        <v>2.7259530262691594</v>
      </c>
      <c r="F231" s="303"/>
      <c r="G231" s="302">
        <v>2.4967470805720713</v>
      </c>
      <c r="H231" s="302">
        <v>7.3804966955355086E-2</v>
      </c>
      <c r="I231" s="302">
        <v>0.51047112601244982</v>
      </c>
      <c r="J231" s="302">
        <f t="shared" ref="J231:J233" si="106">SUM(G231:I231)</f>
        <v>3.0810231735398759</v>
      </c>
      <c r="K231" s="303"/>
      <c r="L231" s="302">
        <v>3.0672121732413173</v>
      </c>
      <c r="M231" s="302">
        <v>9.4836606672262638E-2</v>
      </c>
      <c r="N231" s="302">
        <v>0.47439418017868523</v>
      </c>
      <c r="O231" s="302">
        <f t="shared" ref="O231:O238" si="107">SUM(L231:N231)</f>
        <v>3.636442960092265</v>
      </c>
    </row>
    <row r="232" spans="1:15" s="236" customFormat="1" x14ac:dyDescent="0.25">
      <c r="A232" s="237" t="str">
        <f>name!E$6</f>
        <v>Associate professional occupations</v>
      </c>
      <c r="B232" s="302">
        <v>0.97816648012331875</v>
      </c>
      <c r="C232" s="302">
        <v>0.11399681105799746</v>
      </c>
      <c r="D232" s="302">
        <v>0.10706335823068865</v>
      </c>
      <c r="E232" s="302">
        <f t="shared" si="105"/>
        <v>1.1992266494120047</v>
      </c>
      <c r="F232" s="303"/>
      <c r="G232" s="302">
        <v>1.0156566011057306</v>
      </c>
      <c r="H232" s="302">
        <v>9.4449970274483624E-2</v>
      </c>
      <c r="I232" s="302">
        <v>0.17439729984040697</v>
      </c>
      <c r="J232" s="302">
        <f t="shared" si="106"/>
        <v>1.2845038712206214</v>
      </c>
      <c r="K232" s="303"/>
      <c r="L232" s="302">
        <v>0.98414923782795727</v>
      </c>
      <c r="M232" s="302">
        <v>9.0695315850805827E-2</v>
      </c>
      <c r="N232" s="302">
        <v>0.19071217877830401</v>
      </c>
      <c r="O232" s="302">
        <f t="shared" si="107"/>
        <v>1.2655567324570671</v>
      </c>
    </row>
    <row r="233" spans="1:15" s="236" customFormat="1" x14ac:dyDescent="0.25">
      <c r="A233" s="237" t="str">
        <f>name!E$7</f>
        <v>Administrative and secretarial occupations</v>
      </c>
      <c r="B233" s="302">
        <v>0.40824112111503813</v>
      </c>
      <c r="C233" s="302">
        <v>0.26500517778476113</v>
      </c>
      <c r="D233" s="302">
        <v>1.8751499286724597E-2</v>
      </c>
      <c r="E233" s="302">
        <f t="shared" si="105"/>
        <v>0.69199779818652385</v>
      </c>
      <c r="F233" s="303"/>
      <c r="G233" s="302">
        <v>0.38388911663068886</v>
      </c>
      <c r="H233" s="302">
        <v>0.15153731010010404</v>
      </c>
      <c r="I233" s="302">
        <v>2.3778234964335631E-2</v>
      </c>
      <c r="J233" s="302">
        <f t="shared" si="106"/>
        <v>0.5592046616951285</v>
      </c>
      <c r="K233" s="303"/>
      <c r="L233" s="302">
        <v>0.35100957081301487</v>
      </c>
      <c r="M233" s="302">
        <v>0.13191392430989585</v>
      </c>
      <c r="N233" s="302">
        <v>1.6926178545782811E-2</v>
      </c>
      <c r="O233" s="302">
        <f t="shared" si="107"/>
        <v>0.49984967366869354</v>
      </c>
    </row>
    <row r="234" spans="1:15" s="236" customFormat="1" x14ac:dyDescent="0.25">
      <c r="A234" s="237" t="str">
        <f>name!E$8</f>
        <v>Skilled trades occupations</v>
      </c>
      <c r="B234" s="302">
        <v>0.26116866119203858</v>
      </c>
      <c r="C234" s="302">
        <v>1.1021956236823914E-2</v>
      </c>
      <c r="D234" s="302">
        <v>9.0559010393069225E-2</v>
      </c>
      <c r="E234" s="302">
        <f t="shared" si="105"/>
        <v>0.36274962782193171</v>
      </c>
      <c r="F234" s="303"/>
      <c r="G234" s="302">
        <v>0.21206583909315194</v>
      </c>
      <c r="H234" s="302">
        <v>7.7846900139884375E-3</v>
      </c>
      <c r="I234" s="302">
        <v>0.12317314150499518</v>
      </c>
      <c r="J234" s="302">
        <f>SUM(G234:I234)</f>
        <v>0.34302367061213557</v>
      </c>
      <c r="K234" s="303"/>
      <c r="L234" s="302">
        <v>0.1391223788821323</v>
      </c>
      <c r="M234" s="302">
        <v>8.734961616251289E-3</v>
      </c>
      <c r="N234" s="302">
        <v>0.21185449966545303</v>
      </c>
      <c r="O234" s="302">
        <f t="shared" si="107"/>
        <v>0.35971184016383662</v>
      </c>
    </row>
    <row r="235" spans="1:15" s="236" customFormat="1" x14ac:dyDescent="0.25">
      <c r="A235" s="237" t="str">
        <f>name!E$9</f>
        <v>Caring, leisure and other service occupations</v>
      </c>
      <c r="B235" s="302">
        <v>0.13128911470070845</v>
      </c>
      <c r="C235" s="302">
        <v>2.8343534890811015E-2</v>
      </c>
      <c r="D235" s="302">
        <v>1.117717750784244E-2</v>
      </c>
      <c r="E235" s="302">
        <f t="shared" si="105"/>
        <v>0.17080982709936191</v>
      </c>
      <c r="F235" s="303"/>
      <c r="G235" s="302">
        <v>0.12205214137790081</v>
      </c>
      <c r="H235" s="302">
        <v>1.7548615167114912E-2</v>
      </c>
      <c r="I235" s="302">
        <v>1.6979733107886145E-2</v>
      </c>
      <c r="J235" s="302">
        <f t="shared" ref="J235:J238" si="108">SUM(G235:I235)</f>
        <v>0.15658048965290186</v>
      </c>
      <c r="K235" s="303"/>
      <c r="L235" s="302">
        <v>0.14666832796333534</v>
      </c>
      <c r="M235" s="302">
        <v>1.6678173230931927E-2</v>
      </c>
      <c r="N235" s="302">
        <v>2.599336376614924E-2</v>
      </c>
      <c r="O235" s="302">
        <f t="shared" si="107"/>
        <v>0.18933986496041652</v>
      </c>
    </row>
    <row r="236" spans="1:15" s="236" customFormat="1" x14ac:dyDescent="0.25">
      <c r="A236" s="237" t="str">
        <f>name!E$10</f>
        <v>Sales and customer service occupations</v>
      </c>
      <c r="B236" s="302">
        <v>0.18574357523239007</v>
      </c>
      <c r="C236" s="302">
        <v>9.8982312321876709E-2</v>
      </c>
      <c r="D236" s="302">
        <v>1.313354814521572E-2</v>
      </c>
      <c r="E236" s="302">
        <f t="shared" si="105"/>
        <v>0.29785943569948248</v>
      </c>
      <c r="F236" s="303"/>
      <c r="G236" s="302">
        <v>0.17930543728978024</v>
      </c>
      <c r="H236" s="302">
        <v>7.3336448461346695E-2</v>
      </c>
      <c r="I236" s="302">
        <v>1.5905896828171531E-2</v>
      </c>
      <c r="J236" s="302">
        <f t="shared" si="108"/>
        <v>0.26854778257929846</v>
      </c>
      <c r="K236" s="303"/>
      <c r="L236" s="302">
        <v>0.18834694257593212</v>
      </c>
      <c r="M236" s="302">
        <v>8.6165603152511275E-2</v>
      </c>
      <c r="N236" s="302">
        <v>1.7254129441725559E-2</v>
      </c>
      <c r="O236" s="302">
        <f t="shared" si="107"/>
        <v>0.29176667517016897</v>
      </c>
    </row>
    <row r="237" spans="1:15" s="236" customFormat="1" x14ac:dyDescent="0.25">
      <c r="A237" s="237" t="str">
        <f>name!E$11</f>
        <v>Process, plant and machine operatives</v>
      </c>
      <c r="B237" s="302">
        <v>3.0590046208429884E-2</v>
      </c>
      <c r="C237" s="302">
        <v>1.0492129790542183E-2</v>
      </c>
      <c r="D237" s="302">
        <v>2.0582079595346237E-2</v>
      </c>
      <c r="E237" s="302">
        <f t="shared" si="105"/>
        <v>6.1664255594318304E-2</v>
      </c>
      <c r="F237" s="303"/>
      <c r="G237" s="302">
        <v>2.2161158970245936E-2</v>
      </c>
      <c r="H237" s="302">
        <v>1.3041426478463644E-2</v>
      </c>
      <c r="I237" s="302">
        <v>3.5984257882780847E-2</v>
      </c>
      <c r="J237" s="302">
        <f t="shared" si="108"/>
        <v>7.1186843331490418E-2</v>
      </c>
      <c r="K237" s="303"/>
      <c r="L237" s="302">
        <v>1.8295963687884238E-2</v>
      </c>
      <c r="M237" s="302">
        <v>1.2031081041270056E-2</v>
      </c>
      <c r="N237" s="302">
        <v>4.6414630425785697E-2</v>
      </c>
      <c r="O237" s="302">
        <f t="shared" si="107"/>
        <v>7.6741675154939987E-2</v>
      </c>
    </row>
    <row r="238" spans="1:15" s="236" customFormat="1" x14ac:dyDescent="0.25">
      <c r="A238" s="237" t="str">
        <f>name!E$12</f>
        <v>Elementary occupations</v>
      </c>
      <c r="B238" s="302">
        <v>5.2892833089258698E-2</v>
      </c>
      <c r="C238" s="302">
        <v>2.3999318044347032E-2</v>
      </c>
      <c r="D238" s="302">
        <v>3.0511594162189383E-2</v>
      </c>
      <c r="E238" s="302">
        <f t="shared" si="105"/>
        <v>0.10740374529579511</v>
      </c>
      <c r="F238" s="303"/>
      <c r="G238" s="302">
        <v>3.5008296967675712E-2</v>
      </c>
      <c r="H238" s="302">
        <v>1.3972981121699061E-2</v>
      </c>
      <c r="I238" s="302">
        <v>3.6060544156145846E-2</v>
      </c>
      <c r="J238" s="302">
        <f t="shared" si="108"/>
        <v>8.5041822245520621E-2</v>
      </c>
      <c r="K238" s="303"/>
      <c r="L238" s="302">
        <v>3.0810618026707894E-2</v>
      </c>
      <c r="M238" s="302">
        <v>1.5790788808435499E-2</v>
      </c>
      <c r="N238" s="302">
        <v>5.0587853409011174E-2</v>
      </c>
      <c r="O238" s="302">
        <f t="shared" si="107"/>
        <v>9.7189260244154571E-2</v>
      </c>
    </row>
    <row r="239" spans="1:15" s="236" customFormat="1" x14ac:dyDescent="0.25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5">
      <c r="A240" s="244" t="s">
        <v>33</v>
      </c>
      <c r="B240" s="311">
        <f>SUM(B230:B238)</f>
        <v>5.1362136774116864</v>
      </c>
      <c r="C240" s="311">
        <f t="shared" ref="C240:E240" si="109">SUM(C230:C238)</f>
        <v>0.72338652333442877</v>
      </c>
      <c r="D240" s="311">
        <f t="shared" si="109"/>
        <v>0.67839979925388705</v>
      </c>
      <c r="E240" s="311">
        <f t="shared" si="109"/>
        <v>6.538000000000002</v>
      </c>
      <c r="F240" s="311"/>
      <c r="G240" s="311">
        <f t="shared" ref="G240:J240" si="110">SUM(G230:G238)</f>
        <v>5.2578135855323245</v>
      </c>
      <c r="H240" s="311">
        <f t="shared" si="110"/>
        <v>0.51829021868255687</v>
      </c>
      <c r="I240" s="311">
        <f t="shared" si="110"/>
        <v>1.096896195785104</v>
      </c>
      <c r="J240" s="311">
        <f t="shared" si="110"/>
        <v>6.8729999999999842</v>
      </c>
      <c r="K240" s="311"/>
      <c r="L240" s="311">
        <f t="shared" ref="L240:O240" si="111">SUM(L230:L238)</f>
        <v>5.6338609031868279</v>
      </c>
      <c r="M240" s="311">
        <f t="shared" si="111"/>
        <v>0.53894635727706075</v>
      </c>
      <c r="N240" s="311">
        <f t="shared" si="111"/>
        <v>1.2171927395361026</v>
      </c>
      <c r="O240" s="311">
        <f t="shared" si="111"/>
        <v>7.3899999999999899</v>
      </c>
    </row>
    <row r="241" spans="1:15" s="236" customFormat="1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ht="13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ht="13" x14ac:dyDescent="0.3">
      <c r="A244" s="241" t="str">
        <f>name!B17</f>
        <v>Finance and insurance</v>
      </c>
      <c r="B244" s="378">
        <f>$B$6</f>
        <v>2015</v>
      </c>
      <c r="C244" s="378"/>
      <c r="D244" s="378"/>
      <c r="E244" s="378"/>
      <c r="F244" s="263"/>
      <c r="G244" s="378">
        <f>$G$6</f>
        <v>2020</v>
      </c>
      <c r="H244" s="378"/>
      <c r="I244" s="378"/>
      <c r="J244" s="378"/>
      <c r="K244" s="263"/>
      <c r="L244" s="378">
        <f>$L$6</f>
        <v>2035</v>
      </c>
      <c r="M244" s="378"/>
      <c r="N244" s="378"/>
      <c r="O244" s="378"/>
    </row>
    <row r="245" spans="1:15" s="236" customFormat="1" ht="13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ht="13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5">
      <c r="A247" s="237" t="str">
        <f>name!E$4</f>
        <v>Managers, directors and senior officials</v>
      </c>
      <c r="B247" s="302">
        <v>1.1702966999429081</v>
      </c>
      <c r="C247" s="302">
        <v>9.4523209161000127E-2</v>
      </c>
      <c r="D247" s="302">
        <v>0.12419674860176871</v>
      </c>
      <c r="E247" s="302">
        <f>SUM(B247:D247)</f>
        <v>1.3890166577056771</v>
      </c>
      <c r="F247" s="303"/>
      <c r="G247" s="302">
        <v>1.2163571887794993</v>
      </c>
      <c r="H247" s="302">
        <v>0.17777320134090199</v>
      </c>
      <c r="I247" s="302">
        <v>0.12362303475461714</v>
      </c>
      <c r="J247" s="302">
        <f>SUM(G247:I247)</f>
        <v>1.5177534248750184</v>
      </c>
      <c r="K247" s="303"/>
      <c r="L247" s="302">
        <v>1.016253427153808</v>
      </c>
      <c r="M247" s="302">
        <v>0.22573678789906687</v>
      </c>
      <c r="N247" s="302">
        <v>0.1278270761206961</v>
      </c>
      <c r="O247" s="302">
        <f>SUM(L247:N247)</f>
        <v>1.3698172911735709</v>
      </c>
    </row>
    <row r="248" spans="1:15" s="236" customFormat="1" x14ac:dyDescent="0.25">
      <c r="A248" s="237" t="str">
        <f>name!E$5</f>
        <v>Professional occupations</v>
      </c>
      <c r="B248" s="302">
        <v>1.4549066860266444</v>
      </c>
      <c r="C248" s="302">
        <v>7.1757089548664221E-2</v>
      </c>
      <c r="D248" s="302">
        <v>0.31639856209723133</v>
      </c>
      <c r="E248" s="302">
        <f t="shared" ref="E248:E255" si="112">SUM(B248:D248)</f>
        <v>1.8430623376725399</v>
      </c>
      <c r="F248" s="303"/>
      <c r="G248" s="302">
        <v>1.791039698948006</v>
      </c>
      <c r="H248" s="302">
        <v>0.12508077184250074</v>
      </c>
      <c r="I248" s="302">
        <v>0.22721365949115024</v>
      </c>
      <c r="J248" s="302">
        <f t="shared" ref="J248:J250" si="113">SUM(G248:I248)</f>
        <v>2.1433341302816569</v>
      </c>
      <c r="K248" s="303"/>
      <c r="L248" s="302">
        <v>2.1206705174600913</v>
      </c>
      <c r="M248" s="302">
        <v>0.13940839672793723</v>
      </c>
      <c r="N248" s="302">
        <v>0.20254528158487517</v>
      </c>
      <c r="O248" s="302">
        <f t="shared" ref="O248:O255" si="114">SUM(L248:N248)</f>
        <v>2.4626241957729036</v>
      </c>
    </row>
    <row r="249" spans="1:15" s="236" customFormat="1" x14ac:dyDescent="0.25">
      <c r="A249" s="237" t="str">
        <f>name!E$6</f>
        <v>Associate professional occupations</v>
      </c>
      <c r="B249" s="302">
        <v>1.770121704493264</v>
      </c>
      <c r="C249" s="302">
        <v>0.18132809543909295</v>
      </c>
      <c r="D249" s="302">
        <v>0.37877298907491275</v>
      </c>
      <c r="E249" s="302">
        <f t="shared" si="112"/>
        <v>2.3302227890072698</v>
      </c>
      <c r="F249" s="303"/>
      <c r="G249" s="302">
        <v>1.882742372813363</v>
      </c>
      <c r="H249" s="302">
        <v>0.25115175823939867</v>
      </c>
      <c r="I249" s="302">
        <v>0.29833457807639829</v>
      </c>
      <c r="J249" s="302">
        <f t="shared" si="113"/>
        <v>2.4322287091291601</v>
      </c>
      <c r="K249" s="303"/>
      <c r="L249" s="302">
        <v>1.7024408302918317</v>
      </c>
      <c r="M249" s="302">
        <v>0.25754221328791416</v>
      </c>
      <c r="N249" s="302">
        <v>0.32988513515492995</v>
      </c>
      <c r="O249" s="302">
        <f t="shared" si="114"/>
        <v>2.2898681787346757</v>
      </c>
    </row>
    <row r="250" spans="1:15" s="236" customFormat="1" x14ac:dyDescent="0.25">
      <c r="A250" s="237" t="str">
        <f>name!E$7</f>
        <v>Administrative and secretarial occupations</v>
      </c>
      <c r="B250" s="302">
        <v>2.2698345026195903</v>
      </c>
      <c r="C250" s="302">
        <v>0.81619617859017146</v>
      </c>
      <c r="D250" s="302">
        <v>0.14316771860892061</v>
      </c>
      <c r="E250" s="302">
        <f t="shared" si="112"/>
        <v>3.229198399818682</v>
      </c>
      <c r="F250" s="303"/>
      <c r="G250" s="302">
        <v>2.0816918509268105</v>
      </c>
      <c r="H250" s="302">
        <v>0.96546623008841082</v>
      </c>
      <c r="I250" s="302">
        <v>6.3019296354085846E-2</v>
      </c>
      <c r="J250" s="302">
        <f t="shared" si="113"/>
        <v>3.1101773773693071</v>
      </c>
      <c r="K250" s="303"/>
      <c r="L250" s="302">
        <v>1.8349836133529551</v>
      </c>
      <c r="M250" s="302">
        <v>0.80350346576359255</v>
      </c>
      <c r="N250" s="302">
        <v>6.4094094878488675E-2</v>
      </c>
      <c r="O250" s="302">
        <f t="shared" si="114"/>
        <v>2.7025811739950361</v>
      </c>
    </row>
    <row r="251" spans="1:15" s="236" customFormat="1" x14ac:dyDescent="0.25">
      <c r="A251" s="237" t="str">
        <f>name!E$8</f>
        <v>Skilled trades occupations</v>
      </c>
      <c r="B251" s="302">
        <v>6.6722579093641807E-2</v>
      </c>
      <c r="C251" s="302">
        <v>1.5517620770709228E-2</v>
      </c>
      <c r="D251" s="302">
        <v>4.4164544383632688E-2</v>
      </c>
      <c r="E251" s="302">
        <f t="shared" si="112"/>
        <v>0.12640474424798373</v>
      </c>
      <c r="F251" s="303"/>
      <c r="G251" s="302">
        <v>5.1257080742400499E-2</v>
      </c>
      <c r="H251" s="302">
        <v>1.5521568503073837E-2</v>
      </c>
      <c r="I251" s="302">
        <v>3.2205323606193131E-2</v>
      </c>
      <c r="J251" s="302">
        <f>SUM(G251:I251)</f>
        <v>9.8983972851667462E-2</v>
      </c>
      <c r="K251" s="303"/>
      <c r="L251" s="302">
        <v>4.2325509915735436E-2</v>
      </c>
      <c r="M251" s="302">
        <v>1.3676392450208233E-2</v>
      </c>
      <c r="N251" s="302">
        <v>3.0585362635510024E-2</v>
      </c>
      <c r="O251" s="302">
        <f t="shared" si="114"/>
        <v>8.6587265001453695E-2</v>
      </c>
    </row>
    <row r="252" spans="1:15" s="236" customFormat="1" x14ac:dyDescent="0.25">
      <c r="A252" s="237" t="str">
        <f>name!E$9</f>
        <v>Caring, leisure and other service occupations</v>
      </c>
      <c r="B252" s="302">
        <v>5.3250982149252252E-2</v>
      </c>
      <c r="C252" s="302">
        <v>6.3257761599826521E-3</v>
      </c>
      <c r="D252" s="302">
        <v>3.8789529541918444E-2</v>
      </c>
      <c r="E252" s="302">
        <f t="shared" si="112"/>
        <v>9.8366287851153339E-2</v>
      </c>
      <c r="F252" s="303"/>
      <c r="G252" s="302">
        <v>5.9535717462848449E-2</v>
      </c>
      <c r="H252" s="302">
        <v>7.2671162431966578E-3</v>
      </c>
      <c r="I252" s="302">
        <v>1.7055587136763493E-2</v>
      </c>
      <c r="J252" s="302">
        <f t="shared" ref="J252:J255" si="115">SUM(G252:I252)</f>
        <v>8.385842084280859E-2</v>
      </c>
      <c r="K252" s="303"/>
      <c r="L252" s="302">
        <v>6.3394991191707536E-2</v>
      </c>
      <c r="M252" s="302">
        <v>5.6252802174866961E-3</v>
      </c>
      <c r="N252" s="302">
        <v>2.7734413492262897E-2</v>
      </c>
      <c r="O252" s="302">
        <f t="shared" si="114"/>
        <v>9.6754684901457125E-2</v>
      </c>
    </row>
    <row r="253" spans="1:15" s="236" customFormat="1" x14ac:dyDescent="0.25">
      <c r="A253" s="237" t="str">
        <f>name!E$10</f>
        <v>Sales and customer service occupations</v>
      </c>
      <c r="B253" s="302">
        <v>0.55146877520381266</v>
      </c>
      <c r="C253" s="302">
        <v>0.21618921507372449</v>
      </c>
      <c r="D253" s="302">
        <v>0.18764512429881866</v>
      </c>
      <c r="E253" s="302">
        <f t="shared" si="112"/>
        <v>0.95530311457635575</v>
      </c>
      <c r="F253" s="303"/>
      <c r="G253" s="302">
        <v>0.51526535352135328</v>
      </c>
      <c r="H253" s="302">
        <v>0.29444589856968967</v>
      </c>
      <c r="I253" s="302">
        <v>5.6265686955835968E-2</v>
      </c>
      <c r="J253" s="302">
        <f t="shared" si="115"/>
        <v>0.865976939046879</v>
      </c>
      <c r="K253" s="303"/>
      <c r="L253" s="302">
        <v>0.48885676990215521</v>
      </c>
      <c r="M253" s="302">
        <v>0.31084355962204752</v>
      </c>
      <c r="N253" s="302">
        <v>5.0548605536666541E-2</v>
      </c>
      <c r="O253" s="302">
        <f t="shared" si="114"/>
        <v>0.85024893506086918</v>
      </c>
    </row>
    <row r="254" spans="1:15" s="236" customFormat="1" x14ac:dyDescent="0.25">
      <c r="A254" s="237" t="str">
        <f>name!E$11</f>
        <v>Process, plant and machine operatives</v>
      </c>
      <c r="B254" s="302">
        <v>3.5554845988159889E-2</v>
      </c>
      <c r="C254" s="302">
        <v>4.7409332730350947E-3</v>
      </c>
      <c r="D254" s="302">
        <v>3.0986358859780839E-2</v>
      </c>
      <c r="E254" s="302">
        <f t="shared" si="112"/>
        <v>7.1282138120975821E-2</v>
      </c>
      <c r="F254" s="303"/>
      <c r="G254" s="302">
        <v>2.5709987609614383E-2</v>
      </c>
      <c r="H254" s="302">
        <v>5.8371000970978979E-3</v>
      </c>
      <c r="I254" s="302">
        <v>4.5031729804770097E-2</v>
      </c>
      <c r="J254" s="302">
        <f t="shared" si="115"/>
        <v>7.6578817511482378E-2</v>
      </c>
      <c r="K254" s="303"/>
      <c r="L254" s="302">
        <v>2.2182799278891642E-2</v>
      </c>
      <c r="M254" s="302">
        <v>8.2199707032836033E-3</v>
      </c>
      <c r="N254" s="302">
        <v>6.0727653533501021E-2</v>
      </c>
      <c r="O254" s="302">
        <f t="shared" si="114"/>
        <v>9.1130423515676268E-2</v>
      </c>
    </row>
    <row r="255" spans="1:15" s="236" customFormat="1" x14ac:dyDescent="0.25">
      <c r="A255" s="237" t="str">
        <f>name!E$12</f>
        <v>Elementary occupations</v>
      </c>
      <c r="B255" s="302">
        <v>8.8459051119097937E-2</v>
      </c>
      <c r="C255" s="302">
        <v>2.1503788210310112E-2</v>
      </c>
      <c r="D255" s="302">
        <v>6.6180691669983763E-2</v>
      </c>
      <c r="E255" s="302">
        <f t="shared" si="112"/>
        <v>0.17614353099939181</v>
      </c>
      <c r="F255" s="303"/>
      <c r="G255" s="302">
        <v>6.5418721149506878E-2</v>
      </c>
      <c r="H255" s="302">
        <v>2.267054568525206E-2</v>
      </c>
      <c r="I255" s="302">
        <v>2.4018941257256104E-2</v>
      </c>
      <c r="J255" s="302">
        <f t="shared" si="115"/>
        <v>0.11210820809201505</v>
      </c>
      <c r="K255" s="303"/>
      <c r="L255" s="302">
        <v>5.4894517639409231E-2</v>
      </c>
      <c r="M255" s="302">
        <v>1.9691192853968757E-2</v>
      </c>
      <c r="N255" s="302">
        <v>2.9802141350980211E-2</v>
      </c>
      <c r="O255" s="302">
        <f t="shared" si="114"/>
        <v>0.1043878518443582</v>
      </c>
    </row>
    <row r="256" spans="1:15" s="236" customFormat="1" x14ac:dyDescent="0.25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5">
      <c r="A257" s="244" t="s">
        <v>33</v>
      </c>
      <c r="B257" s="311">
        <f>SUM(B247:B255)</f>
        <v>7.4606158266363716</v>
      </c>
      <c r="C257" s="311">
        <f t="shared" ref="C257:E257" si="116">SUM(C247:C255)</f>
        <v>1.4280819062266905</v>
      </c>
      <c r="D257" s="311">
        <f t="shared" si="116"/>
        <v>1.3303022671369678</v>
      </c>
      <c r="E257" s="311">
        <f t="shared" si="116"/>
        <v>10.219000000000028</v>
      </c>
      <c r="F257" s="311"/>
      <c r="G257" s="311">
        <f t="shared" ref="G257:J257" si="117">SUM(G247:G255)</f>
        <v>7.6890179719534029</v>
      </c>
      <c r="H257" s="311">
        <f t="shared" si="117"/>
        <v>1.8652141906095223</v>
      </c>
      <c r="I257" s="311">
        <f t="shared" si="117"/>
        <v>0.88676783743707033</v>
      </c>
      <c r="J257" s="311">
        <f t="shared" si="117"/>
        <v>10.440999999999997</v>
      </c>
      <c r="K257" s="311"/>
      <c r="L257" s="311">
        <f t="shared" ref="L257:O257" si="118">SUM(L247:L255)</f>
        <v>7.3460029761865862</v>
      </c>
      <c r="M257" s="311">
        <f t="shared" si="118"/>
        <v>1.7842472595255054</v>
      </c>
      <c r="N257" s="311">
        <f t="shared" si="118"/>
        <v>0.92374976428791067</v>
      </c>
      <c r="O257" s="311">
        <f t="shared" si="118"/>
        <v>10.053999999999998</v>
      </c>
    </row>
    <row r="258" spans="1:15" s="236" customFormat="1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ht="13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ht="13" x14ac:dyDescent="0.3">
      <c r="A261" s="241" t="str">
        <f>name!B18</f>
        <v>Real estate</v>
      </c>
      <c r="B261" s="378">
        <f>$B$6</f>
        <v>2015</v>
      </c>
      <c r="C261" s="378"/>
      <c r="D261" s="378"/>
      <c r="E261" s="378"/>
      <c r="F261" s="263"/>
      <c r="G261" s="378">
        <f>$G$6</f>
        <v>2020</v>
      </c>
      <c r="H261" s="378"/>
      <c r="I261" s="378"/>
      <c r="J261" s="378"/>
      <c r="K261" s="263"/>
      <c r="L261" s="378">
        <f>$L$6</f>
        <v>2035</v>
      </c>
      <c r="M261" s="378"/>
      <c r="N261" s="378"/>
      <c r="O261" s="378"/>
    </row>
    <row r="262" spans="1:15" s="236" customFormat="1" ht="13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ht="13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5">
      <c r="A264" s="237" t="str">
        <f>name!E$4</f>
        <v>Managers, directors and senior officials</v>
      </c>
      <c r="B264" s="302">
        <v>0.78839172877370534</v>
      </c>
      <c r="C264" s="302">
        <v>0.1400025894570569</v>
      </c>
      <c r="D264" s="302">
        <v>0.12484978346391887</v>
      </c>
      <c r="E264" s="302">
        <f>SUM(B264:D264)</f>
        <v>1.0532441016946812</v>
      </c>
      <c r="F264" s="303"/>
      <c r="G264" s="302">
        <v>1.0894367136425673</v>
      </c>
      <c r="H264" s="302">
        <v>0.3983788518226874</v>
      </c>
      <c r="I264" s="302">
        <v>0.17645124183780742</v>
      </c>
      <c r="J264" s="302">
        <f>SUM(G264:I264)</f>
        <v>1.6642668073030622</v>
      </c>
      <c r="K264" s="303"/>
      <c r="L264" s="302">
        <v>1.1832792720902516</v>
      </c>
      <c r="M264" s="302">
        <v>0.39161456718286092</v>
      </c>
      <c r="N264" s="302">
        <v>0.19889916622311879</v>
      </c>
      <c r="O264" s="302">
        <f>SUM(L264:N264)</f>
        <v>1.7737930054962314</v>
      </c>
    </row>
    <row r="265" spans="1:15" s="236" customFormat="1" x14ac:dyDescent="0.25">
      <c r="A265" s="237" t="str">
        <f>name!E$5</f>
        <v>Professional occupations</v>
      </c>
      <c r="B265" s="302">
        <v>0.84727041734465369</v>
      </c>
      <c r="C265" s="302">
        <v>0.15587904012264311</v>
      </c>
      <c r="D265" s="302">
        <v>9.0379438089217931E-2</v>
      </c>
      <c r="E265" s="302">
        <f t="shared" ref="E265:E272" si="119">SUM(B265:D265)</f>
        <v>1.0935288955565148</v>
      </c>
      <c r="F265" s="303"/>
      <c r="G265" s="302">
        <v>1.3025165893215727</v>
      </c>
      <c r="H265" s="302">
        <v>0.35888407648765031</v>
      </c>
      <c r="I265" s="302">
        <v>0.10364732758338323</v>
      </c>
      <c r="J265" s="302">
        <f t="shared" ref="J265:J267" si="120">SUM(G265:I265)</f>
        <v>1.765047993392606</v>
      </c>
      <c r="K265" s="303"/>
      <c r="L265" s="302">
        <v>1.6258922376330551</v>
      </c>
      <c r="M265" s="302">
        <v>0.43642592848440381</v>
      </c>
      <c r="N265" s="302">
        <v>8.655272104459806E-2</v>
      </c>
      <c r="O265" s="302">
        <f t="shared" ref="O265:O272" si="121">SUM(L265:N265)</f>
        <v>2.1488708871620568</v>
      </c>
    </row>
    <row r="266" spans="1:15" s="236" customFormat="1" x14ac:dyDescent="0.25">
      <c r="A266" s="237" t="str">
        <f>name!E$6</f>
        <v>Associate professional occupations</v>
      </c>
      <c r="B266" s="302">
        <v>0.85933733578901272</v>
      </c>
      <c r="C266" s="302">
        <v>0.20360870211005958</v>
      </c>
      <c r="D266" s="302">
        <v>8.9875631999393787E-2</v>
      </c>
      <c r="E266" s="302">
        <f t="shared" si="119"/>
        <v>1.1528216698984661</v>
      </c>
      <c r="F266" s="303"/>
      <c r="G266" s="302">
        <v>1.1964980185630592</v>
      </c>
      <c r="H266" s="302">
        <v>0.444368029421363</v>
      </c>
      <c r="I266" s="302">
        <v>0.10195454596485011</v>
      </c>
      <c r="J266" s="302">
        <f t="shared" si="120"/>
        <v>1.7428205939492722</v>
      </c>
      <c r="K266" s="303"/>
      <c r="L266" s="302">
        <v>1.5125819091897748</v>
      </c>
      <c r="M266" s="302">
        <v>0.49323153096676331</v>
      </c>
      <c r="N266" s="302">
        <v>0.13395201907791662</v>
      </c>
      <c r="O266" s="302">
        <f t="shared" si="121"/>
        <v>2.1397654592344546</v>
      </c>
    </row>
    <row r="267" spans="1:15" s="236" customFormat="1" x14ac:dyDescent="0.25">
      <c r="A267" s="237" t="str">
        <f>name!E$7</f>
        <v>Administrative and secretarial occupations</v>
      </c>
      <c r="B267" s="302">
        <v>0.97828030314834835</v>
      </c>
      <c r="C267" s="302">
        <v>0.827484748573869</v>
      </c>
      <c r="D267" s="302">
        <v>1.5572098511037405E-2</v>
      </c>
      <c r="E267" s="302">
        <f t="shared" si="119"/>
        <v>1.8213371502332547</v>
      </c>
      <c r="F267" s="303"/>
      <c r="G267" s="302">
        <v>1.0630176218891034</v>
      </c>
      <c r="H267" s="302">
        <v>1.0305167002591555</v>
      </c>
      <c r="I267" s="302">
        <v>1.6899770882050958E-2</v>
      </c>
      <c r="J267" s="302">
        <f t="shared" si="120"/>
        <v>2.1104340930303103</v>
      </c>
      <c r="K267" s="303"/>
      <c r="L267" s="302">
        <v>1.0392334237911967</v>
      </c>
      <c r="M267" s="302">
        <v>0.85241572177513858</v>
      </c>
      <c r="N267" s="302">
        <v>2.5265008725629222E-2</v>
      </c>
      <c r="O267" s="302">
        <f t="shared" si="121"/>
        <v>1.9169141542919643</v>
      </c>
    </row>
    <row r="268" spans="1:15" s="236" customFormat="1" x14ac:dyDescent="0.25">
      <c r="A268" s="237" t="str">
        <f>name!E$8</f>
        <v>Skilled trades occupations</v>
      </c>
      <c r="B268" s="302">
        <v>0.15829028679076956</v>
      </c>
      <c r="C268" s="302">
        <v>4.4363802001509807E-2</v>
      </c>
      <c r="D268" s="302">
        <v>0.27098442917436816</v>
      </c>
      <c r="E268" s="302">
        <f t="shared" si="119"/>
        <v>0.47363851796664752</v>
      </c>
      <c r="F268" s="303"/>
      <c r="G268" s="302">
        <v>0.17891691408583441</v>
      </c>
      <c r="H268" s="302">
        <v>8.0475876527545814E-2</v>
      </c>
      <c r="I268" s="302">
        <v>0.21924966400785387</v>
      </c>
      <c r="J268" s="302">
        <f>SUM(G268:I268)</f>
        <v>0.47864245462123411</v>
      </c>
      <c r="K268" s="303"/>
      <c r="L268" s="302">
        <v>0.20118399125244571</v>
      </c>
      <c r="M268" s="302">
        <v>0.11772465210493641</v>
      </c>
      <c r="N268" s="302">
        <v>0.24711110202761566</v>
      </c>
      <c r="O268" s="302">
        <f t="shared" si="121"/>
        <v>0.56601974538499777</v>
      </c>
    </row>
    <row r="269" spans="1:15" s="236" customFormat="1" x14ac:dyDescent="0.25">
      <c r="A269" s="237" t="str">
        <f>name!E$9</f>
        <v>Caring, leisure and other service occupations</v>
      </c>
      <c r="B269" s="302">
        <v>0.16891663647148961</v>
      </c>
      <c r="C269" s="302">
        <v>8.1355321897326971E-2</v>
      </c>
      <c r="D269" s="302">
        <v>4.7137696244617812E-2</v>
      </c>
      <c r="E269" s="302">
        <f t="shared" si="119"/>
        <v>0.29740965461343438</v>
      </c>
      <c r="F269" s="303"/>
      <c r="G269" s="302">
        <v>0.18527164173018162</v>
      </c>
      <c r="H269" s="302">
        <v>0.12466391938544984</v>
      </c>
      <c r="I269" s="302">
        <v>4.8186562395560843E-2</v>
      </c>
      <c r="J269" s="302">
        <f t="shared" ref="J269:J272" si="122">SUM(G269:I269)</f>
        <v>0.35812212351119233</v>
      </c>
      <c r="K269" s="303"/>
      <c r="L269" s="302">
        <v>0.22252442753537796</v>
      </c>
      <c r="M269" s="302">
        <v>0.11090592490893025</v>
      </c>
      <c r="N269" s="302">
        <v>9.7256250128420471E-2</v>
      </c>
      <c r="O269" s="302">
        <f t="shared" si="121"/>
        <v>0.43068660257272867</v>
      </c>
    </row>
    <row r="270" spans="1:15" s="236" customFormat="1" x14ac:dyDescent="0.25">
      <c r="A270" s="237" t="str">
        <f>name!E$10</f>
        <v>Sales and customer service occupations</v>
      </c>
      <c r="B270" s="302">
        <v>0.73520880840773162</v>
      </c>
      <c r="C270" s="302">
        <v>0.36407898698486418</v>
      </c>
      <c r="D270" s="302">
        <v>4.9060198267406464E-2</v>
      </c>
      <c r="E270" s="302">
        <f t="shared" si="119"/>
        <v>1.1483479936600021</v>
      </c>
      <c r="F270" s="303"/>
      <c r="G270" s="302">
        <v>0.76373024348577023</v>
      </c>
      <c r="H270" s="302">
        <v>0.54697446835018038</v>
      </c>
      <c r="I270" s="302">
        <v>4.8742958477080225E-2</v>
      </c>
      <c r="J270" s="302">
        <f t="shared" si="122"/>
        <v>1.3594476703130307</v>
      </c>
      <c r="K270" s="303"/>
      <c r="L270" s="302">
        <v>0.81799839240270267</v>
      </c>
      <c r="M270" s="302">
        <v>0.59984261780141912</v>
      </c>
      <c r="N270" s="302">
        <v>4.5465023179435175E-2</v>
      </c>
      <c r="O270" s="302">
        <f t="shared" si="121"/>
        <v>1.4633060333835568</v>
      </c>
    </row>
    <row r="271" spans="1:15" s="236" customFormat="1" x14ac:dyDescent="0.25">
      <c r="A271" s="237" t="str">
        <f>name!E$11</f>
        <v>Process, plant and machine operatives</v>
      </c>
      <c r="B271" s="302">
        <v>7.7402064366333914E-2</v>
      </c>
      <c r="C271" s="302">
        <v>1.0414337081757374E-2</v>
      </c>
      <c r="D271" s="302">
        <v>1.4864639616487168E-2</v>
      </c>
      <c r="E271" s="302">
        <f t="shared" si="119"/>
        <v>0.10268104106457845</v>
      </c>
      <c r="F271" s="303"/>
      <c r="G271" s="302">
        <v>8.3715504466905566E-2</v>
      </c>
      <c r="H271" s="302">
        <v>2.5819089200255052E-2</v>
      </c>
      <c r="I271" s="302">
        <v>2.1379602787598807E-2</v>
      </c>
      <c r="J271" s="302">
        <f t="shared" si="122"/>
        <v>0.13091419645475944</v>
      </c>
      <c r="K271" s="303"/>
      <c r="L271" s="302">
        <v>6.1908127528967766E-2</v>
      </c>
      <c r="M271" s="302">
        <v>2.5630675287153501E-2</v>
      </c>
      <c r="N271" s="302">
        <v>3.4490040354777013E-2</v>
      </c>
      <c r="O271" s="302">
        <f t="shared" si="121"/>
        <v>0.12202884317089828</v>
      </c>
    </row>
    <row r="272" spans="1:15" s="236" customFormat="1" x14ac:dyDescent="0.25">
      <c r="A272" s="237" t="str">
        <f>name!E$12</f>
        <v>Elementary occupations</v>
      </c>
      <c r="B272" s="302">
        <v>0.12262557165539476</v>
      </c>
      <c r="C272" s="302">
        <v>0.11077811634885885</v>
      </c>
      <c r="D272" s="302">
        <v>0.34658728730817273</v>
      </c>
      <c r="E272" s="302">
        <f t="shared" si="119"/>
        <v>0.57999097531242638</v>
      </c>
      <c r="F272" s="303"/>
      <c r="G272" s="302">
        <v>0.13143122711092312</v>
      </c>
      <c r="H272" s="302">
        <v>0.12768784859130841</v>
      </c>
      <c r="I272" s="302">
        <v>0.37118499172230224</v>
      </c>
      <c r="J272" s="302">
        <f t="shared" si="122"/>
        <v>0.63030406742453371</v>
      </c>
      <c r="K272" s="303"/>
      <c r="L272" s="302">
        <v>0.12777133588123479</v>
      </c>
      <c r="M272" s="302">
        <v>0.10146277019772336</v>
      </c>
      <c r="N272" s="302">
        <v>0.44738116322416149</v>
      </c>
      <c r="O272" s="302">
        <f t="shared" si="121"/>
        <v>0.67661526930311966</v>
      </c>
    </row>
    <row r="273" spans="1:15" s="236" customFormat="1" x14ac:dyDescent="0.25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5">
      <c r="A274" s="244" t="s">
        <v>33</v>
      </c>
      <c r="B274" s="311">
        <f>SUM(B264:B272)</f>
        <v>4.7357231527474388</v>
      </c>
      <c r="C274" s="311">
        <f t="shared" ref="C274:E274" si="123">SUM(C264:C272)</f>
        <v>1.9379656445779456</v>
      </c>
      <c r="D274" s="311">
        <f t="shared" si="123"/>
        <v>1.0493112026746203</v>
      </c>
      <c r="E274" s="311">
        <f t="shared" si="123"/>
        <v>7.7230000000000061</v>
      </c>
      <c r="F274" s="311"/>
      <c r="G274" s="311">
        <f t="shared" ref="G274:J274" si="124">SUM(G264:G272)</f>
        <v>5.994534474295917</v>
      </c>
      <c r="H274" s="311">
        <f t="shared" si="124"/>
        <v>3.137768860045596</v>
      </c>
      <c r="I274" s="311">
        <f t="shared" si="124"/>
        <v>1.1076966656584877</v>
      </c>
      <c r="J274" s="311">
        <f t="shared" si="124"/>
        <v>10.240000000000002</v>
      </c>
      <c r="K274" s="311"/>
      <c r="L274" s="311">
        <f t="shared" ref="L274:O274" si="125">SUM(L264:L272)</f>
        <v>6.792373117305007</v>
      </c>
      <c r="M274" s="311">
        <f t="shared" si="125"/>
        <v>3.1292543887093287</v>
      </c>
      <c r="N274" s="311">
        <f t="shared" si="125"/>
        <v>1.3163724939856725</v>
      </c>
      <c r="O274" s="311">
        <f t="shared" si="125"/>
        <v>11.238000000000008</v>
      </c>
    </row>
    <row r="275" spans="1:15" s="236" customFormat="1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ht="13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ht="13" x14ac:dyDescent="0.3">
      <c r="A278" s="241" t="str">
        <f>name!B19</f>
        <v>Professional services</v>
      </c>
      <c r="B278" s="378">
        <f>$B$6</f>
        <v>2015</v>
      </c>
      <c r="C278" s="378"/>
      <c r="D278" s="378"/>
      <c r="E278" s="378"/>
      <c r="F278" s="263"/>
      <c r="G278" s="378">
        <f>$G$6</f>
        <v>2020</v>
      </c>
      <c r="H278" s="378"/>
      <c r="I278" s="378"/>
      <c r="J278" s="378"/>
      <c r="K278" s="263"/>
      <c r="L278" s="378">
        <f>$L$6</f>
        <v>2035</v>
      </c>
      <c r="M278" s="378"/>
      <c r="N278" s="378"/>
      <c r="O278" s="378"/>
    </row>
    <row r="279" spans="1:15" s="236" customFormat="1" ht="13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ht="13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5">
      <c r="A281" s="237" t="str">
        <f>name!E$4</f>
        <v>Managers, directors and senior officials</v>
      </c>
      <c r="B281" s="302">
        <v>2.2418726905047994</v>
      </c>
      <c r="C281" s="302">
        <v>0.42718022111744558</v>
      </c>
      <c r="D281" s="302">
        <v>0.46725734241992256</v>
      </c>
      <c r="E281" s="302">
        <f>SUM(B281:D281)</f>
        <v>3.1363102540421677</v>
      </c>
      <c r="F281" s="303"/>
      <c r="G281" s="302">
        <v>1.8241664019276522</v>
      </c>
      <c r="H281" s="302">
        <v>0.48874471431472788</v>
      </c>
      <c r="I281" s="302">
        <v>0.60739768638643199</v>
      </c>
      <c r="J281" s="302">
        <f>SUM(G281:I281)</f>
        <v>2.9203088026288118</v>
      </c>
      <c r="K281" s="303"/>
      <c r="L281" s="302">
        <v>1.6616950255871659</v>
      </c>
      <c r="M281" s="302">
        <v>0.649397417406537</v>
      </c>
      <c r="N281" s="302">
        <v>0.72656193144314862</v>
      </c>
      <c r="O281" s="302">
        <f>SUM(L281:N281)</f>
        <v>3.0376543744368516</v>
      </c>
    </row>
    <row r="282" spans="1:15" s="236" customFormat="1" x14ac:dyDescent="0.25">
      <c r="A282" s="237" t="str">
        <f>name!E$5</f>
        <v>Professional occupations</v>
      </c>
      <c r="B282" s="302">
        <v>6.1092824890408686</v>
      </c>
      <c r="C282" s="302">
        <v>0.76280196116124976</v>
      </c>
      <c r="D282" s="302">
        <v>2.1647529627849287</v>
      </c>
      <c r="E282" s="302">
        <f t="shared" ref="E282:E289" si="126">SUM(B282:D282)</f>
        <v>9.0368374129870475</v>
      </c>
      <c r="F282" s="303"/>
      <c r="G282" s="302">
        <v>5.8401023575026141</v>
      </c>
      <c r="H282" s="302">
        <v>0.86408338185862865</v>
      </c>
      <c r="I282" s="302">
        <v>2.5876367610239108</v>
      </c>
      <c r="J282" s="302">
        <f t="shared" ref="J282:J284" si="127">SUM(G282:I282)</f>
        <v>9.2918225003851536</v>
      </c>
      <c r="K282" s="303"/>
      <c r="L282" s="302">
        <v>7.1023677052081409</v>
      </c>
      <c r="M282" s="302">
        <v>1.0977199927342867</v>
      </c>
      <c r="N282" s="302">
        <v>2.5371753150833936</v>
      </c>
      <c r="O282" s="302">
        <f t="shared" ref="O282:O289" si="128">SUM(L282:N282)</f>
        <v>10.737263013025821</v>
      </c>
    </row>
    <row r="283" spans="1:15" s="236" customFormat="1" x14ac:dyDescent="0.25">
      <c r="A283" s="237" t="str">
        <f>name!E$6</f>
        <v>Associate professional occupations</v>
      </c>
      <c r="B283" s="302">
        <v>3.4796586414213015</v>
      </c>
      <c r="C283" s="302">
        <v>0.73997708546142305</v>
      </c>
      <c r="D283" s="302">
        <v>1.0063941517842903</v>
      </c>
      <c r="E283" s="302">
        <f t="shared" si="126"/>
        <v>5.2260298786670152</v>
      </c>
      <c r="F283" s="303"/>
      <c r="G283" s="302">
        <v>2.9236609364492243</v>
      </c>
      <c r="H283" s="302">
        <v>0.69985176305469832</v>
      </c>
      <c r="I283" s="302">
        <v>0.98725656492730307</v>
      </c>
      <c r="J283" s="302">
        <f t="shared" si="127"/>
        <v>4.6107692644312257</v>
      </c>
      <c r="K283" s="303"/>
      <c r="L283" s="302">
        <v>3.0369783021494996</v>
      </c>
      <c r="M283" s="302">
        <v>0.83014652363131203</v>
      </c>
      <c r="N283" s="302">
        <v>1.1719393673083673</v>
      </c>
      <c r="O283" s="302">
        <f t="shared" si="128"/>
        <v>5.0390641930891791</v>
      </c>
    </row>
    <row r="284" spans="1:15" s="236" customFormat="1" x14ac:dyDescent="0.25">
      <c r="A284" s="237" t="str">
        <f>name!E$7</f>
        <v>Administrative and secretarial occupations</v>
      </c>
      <c r="B284" s="302">
        <v>3.5517437027654268</v>
      </c>
      <c r="C284" s="302">
        <v>2.8139826509283328</v>
      </c>
      <c r="D284" s="302">
        <v>0.66836016594109326</v>
      </c>
      <c r="E284" s="302">
        <f t="shared" si="126"/>
        <v>7.0340865196348528</v>
      </c>
      <c r="F284" s="303"/>
      <c r="G284" s="302">
        <v>2.4505990466329193</v>
      </c>
      <c r="H284" s="302">
        <v>2.1504975671258615</v>
      </c>
      <c r="I284" s="302">
        <v>0.40149697966227643</v>
      </c>
      <c r="J284" s="302">
        <f t="shared" si="127"/>
        <v>5.0025935934210572</v>
      </c>
      <c r="K284" s="303"/>
      <c r="L284" s="302">
        <v>2.3310027194257885</v>
      </c>
      <c r="M284" s="302">
        <v>2.1401699153359561</v>
      </c>
      <c r="N284" s="302">
        <v>0.44486733269038459</v>
      </c>
      <c r="O284" s="302">
        <f t="shared" si="128"/>
        <v>4.9160399674521296</v>
      </c>
    </row>
    <row r="285" spans="1:15" s="236" customFormat="1" x14ac:dyDescent="0.25">
      <c r="A285" s="237" t="str">
        <f>name!E$8</f>
        <v>Skilled trades occupations</v>
      </c>
      <c r="B285" s="302">
        <v>0.40338711088366158</v>
      </c>
      <c r="C285" s="302">
        <v>0.11352173559452376</v>
      </c>
      <c r="D285" s="302">
        <v>0.13621727691247479</v>
      </c>
      <c r="E285" s="302">
        <f t="shared" si="126"/>
        <v>0.65312612339066012</v>
      </c>
      <c r="F285" s="303"/>
      <c r="G285" s="302">
        <v>0.24156032740750835</v>
      </c>
      <c r="H285" s="302">
        <v>5.3910088598635053E-2</v>
      </c>
      <c r="I285" s="302">
        <v>0.13348836045776652</v>
      </c>
      <c r="J285" s="302">
        <f>SUM(G285:I285)</f>
        <v>0.42895877646390995</v>
      </c>
      <c r="K285" s="303"/>
      <c r="L285" s="302">
        <v>0.18073649426546329</v>
      </c>
      <c r="M285" s="302">
        <v>6.7509539774276442E-2</v>
      </c>
      <c r="N285" s="302">
        <v>0.15327665710595384</v>
      </c>
      <c r="O285" s="302">
        <f t="shared" si="128"/>
        <v>0.40152269114569356</v>
      </c>
    </row>
    <row r="286" spans="1:15" s="236" customFormat="1" x14ac:dyDescent="0.25">
      <c r="A286" s="237" t="str">
        <f>name!E$9</f>
        <v>Caring, leisure and other service occupations</v>
      </c>
      <c r="B286" s="302">
        <v>0.21145971847017014</v>
      </c>
      <c r="C286" s="302">
        <v>0.10096468374405654</v>
      </c>
      <c r="D286" s="302">
        <v>0.16893507833586915</v>
      </c>
      <c r="E286" s="302">
        <f t="shared" si="126"/>
        <v>0.48135948055009581</v>
      </c>
      <c r="F286" s="303"/>
      <c r="G286" s="302">
        <v>0.1941485715322826</v>
      </c>
      <c r="H286" s="302">
        <v>0.1315274494446437</v>
      </c>
      <c r="I286" s="302">
        <v>0.13821282869475066</v>
      </c>
      <c r="J286" s="302">
        <f t="shared" ref="J286:J289" si="129">SUM(G286:I286)</f>
        <v>0.46388884967167693</v>
      </c>
      <c r="K286" s="303"/>
      <c r="L286" s="302">
        <v>0.21567571814849981</v>
      </c>
      <c r="M286" s="302">
        <v>0.15441772138303464</v>
      </c>
      <c r="N286" s="302">
        <v>0.21829036119621684</v>
      </c>
      <c r="O286" s="302">
        <f t="shared" si="128"/>
        <v>0.58838380072775132</v>
      </c>
    </row>
    <row r="287" spans="1:15" s="236" customFormat="1" x14ac:dyDescent="0.25">
      <c r="A287" s="237" t="str">
        <f>name!E$10</f>
        <v>Sales and customer service occupations</v>
      </c>
      <c r="B287" s="302">
        <v>0.75330578500661183</v>
      </c>
      <c r="C287" s="302">
        <v>0.51594213256863086</v>
      </c>
      <c r="D287" s="302">
        <v>0.18497440281534516</v>
      </c>
      <c r="E287" s="302">
        <f t="shared" si="126"/>
        <v>1.454222320390588</v>
      </c>
      <c r="F287" s="303"/>
      <c r="G287" s="302">
        <v>0.49141191976039172</v>
      </c>
      <c r="H287" s="302">
        <v>0.39194561655473226</v>
      </c>
      <c r="I287" s="302">
        <v>0.11437721123682278</v>
      </c>
      <c r="J287" s="302">
        <f t="shared" si="129"/>
        <v>0.9977347475519468</v>
      </c>
      <c r="K287" s="303"/>
      <c r="L287" s="302">
        <v>0.51260010320505511</v>
      </c>
      <c r="M287" s="302">
        <v>0.50428408597389507</v>
      </c>
      <c r="N287" s="302">
        <v>0.10472950055841194</v>
      </c>
      <c r="O287" s="302">
        <f t="shared" si="128"/>
        <v>1.1216136897373621</v>
      </c>
    </row>
    <row r="288" spans="1:15" s="236" customFormat="1" x14ac:dyDescent="0.25">
      <c r="A288" s="237" t="str">
        <f>name!E$11</f>
        <v>Process, plant and machine operatives</v>
      </c>
      <c r="B288" s="302">
        <v>0.23401924960981552</v>
      </c>
      <c r="C288" s="302">
        <v>7.9285076260820417E-2</v>
      </c>
      <c r="D288" s="302">
        <v>4.9188300493273843E-2</v>
      </c>
      <c r="E288" s="302">
        <f t="shared" si="126"/>
        <v>0.36249262636390978</v>
      </c>
      <c r="F288" s="303"/>
      <c r="G288" s="302">
        <v>0.12817210352859229</v>
      </c>
      <c r="H288" s="302">
        <v>5.4894855794495628E-2</v>
      </c>
      <c r="I288" s="302">
        <v>6.3554961808718197E-2</v>
      </c>
      <c r="J288" s="302">
        <f t="shared" si="129"/>
        <v>0.24662192113180612</v>
      </c>
      <c r="K288" s="303"/>
      <c r="L288" s="302">
        <v>8.0925879566992709E-2</v>
      </c>
      <c r="M288" s="302">
        <v>6.0398794863993174E-2</v>
      </c>
      <c r="N288" s="302">
        <v>8.5766815419467485E-2</v>
      </c>
      <c r="O288" s="302">
        <f t="shared" si="128"/>
        <v>0.22709148985045338</v>
      </c>
    </row>
    <row r="289" spans="1:15" s="236" customFormat="1" x14ac:dyDescent="0.25">
      <c r="A289" s="237" t="str">
        <f>name!E$12</f>
        <v>Elementary occupations</v>
      </c>
      <c r="B289" s="302">
        <v>0.44116410328843125</v>
      </c>
      <c r="C289" s="302">
        <v>0.23902283672628927</v>
      </c>
      <c r="D289" s="302">
        <v>0.52734844395892855</v>
      </c>
      <c r="E289" s="302">
        <f t="shared" si="126"/>
        <v>1.2075353839736489</v>
      </c>
      <c r="F289" s="303"/>
      <c r="G289" s="302">
        <v>0.25124814450547889</v>
      </c>
      <c r="H289" s="302">
        <v>0.17521099056804504</v>
      </c>
      <c r="I289" s="302">
        <v>0.33984240924085968</v>
      </c>
      <c r="J289" s="302">
        <f t="shared" si="129"/>
        <v>0.76630154431438369</v>
      </c>
      <c r="K289" s="303"/>
      <c r="L289" s="302">
        <v>0.17355145532840699</v>
      </c>
      <c r="M289" s="302">
        <v>0.1578151152895268</v>
      </c>
      <c r="N289" s="302">
        <v>0.49300020991686505</v>
      </c>
      <c r="O289" s="302">
        <f t="shared" si="128"/>
        <v>0.82436678053479884</v>
      </c>
    </row>
    <row r="290" spans="1:15" s="236" customFormat="1" x14ac:dyDescent="0.25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5">
      <c r="A291" s="244" t="s">
        <v>33</v>
      </c>
      <c r="B291" s="311">
        <f>SUM(B281:B289)</f>
        <v>17.42589349099109</v>
      </c>
      <c r="C291" s="311">
        <f t="shared" ref="C291:E291" si="130">SUM(C281:C289)</f>
        <v>5.7926783835627713</v>
      </c>
      <c r="D291" s="311">
        <f t="shared" si="130"/>
        <v>5.3734281254461251</v>
      </c>
      <c r="E291" s="311">
        <f t="shared" si="130"/>
        <v>28.591999999999992</v>
      </c>
      <c r="F291" s="311"/>
      <c r="G291" s="311">
        <f t="shared" ref="G291:J291" si="131">SUM(G281:G289)</f>
        <v>14.345069809246663</v>
      </c>
      <c r="H291" s="311">
        <f t="shared" si="131"/>
        <v>5.0106664273144679</v>
      </c>
      <c r="I291" s="311">
        <f t="shared" si="131"/>
        <v>5.3732637634388398</v>
      </c>
      <c r="J291" s="311">
        <f t="shared" si="131"/>
        <v>24.728999999999971</v>
      </c>
      <c r="K291" s="311"/>
      <c r="L291" s="311">
        <f t="shared" ref="L291:O291" si="132">SUM(L281:L289)</f>
        <v>15.295533402885011</v>
      </c>
      <c r="M291" s="311">
        <f t="shared" si="132"/>
        <v>5.6618591063928179</v>
      </c>
      <c r="N291" s="311">
        <f t="shared" si="132"/>
        <v>5.9356074907222087</v>
      </c>
      <c r="O291" s="311">
        <f t="shared" si="132"/>
        <v>26.89300000000004</v>
      </c>
    </row>
    <row r="292" spans="1:15" s="236" customFormat="1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ht="13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ht="13" x14ac:dyDescent="0.3">
      <c r="A295" s="241" t="str">
        <f>name!B20</f>
        <v>Support services</v>
      </c>
      <c r="B295" s="378">
        <f>$B$6</f>
        <v>2015</v>
      </c>
      <c r="C295" s="378"/>
      <c r="D295" s="378"/>
      <c r="E295" s="378"/>
      <c r="F295" s="263"/>
      <c r="G295" s="378">
        <f>$G$6</f>
        <v>2020</v>
      </c>
      <c r="H295" s="378"/>
      <c r="I295" s="378"/>
      <c r="J295" s="378"/>
      <c r="K295" s="263"/>
      <c r="L295" s="378">
        <f>$L$6</f>
        <v>2035</v>
      </c>
      <c r="M295" s="378"/>
      <c r="N295" s="378"/>
      <c r="O295" s="378"/>
    </row>
    <row r="296" spans="1:15" s="236" customFormat="1" ht="13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ht="13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5">
      <c r="A298" s="237" t="str">
        <f>name!E$4</f>
        <v>Managers, directors and senior officials</v>
      </c>
      <c r="B298" s="302">
        <v>2.173560800766404</v>
      </c>
      <c r="C298" s="302">
        <v>0.50052469008993472</v>
      </c>
      <c r="D298" s="302">
        <v>0.19511789048248385</v>
      </c>
      <c r="E298" s="302">
        <f>SUM(B298:D298)</f>
        <v>2.8692033813388225</v>
      </c>
      <c r="F298" s="303"/>
      <c r="G298" s="302">
        <v>2.0474747684347325</v>
      </c>
      <c r="H298" s="302">
        <v>0.51867401585755057</v>
      </c>
      <c r="I298" s="302">
        <v>0.10863699790264465</v>
      </c>
      <c r="J298" s="302">
        <f>SUM(G298:I298)</f>
        <v>2.6747857821949279</v>
      </c>
      <c r="K298" s="303"/>
      <c r="L298" s="302">
        <v>2.0732528432711925</v>
      </c>
      <c r="M298" s="302">
        <v>0.519562245027124</v>
      </c>
      <c r="N298" s="302">
        <v>9.9033572569038386E-2</v>
      </c>
      <c r="O298" s="302">
        <f>SUM(L298:N298)</f>
        <v>2.6918486608673549</v>
      </c>
    </row>
    <row r="299" spans="1:15" s="236" customFormat="1" x14ac:dyDescent="0.25">
      <c r="A299" s="237" t="str">
        <f>name!E$5</f>
        <v>Professional occupations</v>
      </c>
      <c r="B299" s="302">
        <v>2.5262806167495357</v>
      </c>
      <c r="C299" s="302">
        <v>0.79036552063426824</v>
      </c>
      <c r="D299" s="302">
        <v>0.25165056150917625</v>
      </c>
      <c r="E299" s="302">
        <f t="shared" ref="E299:E306" si="133">SUM(B299:D299)</f>
        <v>3.5682966988929801</v>
      </c>
      <c r="F299" s="303"/>
      <c r="G299" s="302">
        <v>2.7320994498125604</v>
      </c>
      <c r="H299" s="302">
        <v>0.82657068284800406</v>
      </c>
      <c r="I299" s="302">
        <v>0.12130927174593924</v>
      </c>
      <c r="J299" s="302">
        <f t="shared" ref="J299:J301" si="134">SUM(G299:I299)</f>
        <v>3.6799794044065037</v>
      </c>
      <c r="K299" s="303"/>
      <c r="L299" s="302">
        <v>3.6590619802836808</v>
      </c>
      <c r="M299" s="302">
        <v>1.0650125760093208</v>
      </c>
      <c r="N299" s="302">
        <v>9.2216184856475494E-2</v>
      </c>
      <c r="O299" s="302">
        <f t="shared" ref="O299:O306" si="135">SUM(L299:N299)</f>
        <v>4.8162907411494773</v>
      </c>
    </row>
    <row r="300" spans="1:15" s="236" customFormat="1" x14ac:dyDescent="0.25">
      <c r="A300" s="237" t="str">
        <f>name!E$6</f>
        <v>Associate professional occupations</v>
      </c>
      <c r="B300" s="302">
        <v>3.5694069763724627</v>
      </c>
      <c r="C300" s="302">
        <v>1.1031020604611292</v>
      </c>
      <c r="D300" s="302">
        <v>0.57584091659924741</v>
      </c>
      <c r="E300" s="302">
        <f t="shared" si="133"/>
        <v>5.2483499534328395</v>
      </c>
      <c r="F300" s="303"/>
      <c r="G300" s="302">
        <v>3.4646694536532174</v>
      </c>
      <c r="H300" s="302">
        <v>0.99389267174229945</v>
      </c>
      <c r="I300" s="302">
        <v>0.28822197209958289</v>
      </c>
      <c r="J300" s="302">
        <f t="shared" si="134"/>
        <v>4.7467840974950999</v>
      </c>
      <c r="K300" s="303"/>
      <c r="L300" s="302">
        <v>3.7096358362534572</v>
      </c>
      <c r="M300" s="302">
        <v>1.2360394407368622</v>
      </c>
      <c r="N300" s="302">
        <v>0.26042774753940845</v>
      </c>
      <c r="O300" s="302">
        <f t="shared" si="135"/>
        <v>5.2061030245297273</v>
      </c>
    </row>
    <row r="301" spans="1:15" s="236" customFormat="1" x14ac:dyDescent="0.25">
      <c r="A301" s="237" t="str">
        <f>name!E$7</f>
        <v>Administrative and secretarial occupations</v>
      </c>
      <c r="B301" s="302">
        <v>3.4581702446862974</v>
      </c>
      <c r="C301" s="302">
        <v>2.6213344085702999</v>
      </c>
      <c r="D301" s="302">
        <v>5.018632648920969E-2</v>
      </c>
      <c r="E301" s="302">
        <f t="shared" si="133"/>
        <v>6.1296909797458072</v>
      </c>
      <c r="F301" s="303"/>
      <c r="G301" s="302">
        <v>3.0147037533842642</v>
      </c>
      <c r="H301" s="302">
        <v>2.0572114948098981</v>
      </c>
      <c r="I301" s="302">
        <v>2.4466137236728809E-2</v>
      </c>
      <c r="J301" s="302">
        <f t="shared" si="134"/>
        <v>5.0963813854308917</v>
      </c>
      <c r="K301" s="303"/>
      <c r="L301" s="302">
        <v>3.4041259683835241</v>
      </c>
      <c r="M301" s="302">
        <v>2.1599400722391291</v>
      </c>
      <c r="N301" s="302">
        <v>2.4215367693973418E-2</v>
      </c>
      <c r="O301" s="302">
        <f t="shared" si="135"/>
        <v>5.588281408316627</v>
      </c>
    </row>
    <row r="302" spans="1:15" s="236" customFormat="1" x14ac:dyDescent="0.25">
      <c r="A302" s="237" t="str">
        <f>name!E$8</f>
        <v>Skilled trades occupations</v>
      </c>
      <c r="B302" s="302">
        <v>0.55558987018704808</v>
      </c>
      <c r="C302" s="302">
        <v>0.34578929476721804</v>
      </c>
      <c r="D302" s="302">
        <v>0.28321328498875065</v>
      </c>
      <c r="E302" s="302">
        <f t="shared" si="133"/>
        <v>1.1845924499430169</v>
      </c>
      <c r="F302" s="303"/>
      <c r="G302" s="302">
        <v>0.3718606523396446</v>
      </c>
      <c r="H302" s="302">
        <v>0.17517518089224768</v>
      </c>
      <c r="I302" s="302">
        <v>0.10271561376120036</v>
      </c>
      <c r="J302" s="302">
        <f>SUM(G302:I302)</f>
        <v>0.64975144699309273</v>
      </c>
      <c r="K302" s="303"/>
      <c r="L302" s="302">
        <v>0.33995117060070651</v>
      </c>
      <c r="M302" s="302">
        <v>0.24236159451633649</v>
      </c>
      <c r="N302" s="302">
        <v>8.1609883744765965E-2</v>
      </c>
      <c r="O302" s="302">
        <f t="shared" si="135"/>
        <v>0.66392264886180896</v>
      </c>
    </row>
    <row r="303" spans="1:15" s="236" customFormat="1" x14ac:dyDescent="0.25">
      <c r="A303" s="237" t="str">
        <f>name!E$9</f>
        <v>Caring, leisure and other service occupations</v>
      </c>
      <c r="B303" s="302">
        <v>1.3603131405705324</v>
      </c>
      <c r="C303" s="302">
        <v>1.5693302922317378</v>
      </c>
      <c r="D303" s="302">
        <v>0.18115562683700187</v>
      </c>
      <c r="E303" s="302">
        <f t="shared" si="133"/>
        <v>3.1107990596392718</v>
      </c>
      <c r="F303" s="303"/>
      <c r="G303" s="302">
        <v>1.1831252549760216</v>
      </c>
      <c r="H303" s="302">
        <v>1.2375281046070494</v>
      </c>
      <c r="I303" s="302">
        <v>0.14314821075354403</v>
      </c>
      <c r="J303" s="302">
        <f t="shared" ref="J303:J306" si="136">SUM(G303:I303)</f>
        <v>2.563801570336615</v>
      </c>
      <c r="K303" s="303"/>
      <c r="L303" s="302">
        <v>1.4778928589931615</v>
      </c>
      <c r="M303" s="302">
        <v>1.3422582618874648</v>
      </c>
      <c r="N303" s="302">
        <v>0.22532187125672148</v>
      </c>
      <c r="O303" s="302">
        <f t="shared" si="135"/>
        <v>3.045472992137348</v>
      </c>
    </row>
    <row r="304" spans="1:15" s="236" customFormat="1" x14ac:dyDescent="0.25">
      <c r="A304" s="237" t="str">
        <f>name!E$10</f>
        <v>Sales and customer service occupations</v>
      </c>
      <c r="B304" s="302">
        <v>2.3965894804459786</v>
      </c>
      <c r="C304" s="302">
        <v>1.6823545488949165</v>
      </c>
      <c r="D304" s="302">
        <v>0.1180623170252892</v>
      </c>
      <c r="E304" s="302">
        <f t="shared" si="133"/>
        <v>4.1970063463661837</v>
      </c>
      <c r="F304" s="303"/>
      <c r="G304" s="302">
        <v>1.9691692222949186</v>
      </c>
      <c r="H304" s="302">
        <v>1.2060686855276666</v>
      </c>
      <c r="I304" s="302">
        <v>4.6514949899650992E-2</v>
      </c>
      <c r="J304" s="302">
        <f t="shared" si="136"/>
        <v>3.2217528577222363</v>
      </c>
      <c r="K304" s="303"/>
      <c r="L304" s="302">
        <v>2.1428165912642969</v>
      </c>
      <c r="M304" s="302">
        <v>1.8244373163109828</v>
      </c>
      <c r="N304" s="302">
        <v>3.6856041222083573E-2</v>
      </c>
      <c r="O304" s="302">
        <f t="shared" si="135"/>
        <v>4.004109948797363</v>
      </c>
    </row>
    <row r="305" spans="1:15" s="236" customFormat="1" x14ac:dyDescent="0.25">
      <c r="A305" s="237" t="str">
        <f>name!E$11</f>
        <v>Process, plant and machine operatives</v>
      </c>
      <c r="B305" s="302">
        <v>1.104259310245048</v>
      </c>
      <c r="C305" s="302">
        <v>0.77688072643972061</v>
      </c>
      <c r="D305" s="302">
        <v>9.1088740677898322E-2</v>
      </c>
      <c r="E305" s="302">
        <f t="shared" si="133"/>
        <v>1.972228777362667</v>
      </c>
      <c r="F305" s="303"/>
      <c r="G305" s="302">
        <v>0.70358023320829688</v>
      </c>
      <c r="H305" s="302">
        <v>0.52101430630561674</v>
      </c>
      <c r="I305" s="302">
        <v>5.1548920427878703E-2</v>
      </c>
      <c r="J305" s="302">
        <f t="shared" si="136"/>
        <v>1.2761434599417925</v>
      </c>
      <c r="K305" s="303"/>
      <c r="L305" s="302">
        <v>0.56431558460466058</v>
      </c>
      <c r="M305" s="302">
        <v>0.50094665737600497</v>
      </c>
      <c r="N305" s="302">
        <v>6.2179400693079624E-2</v>
      </c>
      <c r="O305" s="302">
        <f t="shared" si="135"/>
        <v>1.127441642673745</v>
      </c>
    </row>
    <row r="306" spans="1:15" s="236" customFormat="1" x14ac:dyDescent="0.25">
      <c r="A306" s="237" t="str">
        <f>name!E$12</f>
        <v>Elementary occupations</v>
      </c>
      <c r="B306" s="302">
        <v>4.9125775871655604</v>
      </c>
      <c r="C306" s="302">
        <v>4.6767091089240784</v>
      </c>
      <c r="D306" s="302">
        <v>2.371545657188785</v>
      </c>
      <c r="E306" s="302">
        <f t="shared" si="133"/>
        <v>11.960832353278423</v>
      </c>
      <c r="F306" s="303"/>
      <c r="G306" s="302">
        <v>3.5366796000319556</v>
      </c>
      <c r="H306" s="302">
        <v>2.9645991678802348</v>
      </c>
      <c r="I306" s="302">
        <v>1.7573412275666738</v>
      </c>
      <c r="J306" s="302">
        <f t="shared" si="136"/>
        <v>8.2586199954788633</v>
      </c>
      <c r="K306" s="303"/>
      <c r="L306" s="302">
        <v>4.1096902116555061</v>
      </c>
      <c r="M306" s="302">
        <v>2.3965089404269384</v>
      </c>
      <c r="N306" s="302">
        <v>2.0333297805840833</v>
      </c>
      <c r="O306" s="302">
        <f t="shared" si="135"/>
        <v>8.5395289326665278</v>
      </c>
    </row>
    <row r="307" spans="1:15" s="236" customFormat="1" x14ac:dyDescent="0.25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5">
      <c r="A308" s="244" t="s">
        <v>33</v>
      </c>
      <c r="B308" s="311">
        <f>SUM(B298:B306)</f>
        <v>22.056748027188867</v>
      </c>
      <c r="C308" s="311">
        <f t="shared" ref="C308:E308" si="137">SUM(C298:C306)</f>
        <v>14.066390651013304</v>
      </c>
      <c r="D308" s="311">
        <f t="shared" si="137"/>
        <v>4.1178613217978421</v>
      </c>
      <c r="E308" s="311">
        <f t="shared" si="137"/>
        <v>40.241000000000014</v>
      </c>
      <c r="F308" s="311"/>
      <c r="G308" s="311">
        <f t="shared" ref="G308:J308" si="138">SUM(G298:G306)</f>
        <v>19.023362388135613</v>
      </c>
      <c r="H308" s="311">
        <f t="shared" si="138"/>
        <v>10.500734310470566</v>
      </c>
      <c r="I308" s="311">
        <f t="shared" si="138"/>
        <v>2.6439033013938436</v>
      </c>
      <c r="J308" s="311">
        <f t="shared" si="138"/>
        <v>32.168000000000021</v>
      </c>
      <c r="K308" s="311"/>
      <c r="L308" s="311">
        <f t="shared" ref="L308:O308" si="139">SUM(L298:L306)</f>
        <v>21.480743045310184</v>
      </c>
      <c r="M308" s="311">
        <f t="shared" si="139"/>
        <v>11.287067104530164</v>
      </c>
      <c r="N308" s="311">
        <f t="shared" si="139"/>
        <v>2.9151898501596296</v>
      </c>
      <c r="O308" s="311">
        <f t="shared" si="139"/>
        <v>35.682999999999979</v>
      </c>
    </row>
    <row r="309" spans="1:15" s="236" customFormat="1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ht="13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ht="13" x14ac:dyDescent="0.3">
      <c r="A312" s="241" t="str">
        <f>name!B21</f>
        <v>Public admin. and defence</v>
      </c>
      <c r="B312" s="378">
        <f>$B$6</f>
        <v>2015</v>
      </c>
      <c r="C312" s="378"/>
      <c r="D312" s="378"/>
      <c r="E312" s="378"/>
      <c r="F312" s="263"/>
      <c r="G312" s="378">
        <f>$G$6</f>
        <v>2020</v>
      </c>
      <c r="H312" s="378"/>
      <c r="I312" s="378"/>
      <c r="J312" s="378"/>
      <c r="K312" s="263"/>
      <c r="L312" s="378">
        <f>$L$6</f>
        <v>2035</v>
      </c>
      <c r="M312" s="378"/>
      <c r="N312" s="378"/>
      <c r="O312" s="378"/>
    </row>
    <row r="313" spans="1:15" s="236" customFormat="1" ht="13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ht="13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5">
      <c r="A315" s="237" t="str">
        <f>name!E$4</f>
        <v>Managers, directors and senior officials</v>
      </c>
      <c r="B315" s="302">
        <v>0.75713633150613679</v>
      </c>
      <c r="C315" s="302">
        <v>0.21806964068244944</v>
      </c>
      <c r="D315" s="302">
        <v>0.15651449481529359</v>
      </c>
      <c r="E315" s="302">
        <f>SUM(B315:D315)</f>
        <v>1.1317204670038798</v>
      </c>
      <c r="F315" s="303"/>
      <c r="G315" s="302">
        <v>0.82945589551813603</v>
      </c>
      <c r="H315" s="302">
        <v>0.27690574109988608</v>
      </c>
      <c r="I315" s="302">
        <v>3.1651451001012319E-2</v>
      </c>
      <c r="J315" s="302">
        <f>SUM(G315:I315)</f>
        <v>1.1380130876190344</v>
      </c>
      <c r="K315" s="303"/>
      <c r="L315" s="302">
        <v>0.81240098157709872</v>
      </c>
      <c r="M315" s="302">
        <v>0.35376462199784631</v>
      </c>
      <c r="N315" s="302">
        <v>4.6436502030222572E-2</v>
      </c>
      <c r="O315" s="302">
        <f>SUM(L315:N315)</f>
        <v>1.2126021056051677</v>
      </c>
    </row>
    <row r="316" spans="1:15" s="236" customFormat="1" x14ac:dyDescent="0.25">
      <c r="A316" s="237" t="str">
        <f>name!E$5</f>
        <v>Professional occupations</v>
      </c>
      <c r="B316" s="302">
        <v>1.7022842330850063</v>
      </c>
      <c r="C316" s="302">
        <v>0.74855588740164136</v>
      </c>
      <c r="D316" s="302">
        <v>0.35971619941795357</v>
      </c>
      <c r="E316" s="302">
        <f t="shared" ref="E316:E323" si="140">SUM(B316:D316)</f>
        <v>2.8105563199046011</v>
      </c>
      <c r="F316" s="303"/>
      <c r="G316" s="302">
        <v>2.1318368864748964</v>
      </c>
      <c r="H316" s="302">
        <v>0.87909676072273946</v>
      </c>
      <c r="I316" s="302">
        <v>0.12453661929454542</v>
      </c>
      <c r="J316" s="302">
        <f t="shared" ref="J316:J318" si="141">SUM(G316:I316)</f>
        <v>3.1354702664921814</v>
      </c>
      <c r="K316" s="303"/>
      <c r="L316" s="302">
        <v>2.6264059938823792</v>
      </c>
      <c r="M316" s="302">
        <v>1.1764566208536702</v>
      </c>
      <c r="N316" s="302">
        <v>0.13817843232704788</v>
      </c>
      <c r="O316" s="302">
        <f t="shared" ref="O316:O323" si="142">SUM(L316:N316)</f>
        <v>3.9410410470630972</v>
      </c>
    </row>
    <row r="317" spans="1:15" s="236" customFormat="1" x14ac:dyDescent="0.25">
      <c r="A317" s="237" t="str">
        <f>name!E$6</f>
        <v>Associate professional occupations</v>
      </c>
      <c r="B317" s="302">
        <v>3.3607752533011772</v>
      </c>
      <c r="C317" s="302">
        <v>0.8560079457651173</v>
      </c>
      <c r="D317" s="302">
        <v>0.27854005983617702</v>
      </c>
      <c r="E317" s="302">
        <f t="shared" si="140"/>
        <v>4.4953232589024719</v>
      </c>
      <c r="F317" s="303"/>
      <c r="G317" s="302">
        <v>3.7339453317299269</v>
      </c>
      <c r="H317" s="302">
        <v>0.84517282124915938</v>
      </c>
      <c r="I317" s="302">
        <v>5.7130719322004135E-2</v>
      </c>
      <c r="J317" s="302">
        <f t="shared" si="141"/>
        <v>4.6362488723010911</v>
      </c>
      <c r="K317" s="303"/>
      <c r="L317" s="302">
        <v>3.8054510366998029</v>
      </c>
      <c r="M317" s="302">
        <v>1.1059540291988936</v>
      </c>
      <c r="N317" s="302">
        <v>6.8091907783013564E-2</v>
      </c>
      <c r="O317" s="302">
        <f t="shared" si="142"/>
        <v>4.9794969736817105</v>
      </c>
    </row>
    <row r="318" spans="1:15" s="236" customFormat="1" x14ac:dyDescent="0.25">
      <c r="A318" s="237" t="str">
        <f>name!E$7</f>
        <v>Administrative and secretarial occupations</v>
      </c>
      <c r="B318" s="302">
        <v>2.5179095029629517</v>
      </c>
      <c r="C318" s="302">
        <v>2.5492381559632311</v>
      </c>
      <c r="D318" s="302">
        <v>9.250287765733782E-2</v>
      </c>
      <c r="E318" s="302">
        <f t="shared" si="140"/>
        <v>5.1596505365835208</v>
      </c>
      <c r="F318" s="303"/>
      <c r="G318" s="302">
        <v>2.3780270397226317</v>
      </c>
      <c r="H318" s="302">
        <v>2.1462575103020756</v>
      </c>
      <c r="I318" s="302">
        <v>2.3958482657029198E-2</v>
      </c>
      <c r="J318" s="302">
        <f t="shared" si="141"/>
        <v>4.5482430326817367</v>
      </c>
      <c r="K318" s="303"/>
      <c r="L318" s="302">
        <v>2.1633027355736041</v>
      </c>
      <c r="M318" s="302">
        <v>2.0002055671549037</v>
      </c>
      <c r="N318" s="302">
        <v>1.3141353961363835E-2</v>
      </c>
      <c r="O318" s="302">
        <f t="shared" si="142"/>
        <v>4.1766496566898708</v>
      </c>
    </row>
    <row r="319" spans="1:15" s="236" customFormat="1" x14ac:dyDescent="0.25">
      <c r="A319" s="237" t="str">
        <f>name!E$8</f>
        <v>Skilled trades occupations</v>
      </c>
      <c r="B319" s="302">
        <v>0.21616617734026602</v>
      </c>
      <c r="C319" s="302">
        <v>2.4977132770183631E-2</v>
      </c>
      <c r="D319" s="302">
        <v>0.14047862780388937</v>
      </c>
      <c r="E319" s="302">
        <f t="shared" si="140"/>
        <v>0.38162193791433902</v>
      </c>
      <c r="F319" s="303"/>
      <c r="G319" s="302">
        <v>0.17093728764492006</v>
      </c>
      <c r="H319" s="302">
        <v>1.7966484879468194E-2</v>
      </c>
      <c r="I319" s="302">
        <v>1.7448838460953798E-3</v>
      </c>
      <c r="J319" s="302">
        <f>SUM(G319:I319)</f>
        <v>0.19064865637048364</v>
      </c>
      <c r="K319" s="303"/>
      <c r="L319" s="302">
        <v>0.17252280662708894</v>
      </c>
      <c r="M319" s="302">
        <v>4.2435237173901456E-2</v>
      </c>
      <c r="N319" s="302">
        <v>3.3075512353227671E-3</v>
      </c>
      <c r="O319" s="302">
        <f t="shared" si="142"/>
        <v>0.21826559503631315</v>
      </c>
    </row>
    <row r="320" spans="1:15" s="236" customFormat="1" x14ac:dyDescent="0.25">
      <c r="A320" s="237" t="str">
        <f>name!E$9</f>
        <v>Caring, leisure and other service occupations</v>
      </c>
      <c r="B320" s="302">
        <v>0.37188375313657429</v>
      </c>
      <c r="C320" s="302">
        <v>0.36017895768157532</v>
      </c>
      <c r="D320" s="302">
        <v>6.443608287350891E-2</v>
      </c>
      <c r="E320" s="302">
        <f t="shared" si="140"/>
        <v>0.79649879369165855</v>
      </c>
      <c r="F320" s="303"/>
      <c r="G320" s="302">
        <v>0.34965147737054525</v>
      </c>
      <c r="H320" s="302">
        <v>0.31098202360588245</v>
      </c>
      <c r="I320" s="302">
        <v>2.9884524376919266E-2</v>
      </c>
      <c r="J320" s="302">
        <f t="shared" ref="J320:J323" si="143">SUM(G320:I320)</f>
        <v>0.69051802535334694</v>
      </c>
      <c r="K320" s="303"/>
      <c r="L320" s="302">
        <v>0.40920434125702432</v>
      </c>
      <c r="M320" s="302">
        <v>0.31921379935124994</v>
      </c>
      <c r="N320" s="302">
        <v>2.3481537405951002E-2</v>
      </c>
      <c r="O320" s="302">
        <f t="shared" si="142"/>
        <v>0.7518996780142253</v>
      </c>
    </row>
    <row r="321" spans="1:15" s="236" customFormat="1" x14ac:dyDescent="0.25">
      <c r="A321" s="237" t="str">
        <f>name!E$10</f>
        <v>Sales and customer service occupations</v>
      </c>
      <c r="B321" s="302">
        <v>0.20544665038851434</v>
      </c>
      <c r="C321" s="302">
        <v>0.23087927370879072</v>
      </c>
      <c r="D321" s="302">
        <v>3.1016160333319335E-2</v>
      </c>
      <c r="E321" s="302">
        <f t="shared" si="140"/>
        <v>0.46734208443062442</v>
      </c>
      <c r="F321" s="303"/>
      <c r="G321" s="302">
        <v>0.19530958506499355</v>
      </c>
      <c r="H321" s="302">
        <v>0.21282221549390642</v>
      </c>
      <c r="I321" s="302">
        <v>4.3659187726266249E-3</v>
      </c>
      <c r="J321" s="302">
        <f t="shared" si="143"/>
        <v>0.41249771933152657</v>
      </c>
      <c r="K321" s="303"/>
      <c r="L321" s="302">
        <v>0.21346625705113098</v>
      </c>
      <c r="M321" s="302">
        <v>0.26127003788249609</v>
      </c>
      <c r="N321" s="302">
        <v>4.3263270125972692E-3</v>
      </c>
      <c r="O321" s="302">
        <f t="shared" si="142"/>
        <v>0.47906262194622434</v>
      </c>
    </row>
    <row r="322" spans="1:15" s="236" customFormat="1" x14ac:dyDescent="0.25">
      <c r="A322" s="237" t="str">
        <f>name!E$11</f>
        <v>Process, plant and machine operatives</v>
      </c>
      <c r="B322" s="302">
        <v>0.17718239120434259</v>
      </c>
      <c r="C322" s="302">
        <v>6.0849802061034255E-2</v>
      </c>
      <c r="D322" s="302">
        <v>1.9941163537520731E-2</v>
      </c>
      <c r="E322" s="302">
        <f t="shared" si="140"/>
        <v>0.25797335680289757</v>
      </c>
      <c r="F322" s="303"/>
      <c r="G322" s="302">
        <v>0.13075166087956339</v>
      </c>
      <c r="H322" s="302">
        <v>4.1810078327685164E-2</v>
      </c>
      <c r="I322" s="302">
        <v>1.52103323950687E-3</v>
      </c>
      <c r="J322" s="302">
        <f t="shared" si="143"/>
        <v>0.17408277244675541</v>
      </c>
      <c r="K322" s="303"/>
      <c r="L322" s="302">
        <v>0.13144801936213429</v>
      </c>
      <c r="M322" s="302">
        <v>4.7828344527398023E-2</v>
      </c>
      <c r="N322" s="302">
        <v>1.3722182701097648E-3</v>
      </c>
      <c r="O322" s="302">
        <f t="shared" si="142"/>
        <v>0.18064858215964211</v>
      </c>
    </row>
    <row r="323" spans="1:15" s="236" customFormat="1" x14ac:dyDescent="0.25">
      <c r="A323" s="237" t="str">
        <f>name!E$12</f>
        <v>Elementary occupations</v>
      </c>
      <c r="B323" s="302">
        <v>0.24190800484276115</v>
      </c>
      <c r="C323" s="302">
        <v>0.24131919416384823</v>
      </c>
      <c r="D323" s="302">
        <v>1.9086045759383354E-2</v>
      </c>
      <c r="E323" s="302">
        <f t="shared" si="140"/>
        <v>0.50231324476599271</v>
      </c>
      <c r="F323" s="303"/>
      <c r="G323" s="302">
        <v>0.19084354159636457</v>
      </c>
      <c r="H323" s="302">
        <v>0.16200812135911402</v>
      </c>
      <c r="I323" s="302">
        <v>2.425904448364082E-3</v>
      </c>
      <c r="J323" s="302">
        <f t="shared" si="143"/>
        <v>0.3552775674038427</v>
      </c>
      <c r="K323" s="303"/>
      <c r="L323" s="302">
        <v>0.18650158352971863</v>
      </c>
      <c r="M323" s="302">
        <v>9.6231797769469343E-2</v>
      </c>
      <c r="N323" s="302">
        <v>2.6003585045385161E-3</v>
      </c>
      <c r="O323" s="302">
        <f t="shared" si="142"/>
        <v>0.28533373980372645</v>
      </c>
    </row>
    <row r="324" spans="1:15" s="236" customFormat="1" x14ac:dyDescent="0.25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5">
      <c r="A325" s="244" t="s">
        <v>33</v>
      </c>
      <c r="B325" s="311">
        <f>SUM(B315:B323)</f>
        <v>9.550692297767732</v>
      </c>
      <c r="C325" s="311">
        <f t="shared" ref="C325:E325" si="144">SUM(C315:C323)</f>
        <v>5.290075990197872</v>
      </c>
      <c r="D325" s="311">
        <f t="shared" si="144"/>
        <v>1.1622317120343837</v>
      </c>
      <c r="E325" s="311">
        <f t="shared" si="144"/>
        <v>16.002999999999986</v>
      </c>
      <c r="F325" s="311"/>
      <c r="G325" s="311">
        <f t="shared" ref="G325:J325" si="145">SUM(G315:G323)</f>
        <v>10.110758706001977</v>
      </c>
      <c r="H325" s="311">
        <f t="shared" si="145"/>
        <v>4.8930217570399179</v>
      </c>
      <c r="I325" s="311">
        <f t="shared" si="145"/>
        <v>0.27721953695810325</v>
      </c>
      <c r="J325" s="311">
        <f t="shared" si="145"/>
        <v>15.280999999999995</v>
      </c>
      <c r="K325" s="311"/>
      <c r="L325" s="311">
        <f t="shared" ref="L325:O325" si="146">SUM(L315:L323)</f>
        <v>10.520703755559984</v>
      </c>
      <c r="M325" s="311">
        <f t="shared" si="146"/>
        <v>5.403360055909828</v>
      </c>
      <c r="N325" s="311">
        <f t="shared" si="146"/>
        <v>0.30093618853016713</v>
      </c>
      <c r="O325" s="311">
        <f t="shared" si="146"/>
        <v>16.22499999999998</v>
      </c>
    </row>
    <row r="326" spans="1:15" s="236" customFormat="1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ht="13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ht="13" x14ac:dyDescent="0.3">
      <c r="A329" s="241" t="str">
        <f>name!B22</f>
        <v>Education</v>
      </c>
      <c r="B329" s="378">
        <f>$B$6</f>
        <v>2015</v>
      </c>
      <c r="C329" s="378"/>
      <c r="D329" s="378"/>
      <c r="E329" s="378"/>
      <c r="F329" s="263"/>
      <c r="G329" s="378">
        <f>$G$6</f>
        <v>2020</v>
      </c>
      <c r="H329" s="378"/>
      <c r="I329" s="378"/>
      <c r="J329" s="378"/>
      <c r="K329" s="263"/>
      <c r="L329" s="378">
        <f>$L$6</f>
        <v>2035</v>
      </c>
      <c r="M329" s="378"/>
      <c r="N329" s="378"/>
      <c r="O329" s="378"/>
    </row>
    <row r="330" spans="1:15" s="236" customFormat="1" ht="13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ht="13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5">
      <c r="A332" s="237" t="str">
        <f>name!E$4</f>
        <v>Managers, directors and senior officials</v>
      </c>
      <c r="B332" s="302">
        <v>0.63100503305341249</v>
      </c>
      <c r="C332" s="302">
        <v>0.24797306791750265</v>
      </c>
      <c r="D332" s="302">
        <v>0.18130462566273173</v>
      </c>
      <c r="E332" s="302">
        <f>SUM(B332:D332)</f>
        <v>1.0602827266336468</v>
      </c>
      <c r="F332" s="303"/>
      <c r="G332" s="302">
        <v>0.66615120126229399</v>
      </c>
      <c r="H332" s="302">
        <v>0.30466414419390869</v>
      </c>
      <c r="I332" s="302">
        <v>0.20523400748940496</v>
      </c>
      <c r="J332" s="302">
        <f>SUM(G332:I332)</f>
        <v>1.1760493529456078</v>
      </c>
      <c r="K332" s="303"/>
      <c r="L332" s="302">
        <v>0.64324436361484216</v>
      </c>
      <c r="M332" s="302">
        <v>0.40220192225366974</v>
      </c>
      <c r="N332" s="302">
        <v>0.17509267754576052</v>
      </c>
      <c r="O332" s="302">
        <f>SUM(L332:N332)</f>
        <v>1.2205389634142723</v>
      </c>
    </row>
    <row r="333" spans="1:15" s="236" customFormat="1" x14ac:dyDescent="0.25">
      <c r="A333" s="237" t="str">
        <f>name!E$5</f>
        <v>Professional occupations</v>
      </c>
      <c r="B333" s="302">
        <v>12.386733393523535</v>
      </c>
      <c r="C333" s="302">
        <v>6.4193807741342255</v>
      </c>
      <c r="D333" s="302">
        <v>0.94306719762449076</v>
      </c>
      <c r="E333" s="302">
        <f t="shared" ref="E333:E340" si="147">SUM(B333:D333)</f>
        <v>19.749181365282251</v>
      </c>
      <c r="F333" s="303"/>
      <c r="G333" s="302">
        <v>13.949649234078313</v>
      </c>
      <c r="H333" s="302">
        <v>6.9036194809464151</v>
      </c>
      <c r="I333" s="302">
        <v>1.2406529484836422</v>
      </c>
      <c r="J333" s="302">
        <f t="shared" ref="J333:J335" si="148">SUM(G333:I333)</f>
        <v>22.093921663508372</v>
      </c>
      <c r="K333" s="303"/>
      <c r="L333" s="302">
        <v>15.596702875651015</v>
      </c>
      <c r="M333" s="302">
        <v>8.9173900295499831</v>
      </c>
      <c r="N333" s="302">
        <v>1.15599024833556</v>
      </c>
      <c r="O333" s="302">
        <f t="shared" ref="O333:O340" si="149">SUM(L333:N333)</f>
        <v>25.670083153536556</v>
      </c>
    </row>
    <row r="334" spans="1:15" s="236" customFormat="1" x14ac:dyDescent="0.25">
      <c r="A334" s="237" t="str">
        <f>name!E$6</f>
        <v>Associate professional occupations</v>
      </c>
      <c r="B334" s="302">
        <v>1.6886332728677302</v>
      </c>
      <c r="C334" s="302">
        <v>1.5160926208655037</v>
      </c>
      <c r="D334" s="302">
        <v>0.52925632935838018</v>
      </c>
      <c r="E334" s="302">
        <f t="shared" si="147"/>
        <v>3.7339822230916142</v>
      </c>
      <c r="F334" s="303"/>
      <c r="G334" s="302">
        <v>1.870936611555569</v>
      </c>
      <c r="H334" s="302">
        <v>1.5924030762373498</v>
      </c>
      <c r="I334" s="302">
        <v>0.48926489306955417</v>
      </c>
      <c r="J334" s="302">
        <f t="shared" si="148"/>
        <v>3.9526045808624732</v>
      </c>
      <c r="K334" s="303"/>
      <c r="L334" s="302">
        <v>2.344738825933844</v>
      </c>
      <c r="M334" s="302">
        <v>2.3331818350727143</v>
      </c>
      <c r="N334" s="302">
        <v>0.42046407946751696</v>
      </c>
      <c r="O334" s="302">
        <f t="shared" si="149"/>
        <v>5.0983847404740752</v>
      </c>
    </row>
    <row r="335" spans="1:15" s="236" customFormat="1" x14ac:dyDescent="0.25">
      <c r="A335" s="237" t="str">
        <f>name!E$7</f>
        <v>Administrative and secretarial occupations</v>
      </c>
      <c r="B335" s="302">
        <v>0.94394747290745618</v>
      </c>
      <c r="C335" s="302">
        <v>2.2808246500516516</v>
      </c>
      <c r="D335" s="302">
        <v>5.8900268751222486E-2</v>
      </c>
      <c r="E335" s="302">
        <f t="shared" si="147"/>
        <v>3.2836723917103301</v>
      </c>
      <c r="F335" s="303"/>
      <c r="G335" s="302">
        <v>0.84387203960089185</v>
      </c>
      <c r="H335" s="302">
        <v>1.9261740091198301</v>
      </c>
      <c r="I335" s="302">
        <v>5.4786435836117239E-2</v>
      </c>
      <c r="J335" s="302">
        <f t="shared" si="148"/>
        <v>2.8248324845568393</v>
      </c>
      <c r="K335" s="303"/>
      <c r="L335" s="302">
        <v>0.53029378978159192</v>
      </c>
      <c r="M335" s="302">
        <v>1.1977195558865543</v>
      </c>
      <c r="N335" s="302">
        <v>2.971184885094982E-2</v>
      </c>
      <c r="O335" s="302">
        <f t="shared" si="149"/>
        <v>1.7577251945190961</v>
      </c>
    </row>
    <row r="336" spans="1:15" s="236" customFormat="1" x14ac:dyDescent="0.25">
      <c r="A336" s="237" t="str">
        <f>name!E$8</f>
        <v>Skilled trades occupations</v>
      </c>
      <c r="B336" s="302">
        <v>0.46697813312703285</v>
      </c>
      <c r="C336" s="302">
        <v>0.29653326850374201</v>
      </c>
      <c r="D336" s="302">
        <v>8.4120392269488115E-2</v>
      </c>
      <c r="E336" s="302">
        <f t="shared" si="147"/>
        <v>0.847631793900263</v>
      </c>
      <c r="F336" s="303"/>
      <c r="G336" s="302">
        <v>0.34779899238412204</v>
      </c>
      <c r="H336" s="302">
        <v>0.19077321837976166</v>
      </c>
      <c r="I336" s="302">
        <v>7.7987487868538402E-2</v>
      </c>
      <c r="J336" s="302">
        <f>SUM(G336:I336)</f>
        <v>0.6165596986324221</v>
      </c>
      <c r="K336" s="303"/>
      <c r="L336" s="302">
        <v>0.22146776551903077</v>
      </c>
      <c r="M336" s="302">
        <v>9.1457097874046586E-2</v>
      </c>
      <c r="N336" s="302">
        <v>0.14657178952432115</v>
      </c>
      <c r="O336" s="302">
        <f t="shared" si="149"/>
        <v>0.4594966529173985</v>
      </c>
    </row>
    <row r="337" spans="1:15" s="236" customFormat="1" x14ac:dyDescent="0.25">
      <c r="A337" s="237" t="str">
        <f>name!E$9</f>
        <v>Caring, leisure and other service occupations</v>
      </c>
      <c r="B337" s="302">
        <v>5.1480303417218805</v>
      </c>
      <c r="C337" s="302">
        <v>6.9988617740170023</v>
      </c>
      <c r="D337" s="302">
        <v>0.28904397025892326</v>
      </c>
      <c r="E337" s="302">
        <f t="shared" si="147"/>
        <v>12.435936085997806</v>
      </c>
      <c r="F337" s="303"/>
      <c r="G337" s="302">
        <v>4.8057975727818842</v>
      </c>
      <c r="H337" s="302">
        <v>6.3283672644781896</v>
      </c>
      <c r="I337" s="302">
        <v>0.31515383657092422</v>
      </c>
      <c r="J337" s="302">
        <f t="shared" ref="J337:J340" si="150">SUM(G337:I337)</f>
        <v>11.449318673830998</v>
      </c>
      <c r="K337" s="303"/>
      <c r="L337" s="302">
        <v>6.1343679317015765</v>
      </c>
      <c r="M337" s="302">
        <v>6.6047020651391977</v>
      </c>
      <c r="N337" s="302">
        <v>0.48993336638973756</v>
      </c>
      <c r="O337" s="302">
        <f t="shared" si="149"/>
        <v>13.229003363230511</v>
      </c>
    </row>
    <row r="338" spans="1:15" s="236" customFormat="1" x14ac:dyDescent="0.25">
      <c r="A338" s="237" t="str">
        <f>name!E$10</f>
        <v>Sales and customer service occupations</v>
      </c>
      <c r="B338" s="302">
        <v>8.7278698077550496E-2</v>
      </c>
      <c r="C338" s="302">
        <v>0.16619691589700436</v>
      </c>
      <c r="D338" s="302">
        <v>4.9048525074581323E-2</v>
      </c>
      <c r="E338" s="302">
        <f t="shared" si="147"/>
        <v>0.30252413904913622</v>
      </c>
      <c r="F338" s="303"/>
      <c r="G338" s="302">
        <v>7.8506877425729024E-2</v>
      </c>
      <c r="H338" s="302">
        <v>0.14242139733742296</v>
      </c>
      <c r="I338" s="302">
        <v>3.5957068116879078E-2</v>
      </c>
      <c r="J338" s="302">
        <f t="shared" si="150"/>
        <v>0.25688534288003106</v>
      </c>
      <c r="K338" s="303"/>
      <c r="L338" s="302">
        <v>8.8425090924641583E-2</v>
      </c>
      <c r="M338" s="302">
        <v>0.15199975416170883</v>
      </c>
      <c r="N338" s="302">
        <v>4.3936721576681652E-2</v>
      </c>
      <c r="O338" s="302">
        <f t="shared" si="149"/>
        <v>0.28436156666303208</v>
      </c>
    </row>
    <row r="339" spans="1:15" s="236" customFormat="1" x14ac:dyDescent="0.25">
      <c r="A339" s="237" t="str">
        <f>name!E$11</f>
        <v>Process, plant and machine operatives</v>
      </c>
      <c r="B339" s="302">
        <v>7.7148864144873958E-2</v>
      </c>
      <c r="C339" s="302">
        <v>0.10602133637792752</v>
      </c>
      <c r="D339" s="302">
        <v>0.6088735598790227</v>
      </c>
      <c r="E339" s="302">
        <f t="shared" si="147"/>
        <v>0.79204376040182423</v>
      </c>
      <c r="F339" s="303"/>
      <c r="G339" s="302">
        <v>5.5104136048749086E-2</v>
      </c>
      <c r="H339" s="302">
        <v>6.7620199630470904E-2</v>
      </c>
      <c r="I339" s="302">
        <v>0.66024534870515372</v>
      </c>
      <c r="J339" s="302">
        <f t="shared" si="150"/>
        <v>0.78296968438437375</v>
      </c>
      <c r="K339" s="303"/>
      <c r="L339" s="302">
        <v>3.8148960631170514E-2</v>
      </c>
      <c r="M339" s="302">
        <v>6.6426028230593348E-2</v>
      </c>
      <c r="N339" s="302">
        <v>0.78780759820175317</v>
      </c>
      <c r="O339" s="302">
        <f t="shared" si="149"/>
        <v>0.89238258706351703</v>
      </c>
    </row>
    <row r="340" spans="1:15" s="236" customFormat="1" x14ac:dyDescent="0.25">
      <c r="A340" s="237" t="str">
        <f>name!E$12</f>
        <v>Elementary occupations</v>
      </c>
      <c r="B340" s="302">
        <v>0.27375008248464988</v>
      </c>
      <c r="C340" s="302">
        <v>2.2146770714690316</v>
      </c>
      <c r="D340" s="302">
        <v>0.1163183599795217</v>
      </c>
      <c r="E340" s="302">
        <f t="shared" si="147"/>
        <v>2.6047455139332034</v>
      </c>
      <c r="F340" s="303"/>
      <c r="G340" s="302">
        <v>0.20393646162367937</v>
      </c>
      <c r="H340" s="302">
        <v>1.6258999742683069</v>
      </c>
      <c r="I340" s="302">
        <v>8.0022082506871636E-2</v>
      </c>
      <c r="J340" s="302">
        <f t="shared" si="150"/>
        <v>1.9098585183988579</v>
      </c>
      <c r="K340" s="303"/>
      <c r="L340" s="302">
        <v>0.13838006435659972</v>
      </c>
      <c r="M340" s="302">
        <v>9.6823428327415514E-2</v>
      </c>
      <c r="N340" s="302">
        <v>0.31682028549747293</v>
      </c>
      <c r="O340" s="302">
        <f t="shared" si="149"/>
        <v>0.55202377818148818</v>
      </c>
    </row>
    <row r="341" spans="1:15" s="236" customFormat="1" x14ac:dyDescent="0.25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5">
      <c r="A342" s="244" t="s">
        <v>33</v>
      </c>
      <c r="B342" s="311">
        <f>SUM(B332:B340)</f>
        <v>21.703505291908122</v>
      </c>
      <c r="C342" s="311">
        <f t="shared" ref="C342:E342" si="151">SUM(C332:C340)</f>
        <v>20.246561479233591</v>
      </c>
      <c r="D342" s="311">
        <f t="shared" si="151"/>
        <v>2.8599332288583623</v>
      </c>
      <c r="E342" s="311">
        <f t="shared" si="151"/>
        <v>44.810000000000073</v>
      </c>
      <c r="F342" s="311"/>
      <c r="G342" s="311">
        <f t="shared" ref="G342:J342" si="152">SUM(G332:G340)</f>
        <v>22.821753126761227</v>
      </c>
      <c r="H342" s="311">
        <f t="shared" si="152"/>
        <v>19.081942764591659</v>
      </c>
      <c r="I342" s="311">
        <f t="shared" si="152"/>
        <v>3.1593041086470857</v>
      </c>
      <c r="J342" s="311">
        <f t="shared" si="152"/>
        <v>45.062999999999981</v>
      </c>
      <c r="K342" s="311"/>
      <c r="L342" s="311">
        <f t="shared" ref="L342:O342" si="153">SUM(L332:L340)</f>
        <v>25.735769668114308</v>
      </c>
      <c r="M342" s="311">
        <f t="shared" si="153"/>
        <v>19.861901716495883</v>
      </c>
      <c r="N342" s="311">
        <f t="shared" si="153"/>
        <v>3.5663286153897533</v>
      </c>
      <c r="O342" s="311">
        <f t="shared" si="153"/>
        <v>49.163999999999945</v>
      </c>
    </row>
    <row r="343" spans="1:15" s="236" customFormat="1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ht="13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ht="13" x14ac:dyDescent="0.3">
      <c r="A346" s="241" t="str">
        <f>name!B23</f>
        <v>Health and social work</v>
      </c>
      <c r="B346" s="378">
        <f>$B$6</f>
        <v>2015</v>
      </c>
      <c r="C346" s="378"/>
      <c r="D346" s="378"/>
      <c r="E346" s="378"/>
      <c r="F346" s="263"/>
      <c r="G346" s="378">
        <f>$G$6</f>
        <v>2020</v>
      </c>
      <c r="H346" s="378"/>
      <c r="I346" s="378"/>
      <c r="J346" s="378"/>
      <c r="K346" s="263"/>
      <c r="L346" s="378">
        <f>$L$6</f>
        <v>2035</v>
      </c>
      <c r="M346" s="378"/>
      <c r="N346" s="378"/>
      <c r="O346" s="378"/>
    </row>
    <row r="347" spans="1:15" s="236" customFormat="1" ht="13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ht="13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5">
      <c r="A349" s="237" t="str">
        <f>name!E$4</f>
        <v>Managers, directors and senior officials</v>
      </c>
      <c r="B349" s="302">
        <v>1.6854851108844839</v>
      </c>
      <c r="C349" s="302">
        <v>0.50092299093033266</v>
      </c>
      <c r="D349" s="302">
        <v>0.22614235472440442</v>
      </c>
      <c r="E349" s="302">
        <f>SUM(B349:D349)</f>
        <v>2.4125504565392211</v>
      </c>
      <c r="F349" s="303"/>
      <c r="G349" s="302">
        <v>2.0126429988163896</v>
      </c>
      <c r="H349" s="302">
        <v>0.78154393073978967</v>
      </c>
      <c r="I349" s="302">
        <v>0.46209034454529901</v>
      </c>
      <c r="J349" s="302">
        <f>SUM(G349:I349)</f>
        <v>3.2562772741014783</v>
      </c>
      <c r="K349" s="303"/>
      <c r="L349" s="302">
        <v>2.0401769512971453</v>
      </c>
      <c r="M349" s="302">
        <v>0.99140841703331639</v>
      </c>
      <c r="N349" s="302">
        <v>0.55406256089097683</v>
      </c>
      <c r="O349" s="302">
        <f>SUM(L349:N349)</f>
        <v>3.5856479292214387</v>
      </c>
    </row>
    <row r="350" spans="1:15" s="236" customFormat="1" x14ac:dyDescent="0.25">
      <c r="A350" s="237" t="str">
        <f>name!E$5</f>
        <v>Professional occupations</v>
      </c>
      <c r="B350" s="302">
        <v>11.680926968460874</v>
      </c>
      <c r="C350" s="302">
        <v>5.6146928203405775</v>
      </c>
      <c r="D350" s="302">
        <v>1.4295026265682567</v>
      </c>
      <c r="E350" s="302">
        <f t="shared" ref="E350:E357" si="154">SUM(B350:D350)</f>
        <v>18.725122415369711</v>
      </c>
      <c r="F350" s="303"/>
      <c r="G350" s="302">
        <v>14.818033001505173</v>
      </c>
      <c r="H350" s="302">
        <v>7.567514430883242</v>
      </c>
      <c r="I350" s="302">
        <v>2.0773893698458439</v>
      </c>
      <c r="J350" s="302">
        <f t="shared" ref="J350:J352" si="155">SUM(G350:I350)</f>
        <v>24.462936802234257</v>
      </c>
      <c r="K350" s="303"/>
      <c r="L350" s="302">
        <v>16.523669207003344</v>
      </c>
      <c r="M350" s="302">
        <v>8.5868175066331602</v>
      </c>
      <c r="N350" s="302">
        <v>1.9983394156039194</v>
      </c>
      <c r="O350" s="302">
        <f t="shared" ref="O350:O357" si="156">SUM(L350:N350)</f>
        <v>27.108826129240423</v>
      </c>
    </row>
    <row r="351" spans="1:15" s="236" customFormat="1" x14ac:dyDescent="0.25">
      <c r="A351" s="237" t="str">
        <f>name!E$6</f>
        <v>Associate professional occupations</v>
      </c>
      <c r="B351" s="302">
        <v>4.8764502695457725</v>
      </c>
      <c r="C351" s="302">
        <v>2.9503300372988854</v>
      </c>
      <c r="D351" s="302">
        <v>0.66767209666121308</v>
      </c>
      <c r="E351" s="302">
        <f t="shared" si="154"/>
        <v>8.4944524035058713</v>
      </c>
      <c r="F351" s="303"/>
      <c r="G351" s="302">
        <v>5.9765215505737919</v>
      </c>
      <c r="H351" s="302">
        <v>3.9182184772484661</v>
      </c>
      <c r="I351" s="302">
        <v>0.61887401486959048</v>
      </c>
      <c r="J351" s="302">
        <f t="shared" si="155"/>
        <v>10.513614042691849</v>
      </c>
      <c r="K351" s="303"/>
      <c r="L351" s="302">
        <v>10.684186521658257</v>
      </c>
      <c r="M351" s="302">
        <v>6.2756599767424976</v>
      </c>
      <c r="N351" s="302">
        <v>0.84142683248566796</v>
      </c>
      <c r="O351" s="302">
        <f t="shared" si="156"/>
        <v>17.801273330886421</v>
      </c>
    </row>
    <row r="352" spans="1:15" s="236" customFormat="1" x14ac:dyDescent="0.25">
      <c r="A352" s="237" t="str">
        <f>name!E$7</f>
        <v>Administrative and secretarial occupations</v>
      </c>
      <c r="B352" s="302">
        <v>2.2230465175969809</v>
      </c>
      <c r="C352" s="302">
        <v>3.4476681481100395</v>
      </c>
      <c r="D352" s="302">
        <v>0.13653778386575413</v>
      </c>
      <c r="E352" s="302">
        <f t="shared" si="154"/>
        <v>5.8072524495727746</v>
      </c>
      <c r="F352" s="303"/>
      <c r="G352" s="302">
        <v>2.3544054542063448</v>
      </c>
      <c r="H352" s="302">
        <v>3.5176145630169913</v>
      </c>
      <c r="I352" s="302">
        <v>9.751969368850405E-2</v>
      </c>
      <c r="J352" s="302">
        <f t="shared" si="155"/>
        <v>5.9695397109118407</v>
      </c>
      <c r="K352" s="303"/>
      <c r="L352" s="302">
        <v>1.7101006108762336</v>
      </c>
      <c r="M352" s="302">
        <v>1.7767933160785934</v>
      </c>
      <c r="N352" s="302">
        <v>7.2863667235922483E-2</v>
      </c>
      <c r="O352" s="302">
        <f t="shared" si="156"/>
        <v>3.5597575941907493</v>
      </c>
    </row>
    <row r="353" spans="1:15" s="236" customFormat="1" x14ac:dyDescent="0.25">
      <c r="A353" s="237" t="str">
        <f>name!E$8</f>
        <v>Skilled trades occupations</v>
      </c>
      <c r="B353" s="302">
        <v>0.45154952774325213</v>
      </c>
      <c r="C353" s="302">
        <v>0.33285062404574817</v>
      </c>
      <c r="D353" s="302">
        <v>9.8891803864451872E-2</v>
      </c>
      <c r="E353" s="302">
        <f t="shared" si="154"/>
        <v>0.88329195565345209</v>
      </c>
      <c r="F353" s="303"/>
      <c r="G353" s="302">
        <v>0.3499301470896769</v>
      </c>
      <c r="H353" s="302">
        <v>0.26660587426102972</v>
      </c>
      <c r="I353" s="302">
        <v>0.22515648734004287</v>
      </c>
      <c r="J353" s="302">
        <f>SUM(G353:I353)</f>
        <v>0.84169250869074952</v>
      </c>
      <c r="K353" s="303"/>
      <c r="L353" s="302">
        <v>0.2257114765855544</v>
      </c>
      <c r="M353" s="302">
        <v>0.20112190216994122</v>
      </c>
      <c r="N353" s="302">
        <v>0.25651993528357919</v>
      </c>
      <c r="O353" s="302">
        <f t="shared" si="156"/>
        <v>0.68335331403907484</v>
      </c>
    </row>
    <row r="354" spans="1:15" s="236" customFormat="1" x14ac:dyDescent="0.25">
      <c r="A354" s="237" t="str">
        <f>name!E$9</f>
        <v>Caring, leisure and other service occupations</v>
      </c>
      <c r="B354" s="302">
        <v>10.735368346648158</v>
      </c>
      <c r="C354" s="302">
        <v>9.6787180323217576</v>
      </c>
      <c r="D354" s="302">
        <v>1.331929187985933</v>
      </c>
      <c r="E354" s="302">
        <f t="shared" si="154"/>
        <v>21.746015566955847</v>
      </c>
      <c r="F354" s="303"/>
      <c r="G354" s="302">
        <v>12.236348070520265</v>
      </c>
      <c r="H354" s="302">
        <v>10.698681333844654</v>
      </c>
      <c r="I354" s="302">
        <v>1.1379883248497349</v>
      </c>
      <c r="J354" s="302">
        <f t="shared" ref="J354:J357" si="157">SUM(G354:I354)</f>
        <v>24.073017729214655</v>
      </c>
      <c r="K354" s="303"/>
      <c r="L354" s="302">
        <v>14.482652762426984</v>
      </c>
      <c r="M354" s="302">
        <v>10.48589578465271</v>
      </c>
      <c r="N354" s="302">
        <v>1.4661244639067461</v>
      </c>
      <c r="O354" s="302">
        <f t="shared" si="156"/>
        <v>26.434673010986437</v>
      </c>
    </row>
    <row r="355" spans="1:15" s="236" customFormat="1" x14ac:dyDescent="0.25">
      <c r="A355" s="237" t="str">
        <f>name!E$10</f>
        <v>Sales and customer service occupations</v>
      </c>
      <c r="B355" s="302">
        <v>0.36822976732028634</v>
      </c>
      <c r="C355" s="302">
        <v>0.40121204658604426</v>
      </c>
      <c r="D355" s="302">
        <v>5.6907015058791456E-2</v>
      </c>
      <c r="E355" s="302">
        <f t="shared" si="154"/>
        <v>0.82634882896512207</v>
      </c>
      <c r="F355" s="303"/>
      <c r="G355" s="302">
        <v>0.38573073280802406</v>
      </c>
      <c r="H355" s="302">
        <v>0.41775613994605354</v>
      </c>
      <c r="I355" s="302">
        <v>5.963086379238805E-2</v>
      </c>
      <c r="J355" s="302">
        <f t="shared" si="157"/>
        <v>0.86311773654646562</v>
      </c>
      <c r="K355" s="303"/>
      <c r="L355" s="302">
        <v>0.42229519704492907</v>
      </c>
      <c r="M355" s="302">
        <v>0.44312022193630674</v>
      </c>
      <c r="N355" s="302">
        <v>6.0394860437215016E-2</v>
      </c>
      <c r="O355" s="302">
        <f t="shared" si="156"/>
        <v>0.92581027941845073</v>
      </c>
    </row>
    <row r="356" spans="1:15" s="236" customFormat="1" x14ac:dyDescent="0.25">
      <c r="A356" s="237" t="str">
        <f>name!E$11</f>
        <v>Process, plant and machine operatives</v>
      </c>
      <c r="B356" s="302">
        <v>0.16216600219335728</v>
      </c>
      <c r="C356" s="302">
        <v>0.23644895980644431</v>
      </c>
      <c r="D356" s="302">
        <v>2.7948325479206813E-2</v>
      </c>
      <c r="E356" s="302">
        <f t="shared" si="154"/>
        <v>0.42656328747900846</v>
      </c>
      <c r="F356" s="303"/>
      <c r="G356" s="302">
        <v>0.12299305040525824</v>
      </c>
      <c r="H356" s="302">
        <v>0.21481254284215093</v>
      </c>
      <c r="I356" s="302">
        <v>7.2661732778747157E-2</v>
      </c>
      <c r="J356" s="302">
        <f t="shared" si="157"/>
        <v>0.41046732602615632</v>
      </c>
      <c r="K356" s="303"/>
      <c r="L356" s="302">
        <v>8.5539569018826075E-2</v>
      </c>
      <c r="M356" s="302">
        <v>0.15819194299491166</v>
      </c>
      <c r="N356" s="302">
        <v>8.3797211750757411E-2</v>
      </c>
      <c r="O356" s="302">
        <f t="shared" si="156"/>
        <v>0.32752872376449516</v>
      </c>
    </row>
    <row r="357" spans="1:15" s="236" customFormat="1" x14ac:dyDescent="0.25">
      <c r="A357" s="237" t="str">
        <f>name!E$12</f>
        <v>Elementary occupations</v>
      </c>
      <c r="B357" s="302">
        <v>0.44560840227342396</v>
      </c>
      <c r="C357" s="302">
        <v>1.0264090632209084</v>
      </c>
      <c r="D357" s="302">
        <v>7.3385170464764213E-2</v>
      </c>
      <c r="E357" s="302">
        <f t="shared" si="154"/>
        <v>1.5454026359590964</v>
      </c>
      <c r="F357" s="303"/>
      <c r="G357" s="302">
        <v>0.38018226370477493</v>
      </c>
      <c r="H357" s="302">
        <v>0.880877761919309</v>
      </c>
      <c r="I357" s="302">
        <v>0.11827684395843181</v>
      </c>
      <c r="J357" s="302">
        <f t="shared" si="157"/>
        <v>1.3793368695825157</v>
      </c>
      <c r="K357" s="303"/>
      <c r="L357" s="302">
        <v>0.27167586855231018</v>
      </c>
      <c r="M357" s="302">
        <v>0.3698456923555492</v>
      </c>
      <c r="N357" s="302">
        <v>0.1346081273446868</v>
      </c>
      <c r="O357" s="302">
        <f t="shared" si="156"/>
        <v>0.77612968825254613</v>
      </c>
    </row>
    <row r="358" spans="1:15" s="236" customFormat="1" x14ac:dyDescent="0.25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5">
      <c r="A359" s="244" t="s">
        <v>33</v>
      </c>
      <c r="B359" s="311">
        <f>SUM(B349:B357)</f>
        <v>32.628830912666587</v>
      </c>
      <c r="C359" s="311">
        <f t="shared" ref="C359:E359" si="158">SUM(C349:C357)</f>
        <v>24.189252722660736</v>
      </c>
      <c r="D359" s="311">
        <f t="shared" si="158"/>
        <v>4.0489163646727757</v>
      </c>
      <c r="E359" s="311">
        <f t="shared" si="158"/>
        <v>60.867000000000111</v>
      </c>
      <c r="F359" s="311"/>
      <c r="G359" s="311">
        <f t="shared" ref="G359:J359" si="159">SUM(G349:G357)</f>
        <v>38.636787269629693</v>
      </c>
      <c r="H359" s="311">
        <f t="shared" si="159"/>
        <v>28.263625054701684</v>
      </c>
      <c r="I359" s="311">
        <f t="shared" si="159"/>
        <v>4.8695876756685816</v>
      </c>
      <c r="J359" s="311">
        <f t="shared" si="159"/>
        <v>71.769999999999968</v>
      </c>
      <c r="K359" s="311"/>
      <c r="L359" s="311">
        <f t="shared" ref="L359:O359" si="160">SUM(L349:L357)</f>
        <v>46.446008164463585</v>
      </c>
      <c r="M359" s="311">
        <f t="shared" si="160"/>
        <v>29.28885476059699</v>
      </c>
      <c r="N359" s="311">
        <f t="shared" si="160"/>
        <v>5.468137074939472</v>
      </c>
      <c r="O359" s="311">
        <f t="shared" si="160"/>
        <v>81.20300000000006</v>
      </c>
    </row>
    <row r="360" spans="1:15" s="236" customFormat="1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ht="13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ht="13" x14ac:dyDescent="0.3">
      <c r="A363" s="241" t="str">
        <f>name!B24</f>
        <v>Arts and entertainment</v>
      </c>
      <c r="B363" s="378">
        <f>$B$6</f>
        <v>2015</v>
      </c>
      <c r="C363" s="378"/>
      <c r="D363" s="378"/>
      <c r="E363" s="378"/>
      <c r="F363" s="263"/>
      <c r="G363" s="378">
        <f>$G$6</f>
        <v>2020</v>
      </c>
      <c r="H363" s="378"/>
      <c r="I363" s="378"/>
      <c r="J363" s="378"/>
      <c r="K363" s="263"/>
      <c r="L363" s="378">
        <f>$L$6</f>
        <v>2035</v>
      </c>
      <c r="M363" s="378"/>
      <c r="N363" s="378"/>
      <c r="O363" s="378"/>
    </row>
    <row r="364" spans="1:15" s="236" customFormat="1" ht="13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ht="13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5">
      <c r="A366" s="237" t="str">
        <f>name!E$4</f>
        <v>Managers, directors and senior officials</v>
      </c>
      <c r="B366" s="302">
        <v>0.48396494606330159</v>
      </c>
      <c r="C366" s="302">
        <v>0.15041664401868765</v>
      </c>
      <c r="D366" s="302">
        <v>0.1973057457501097</v>
      </c>
      <c r="E366" s="302">
        <f>SUM(B366:D366)</f>
        <v>0.83168733583209897</v>
      </c>
      <c r="F366" s="303"/>
      <c r="G366" s="302">
        <v>0.55161690615211345</v>
      </c>
      <c r="H366" s="302">
        <v>0.19679014450421398</v>
      </c>
      <c r="I366" s="302">
        <v>0.20737016415989287</v>
      </c>
      <c r="J366" s="302">
        <f>SUM(G366:I366)</f>
        <v>0.95577721481622024</v>
      </c>
      <c r="K366" s="303"/>
      <c r="L366" s="302">
        <v>0.5329208076903772</v>
      </c>
      <c r="M366" s="302">
        <v>0.24609594357134096</v>
      </c>
      <c r="N366" s="302">
        <v>0.19629860551042616</v>
      </c>
      <c r="O366" s="302">
        <f>SUM(L366:N366)</f>
        <v>0.9753153567721442</v>
      </c>
    </row>
    <row r="367" spans="1:15" s="236" customFormat="1" x14ac:dyDescent="0.25">
      <c r="A367" s="237" t="str">
        <f>name!E$5</f>
        <v>Professional occupations</v>
      </c>
      <c r="B367" s="302">
        <v>0.63791812595324038</v>
      </c>
      <c r="C367" s="302">
        <v>0.36301601261004685</v>
      </c>
      <c r="D367" s="302">
        <v>0.63394830243334388</v>
      </c>
      <c r="E367" s="302">
        <f t="shared" ref="E367:E374" si="161">SUM(B367:D367)</f>
        <v>1.6348824409966312</v>
      </c>
      <c r="F367" s="303"/>
      <c r="G367" s="302">
        <v>0.87911773373547042</v>
      </c>
      <c r="H367" s="302">
        <v>0.49630991646935102</v>
      </c>
      <c r="I367" s="302">
        <v>0.62320388079937816</v>
      </c>
      <c r="J367" s="302">
        <f t="shared" ref="J367:J369" si="162">SUM(G367:I367)</f>
        <v>1.9986315310041998</v>
      </c>
      <c r="K367" s="303"/>
      <c r="L367" s="302">
        <v>1.0650570480256838</v>
      </c>
      <c r="M367" s="302">
        <v>0.72150953371892801</v>
      </c>
      <c r="N367" s="302">
        <v>0.5823025636644249</v>
      </c>
      <c r="O367" s="302">
        <f t="shared" ref="O367:O374" si="163">SUM(L367:N367)</f>
        <v>2.3688691454090365</v>
      </c>
    </row>
    <row r="368" spans="1:15" s="236" customFormat="1" x14ac:dyDescent="0.25">
      <c r="A368" s="237" t="str">
        <f>name!E$6</f>
        <v>Associate professional occupations</v>
      </c>
      <c r="B368" s="302">
        <v>0.92917206021522047</v>
      </c>
      <c r="C368" s="302">
        <v>0.76149569241625981</v>
      </c>
      <c r="D368" s="302">
        <v>1.7924034164603517</v>
      </c>
      <c r="E368" s="302">
        <f t="shared" si="161"/>
        <v>3.4830711690918319</v>
      </c>
      <c r="F368" s="303"/>
      <c r="G368" s="302">
        <v>1.1169673087990468</v>
      </c>
      <c r="H368" s="302">
        <v>0.79843255191720186</v>
      </c>
      <c r="I368" s="302">
        <v>1.8117572058900147</v>
      </c>
      <c r="J368" s="302">
        <f t="shared" si="162"/>
        <v>3.7271570666062637</v>
      </c>
      <c r="K368" s="303"/>
      <c r="L368" s="302">
        <v>1.0618550027346443</v>
      </c>
      <c r="M368" s="302">
        <v>0.80921080118501199</v>
      </c>
      <c r="N368" s="302">
        <v>1.7017254837805638</v>
      </c>
      <c r="O368" s="302">
        <f t="shared" si="163"/>
        <v>3.5727912877002201</v>
      </c>
    </row>
    <row r="369" spans="1:15" s="236" customFormat="1" x14ac:dyDescent="0.25">
      <c r="A369" s="237" t="str">
        <f>name!E$7</f>
        <v>Administrative and secretarial occupations</v>
      </c>
      <c r="B369" s="302">
        <v>0.50434448713509805</v>
      </c>
      <c r="C369" s="302">
        <v>1.2430611261615938</v>
      </c>
      <c r="D369" s="302">
        <v>4.9161840128618128E-2</v>
      </c>
      <c r="E369" s="302">
        <f t="shared" si="161"/>
        <v>1.7965674534253098</v>
      </c>
      <c r="F369" s="303"/>
      <c r="G369" s="302">
        <v>0.52404266398358934</v>
      </c>
      <c r="H369" s="302">
        <v>1.2177734572840817</v>
      </c>
      <c r="I369" s="302">
        <v>3.8072044953304199E-2</v>
      </c>
      <c r="J369" s="302">
        <f t="shared" si="162"/>
        <v>1.7798881662209753</v>
      </c>
      <c r="K369" s="303"/>
      <c r="L369" s="302">
        <v>0.50911134163898697</v>
      </c>
      <c r="M369" s="302">
        <v>1.2616693784557869</v>
      </c>
      <c r="N369" s="302">
        <v>3.4865317307842585E-2</v>
      </c>
      <c r="O369" s="302">
        <f t="shared" si="163"/>
        <v>1.8056460374026164</v>
      </c>
    </row>
    <row r="370" spans="1:15" s="236" customFormat="1" x14ac:dyDescent="0.25">
      <c r="A370" s="237" t="str">
        <f>name!E$8</f>
        <v>Skilled trades occupations</v>
      </c>
      <c r="B370" s="302">
        <v>0.24354220111473324</v>
      </c>
      <c r="C370" s="302">
        <v>0.18877916475903012</v>
      </c>
      <c r="D370" s="302">
        <v>0.22839576575379203</v>
      </c>
      <c r="E370" s="302">
        <f t="shared" si="161"/>
        <v>0.66071713162755541</v>
      </c>
      <c r="F370" s="303"/>
      <c r="G370" s="302">
        <v>0.21116916038489186</v>
      </c>
      <c r="H370" s="302">
        <v>0.11996700618352327</v>
      </c>
      <c r="I370" s="302">
        <v>0.20766785032808197</v>
      </c>
      <c r="J370" s="302">
        <f>SUM(G370:I370)</f>
        <v>0.53880401689649715</v>
      </c>
      <c r="K370" s="303"/>
      <c r="L370" s="302">
        <v>0.14455458906965474</v>
      </c>
      <c r="M370" s="302">
        <v>0.15674090253458098</v>
      </c>
      <c r="N370" s="302">
        <v>0.17709593086895489</v>
      </c>
      <c r="O370" s="302">
        <f t="shared" si="163"/>
        <v>0.47839142247319066</v>
      </c>
    </row>
    <row r="371" spans="1:15" s="236" customFormat="1" x14ac:dyDescent="0.25">
      <c r="A371" s="237" t="str">
        <f>name!E$9</f>
        <v>Caring, leisure and other service occupations</v>
      </c>
      <c r="B371" s="302">
        <v>0.52003235574021833</v>
      </c>
      <c r="C371" s="302">
        <v>0.76535487151137449</v>
      </c>
      <c r="D371" s="302">
        <v>8.4956994354355428E-2</v>
      </c>
      <c r="E371" s="302">
        <f t="shared" si="161"/>
        <v>1.370344221605948</v>
      </c>
      <c r="F371" s="303"/>
      <c r="G371" s="302">
        <v>0.46392826233792045</v>
      </c>
      <c r="H371" s="302">
        <v>0.63549626845742369</v>
      </c>
      <c r="I371" s="302">
        <v>6.7252885543064495E-2</v>
      </c>
      <c r="J371" s="302">
        <f t="shared" ref="J371:J374" si="164">SUM(G371:I371)</f>
        <v>1.1666774163384086</v>
      </c>
      <c r="K371" s="303"/>
      <c r="L371" s="302">
        <v>0.38522711253025516</v>
      </c>
      <c r="M371" s="302">
        <v>0.62346935708398132</v>
      </c>
      <c r="N371" s="302">
        <v>6.2740615861253166E-2</v>
      </c>
      <c r="O371" s="302">
        <f t="shared" si="163"/>
        <v>1.0714370854754895</v>
      </c>
    </row>
    <row r="372" spans="1:15" s="236" customFormat="1" x14ac:dyDescent="0.25">
      <c r="A372" s="237" t="str">
        <f>name!E$10</f>
        <v>Sales and customer service occupations</v>
      </c>
      <c r="B372" s="302">
        <v>0.2291559883760626</v>
      </c>
      <c r="C372" s="302">
        <v>0.54317662515276233</v>
      </c>
      <c r="D372" s="302">
        <v>4.6776235662399336E-2</v>
      </c>
      <c r="E372" s="302">
        <f t="shared" si="161"/>
        <v>0.81910884919122418</v>
      </c>
      <c r="F372" s="303"/>
      <c r="G372" s="302">
        <v>0.2303563912484824</v>
      </c>
      <c r="H372" s="302">
        <v>0.46411545328037757</v>
      </c>
      <c r="I372" s="302">
        <v>3.413571561949031E-2</v>
      </c>
      <c r="J372" s="302">
        <f t="shared" si="164"/>
        <v>0.72860756014835037</v>
      </c>
      <c r="K372" s="303"/>
      <c r="L372" s="302">
        <v>0.22386915407581023</v>
      </c>
      <c r="M372" s="302">
        <v>0.60852045971176993</v>
      </c>
      <c r="N372" s="302">
        <v>3.0237367792230633E-2</v>
      </c>
      <c r="O372" s="302">
        <f t="shared" si="163"/>
        <v>0.86262698157981077</v>
      </c>
    </row>
    <row r="373" spans="1:15" s="236" customFormat="1" x14ac:dyDescent="0.25">
      <c r="A373" s="237" t="str">
        <f>name!E$11</f>
        <v>Process, plant and machine operatives</v>
      </c>
      <c r="B373" s="302">
        <v>5.1634774131947288E-2</v>
      </c>
      <c r="C373" s="302">
        <v>5.0337909806455132E-2</v>
      </c>
      <c r="D373" s="302">
        <v>1.3194775496457313E-2</v>
      </c>
      <c r="E373" s="302">
        <f t="shared" si="161"/>
        <v>0.11516745943485973</v>
      </c>
      <c r="F373" s="303"/>
      <c r="G373" s="302">
        <v>3.9529189487538904E-2</v>
      </c>
      <c r="H373" s="302">
        <v>3.6615304813506097E-2</v>
      </c>
      <c r="I373" s="302">
        <v>1.3576224273203518E-2</v>
      </c>
      <c r="J373" s="302">
        <f t="shared" si="164"/>
        <v>8.9720718574248515E-2</v>
      </c>
      <c r="K373" s="303"/>
      <c r="L373" s="302">
        <v>3.0462405199818739E-2</v>
      </c>
      <c r="M373" s="302">
        <v>4.0536637422008769E-2</v>
      </c>
      <c r="N373" s="302">
        <v>1.4327303846008525E-2</v>
      </c>
      <c r="O373" s="302">
        <f t="shared" si="163"/>
        <v>8.5326346467836031E-2</v>
      </c>
    </row>
    <row r="374" spans="1:15" s="236" customFormat="1" x14ac:dyDescent="0.25">
      <c r="A374" s="237" t="str">
        <f>name!E$12</f>
        <v>Elementary occupations</v>
      </c>
      <c r="B374" s="302">
        <v>0.23430310870815674</v>
      </c>
      <c r="C374" s="302">
        <v>0.90565742895013579</v>
      </c>
      <c r="D374" s="302">
        <v>5.0493401136265222E-2</v>
      </c>
      <c r="E374" s="302">
        <f t="shared" si="161"/>
        <v>1.1904539387945576</v>
      </c>
      <c r="F374" s="303"/>
      <c r="G374" s="302">
        <v>0.19634547597503457</v>
      </c>
      <c r="H374" s="302">
        <v>0.69227304375826104</v>
      </c>
      <c r="I374" s="302">
        <v>3.611778966153955E-2</v>
      </c>
      <c r="J374" s="302">
        <f t="shared" si="164"/>
        <v>0.9247363093948352</v>
      </c>
      <c r="K374" s="303"/>
      <c r="L374" s="302">
        <v>0.19753598376783618</v>
      </c>
      <c r="M374" s="302">
        <v>0.50599568011983498</v>
      </c>
      <c r="N374" s="302">
        <v>2.906467283198038E-2</v>
      </c>
      <c r="O374" s="302">
        <f t="shared" si="163"/>
        <v>0.73259633671965152</v>
      </c>
    </row>
    <row r="375" spans="1:15" s="236" customFormat="1" x14ac:dyDescent="0.25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5">
      <c r="A376" s="244" t="s">
        <v>33</v>
      </c>
      <c r="B376" s="311">
        <f>SUM(B366:B374)</f>
        <v>3.8340680474379791</v>
      </c>
      <c r="C376" s="311">
        <f t="shared" ref="C376:E376" si="165">SUM(C366:C374)</f>
        <v>4.971295475386345</v>
      </c>
      <c r="D376" s="311">
        <f t="shared" si="165"/>
        <v>3.0966364771756925</v>
      </c>
      <c r="E376" s="311">
        <f t="shared" si="165"/>
        <v>11.902000000000017</v>
      </c>
      <c r="F376" s="311"/>
      <c r="G376" s="311">
        <f t="shared" ref="G376:J376" si="166">SUM(G366:G374)</f>
        <v>4.2130730921040884</v>
      </c>
      <c r="H376" s="311">
        <f t="shared" si="166"/>
        <v>4.6577731466679406</v>
      </c>
      <c r="I376" s="311">
        <f t="shared" si="166"/>
        <v>3.0391537612279702</v>
      </c>
      <c r="J376" s="311">
        <f t="shared" si="166"/>
        <v>11.909999999999998</v>
      </c>
      <c r="K376" s="311"/>
      <c r="L376" s="311">
        <f t="shared" ref="L376:O376" si="167">SUM(L366:L374)</f>
        <v>4.150593444733067</v>
      </c>
      <c r="M376" s="311">
        <f t="shared" si="167"/>
        <v>4.9737486938032438</v>
      </c>
      <c r="N376" s="311">
        <f t="shared" si="167"/>
        <v>2.828657861463685</v>
      </c>
      <c r="O376" s="311">
        <f t="shared" si="167"/>
        <v>11.952999999999994</v>
      </c>
    </row>
    <row r="377" spans="1:15" s="236" customFormat="1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ht="13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ht="13" x14ac:dyDescent="0.3">
      <c r="A380" s="241" t="str">
        <f>name!B25</f>
        <v>Other services</v>
      </c>
      <c r="B380" s="378">
        <f>$B$6</f>
        <v>2015</v>
      </c>
      <c r="C380" s="378"/>
      <c r="D380" s="378"/>
      <c r="E380" s="378"/>
      <c r="F380" s="263"/>
      <c r="G380" s="378">
        <f>$G$6</f>
        <v>2020</v>
      </c>
      <c r="H380" s="378"/>
      <c r="I380" s="378"/>
      <c r="J380" s="378"/>
      <c r="K380" s="263"/>
      <c r="L380" s="378">
        <f>$L$6</f>
        <v>2035</v>
      </c>
      <c r="M380" s="378"/>
      <c r="N380" s="378"/>
      <c r="O380" s="378"/>
    </row>
    <row r="381" spans="1:15" s="236" customFormat="1" ht="13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ht="13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5">
      <c r="A383" s="237" t="str">
        <f>name!E$4</f>
        <v>Managers, directors and senior officials</v>
      </c>
      <c r="B383" s="302">
        <v>0.68891958911273765</v>
      </c>
      <c r="C383" s="302">
        <v>0.11734158024976003</v>
      </c>
      <c r="D383" s="302">
        <v>0.48913556505855926</v>
      </c>
      <c r="E383" s="302">
        <f>SUM(B383:D383)</f>
        <v>1.2953967344210571</v>
      </c>
      <c r="F383" s="303"/>
      <c r="G383" s="302">
        <v>0.56663349576809352</v>
      </c>
      <c r="H383" s="302">
        <v>0.15624789857810095</v>
      </c>
      <c r="I383" s="302">
        <v>0.44854339905326546</v>
      </c>
      <c r="J383" s="302">
        <f>SUM(G383:I383)</f>
        <v>1.1714247933994599</v>
      </c>
      <c r="K383" s="303"/>
      <c r="L383" s="302">
        <v>0.55312914972770666</v>
      </c>
      <c r="M383" s="302">
        <v>0.17026290308802999</v>
      </c>
      <c r="N383" s="302">
        <v>0.40563093074854134</v>
      </c>
      <c r="O383" s="302">
        <f>SUM(L383:N383)</f>
        <v>1.129022983564278</v>
      </c>
    </row>
    <row r="384" spans="1:15" s="236" customFormat="1" x14ac:dyDescent="0.25">
      <c r="A384" s="237" t="str">
        <f>name!E$5</f>
        <v>Professional occupations</v>
      </c>
      <c r="B384" s="302">
        <v>1.38786506336556</v>
      </c>
      <c r="C384" s="302">
        <v>0.4261977664141493</v>
      </c>
      <c r="D384" s="302">
        <v>0.83865305042686056</v>
      </c>
      <c r="E384" s="302">
        <f t="shared" ref="E384:E391" si="168">SUM(B384:D384)</f>
        <v>2.6527158802065696</v>
      </c>
      <c r="F384" s="303"/>
      <c r="G384" s="302">
        <v>1.4943187176108719</v>
      </c>
      <c r="H384" s="302">
        <v>0.62673078044457942</v>
      </c>
      <c r="I384" s="302">
        <v>0.7970011622081381</v>
      </c>
      <c r="J384" s="302">
        <f t="shared" ref="J384:J386" si="169">SUM(G384:I384)</f>
        <v>2.9180506602635896</v>
      </c>
      <c r="K384" s="303"/>
      <c r="L384" s="302">
        <v>1.6320063410299659</v>
      </c>
      <c r="M384" s="302">
        <v>0.75296803073444019</v>
      </c>
      <c r="N384" s="302">
        <v>0.84854604910621512</v>
      </c>
      <c r="O384" s="302">
        <f t="shared" ref="O384:O391" si="170">SUM(L384:N384)</f>
        <v>3.2335204208706214</v>
      </c>
    </row>
    <row r="385" spans="1:15" s="236" customFormat="1" x14ac:dyDescent="0.25">
      <c r="A385" s="237" t="str">
        <f>name!E$6</f>
        <v>Associate professional occupations</v>
      </c>
      <c r="B385" s="302">
        <v>0.79579492430832866</v>
      </c>
      <c r="C385" s="302">
        <v>0.45384857489522074</v>
      </c>
      <c r="D385" s="302">
        <v>0.71195760261717</v>
      </c>
      <c r="E385" s="302">
        <f t="shared" si="168"/>
        <v>1.9616011018207193</v>
      </c>
      <c r="F385" s="303"/>
      <c r="G385" s="302">
        <v>0.72194397243781272</v>
      </c>
      <c r="H385" s="302">
        <v>0.51943934354659116</v>
      </c>
      <c r="I385" s="302">
        <v>0.66346553982157841</v>
      </c>
      <c r="J385" s="302">
        <f t="shared" si="169"/>
        <v>1.9048488558059824</v>
      </c>
      <c r="K385" s="303"/>
      <c r="L385" s="302">
        <v>0.79729693385530709</v>
      </c>
      <c r="M385" s="302">
        <v>0.55564179918141587</v>
      </c>
      <c r="N385" s="302">
        <v>0.68864262502101303</v>
      </c>
      <c r="O385" s="302">
        <f t="shared" si="170"/>
        <v>2.0415813580577358</v>
      </c>
    </row>
    <row r="386" spans="1:15" s="236" customFormat="1" x14ac:dyDescent="0.25">
      <c r="A386" s="237" t="str">
        <f>name!E$7</f>
        <v>Administrative and secretarial occupations</v>
      </c>
      <c r="B386" s="302">
        <v>0.72811623911180834</v>
      </c>
      <c r="C386" s="302">
        <v>0.898521885655724</v>
      </c>
      <c r="D386" s="302">
        <v>0.20410437272233242</v>
      </c>
      <c r="E386" s="302">
        <f t="shared" si="168"/>
        <v>1.8307424974898647</v>
      </c>
      <c r="F386" s="303"/>
      <c r="G386" s="302">
        <v>0.60795811260014643</v>
      </c>
      <c r="H386" s="302">
        <v>0.8312324596613736</v>
      </c>
      <c r="I386" s="302">
        <v>0.21500307778427899</v>
      </c>
      <c r="J386" s="302">
        <f t="shared" si="169"/>
        <v>1.654193650045799</v>
      </c>
      <c r="K386" s="303"/>
      <c r="L386" s="302">
        <v>0.50601591267052093</v>
      </c>
      <c r="M386" s="302">
        <v>0.96819484758700192</v>
      </c>
      <c r="N386" s="302">
        <v>0.16055916550355004</v>
      </c>
      <c r="O386" s="302">
        <f t="shared" si="170"/>
        <v>1.6347699257610731</v>
      </c>
    </row>
    <row r="387" spans="1:15" s="236" customFormat="1" x14ac:dyDescent="0.25">
      <c r="A387" s="237" t="str">
        <f>name!E$8</f>
        <v>Skilled trades occupations</v>
      </c>
      <c r="B387" s="302">
        <v>0.220349785916654</v>
      </c>
      <c r="C387" s="302">
        <v>0.11849623355872474</v>
      </c>
      <c r="D387" s="302">
        <v>0.21263862492258123</v>
      </c>
      <c r="E387" s="302">
        <f t="shared" si="168"/>
        <v>0.55148464439795997</v>
      </c>
      <c r="F387" s="303"/>
      <c r="G387" s="302">
        <v>0.11431172179293037</v>
      </c>
      <c r="H387" s="302">
        <v>7.8940257479950746E-2</v>
      </c>
      <c r="I387" s="302">
        <v>0.16084255801487984</v>
      </c>
      <c r="J387" s="302">
        <f>SUM(G387:I387)</f>
        <v>0.35409453728776097</v>
      </c>
      <c r="K387" s="303"/>
      <c r="L387" s="302">
        <v>9.2190210656183283E-2</v>
      </c>
      <c r="M387" s="302">
        <v>8.4484600666200838E-2</v>
      </c>
      <c r="N387" s="302">
        <v>0.20900626633841693</v>
      </c>
      <c r="O387" s="302">
        <f t="shared" si="170"/>
        <v>0.38568107766080106</v>
      </c>
    </row>
    <row r="388" spans="1:15" s="236" customFormat="1" x14ac:dyDescent="0.25">
      <c r="A388" s="237" t="str">
        <f>name!E$9</f>
        <v>Caring, leisure and other service occupations</v>
      </c>
      <c r="B388" s="302">
        <v>2.5914628480453823</v>
      </c>
      <c r="C388" s="302">
        <v>1.3948484200634992</v>
      </c>
      <c r="D388" s="302">
        <v>1.5665856767659663</v>
      </c>
      <c r="E388" s="302">
        <f t="shared" si="168"/>
        <v>5.5528969448748473</v>
      </c>
      <c r="F388" s="303"/>
      <c r="G388" s="302">
        <v>1.5615522448360748</v>
      </c>
      <c r="H388" s="302">
        <v>0.68588107231356654</v>
      </c>
      <c r="I388" s="302">
        <v>1.0794573653477175</v>
      </c>
      <c r="J388" s="302">
        <f t="shared" ref="J388:J391" si="171">SUM(G388:I388)</f>
        <v>3.3268906824973588</v>
      </c>
      <c r="K388" s="303"/>
      <c r="L388" s="302">
        <v>1.343736424919852</v>
      </c>
      <c r="M388" s="302">
        <v>0.35724687763748308</v>
      </c>
      <c r="N388" s="302">
        <v>1.0984253395641037</v>
      </c>
      <c r="O388" s="302">
        <f t="shared" si="170"/>
        <v>2.7994086421214388</v>
      </c>
    </row>
    <row r="389" spans="1:15" s="236" customFormat="1" x14ac:dyDescent="0.25">
      <c r="A389" s="237" t="str">
        <f>name!E$10</f>
        <v>Sales and customer service occupations</v>
      </c>
      <c r="B389" s="302">
        <v>0.24481779572452422</v>
      </c>
      <c r="C389" s="302">
        <v>0.28404802458605849</v>
      </c>
      <c r="D389" s="302">
        <v>0.16312785501671404</v>
      </c>
      <c r="E389" s="302">
        <f t="shared" si="168"/>
        <v>0.69199367532729672</v>
      </c>
      <c r="F389" s="303"/>
      <c r="G389" s="302">
        <v>0.15674703043170576</v>
      </c>
      <c r="H389" s="302">
        <v>0.22418303064936598</v>
      </c>
      <c r="I389" s="302">
        <v>9.2710254849098381E-2</v>
      </c>
      <c r="J389" s="302">
        <f t="shared" si="171"/>
        <v>0.47364031593017014</v>
      </c>
      <c r="K389" s="303"/>
      <c r="L389" s="302">
        <v>0.1522988965010082</v>
      </c>
      <c r="M389" s="302">
        <v>0.26969874960828827</v>
      </c>
      <c r="N389" s="302">
        <v>5.5657599627050088E-2</v>
      </c>
      <c r="O389" s="302">
        <f t="shared" si="170"/>
        <v>0.47765524573634655</v>
      </c>
    </row>
    <row r="390" spans="1:15" s="236" customFormat="1" x14ac:dyDescent="0.25">
      <c r="A390" s="237" t="str">
        <f>name!E$11</f>
        <v>Process, plant and machine operatives</v>
      </c>
      <c r="B390" s="302">
        <v>0.22305989851830163</v>
      </c>
      <c r="C390" s="302">
        <v>0.10029184799698328</v>
      </c>
      <c r="D390" s="302">
        <v>5.0299647999611639E-2</v>
      </c>
      <c r="E390" s="302">
        <f t="shared" si="168"/>
        <v>0.37365139451489654</v>
      </c>
      <c r="F390" s="303"/>
      <c r="G390" s="302">
        <v>0.10632463612078905</v>
      </c>
      <c r="H390" s="302">
        <v>6.6637970310142763E-2</v>
      </c>
      <c r="I390" s="302">
        <v>4.7346064914687742E-2</v>
      </c>
      <c r="J390" s="302">
        <f t="shared" si="171"/>
        <v>0.22030867134561954</v>
      </c>
      <c r="K390" s="303"/>
      <c r="L390" s="302">
        <v>8.5656521347169223E-2</v>
      </c>
      <c r="M390" s="302">
        <v>4.6042497967368423E-2</v>
      </c>
      <c r="N390" s="302">
        <v>3.0322923321539855E-2</v>
      </c>
      <c r="O390" s="302">
        <f t="shared" si="170"/>
        <v>0.1620219426360775</v>
      </c>
    </row>
    <row r="391" spans="1:15" s="236" customFormat="1" x14ac:dyDescent="0.25">
      <c r="A391" s="237" t="str">
        <f>name!E$12</f>
        <v>Elementary occupations</v>
      </c>
      <c r="B391" s="302">
        <v>0.55115950481837384</v>
      </c>
      <c r="C391" s="302">
        <v>0.64014658179371964</v>
      </c>
      <c r="D391" s="302">
        <v>0.32221104033469478</v>
      </c>
      <c r="E391" s="302">
        <f t="shared" si="168"/>
        <v>1.5135171269467882</v>
      </c>
      <c r="F391" s="303"/>
      <c r="G391" s="302">
        <v>0.2962469344770331</v>
      </c>
      <c r="H391" s="302">
        <v>0.45536787959041297</v>
      </c>
      <c r="I391" s="302">
        <v>0.17193301935682706</v>
      </c>
      <c r="J391" s="302">
        <f t="shared" si="171"/>
        <v>0.92354783342427316</v>
      </c>
      <c r="K391" s="303"/>
      <c r="L391" s="302">
        <v>0.3493388612862543</v>
      </c>
      <c r="M391" s="302">
        <v>0.25805773661028725</v>
      </c>
      <c r="N391" s="302">
        <v>0.12394180569506903</v>
      </c>
      <c r="O391" s="302">
        <f t="shared" si="170"/>
        <v>0.73133840359161062</v>
      </c>
    </row>
    <row r="392" spans="1:15" s="236" customFormat="1" x14ac:dyDescent="0.25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5">
      <c r="A393" s="244" t="s">
        <v>33</v>
      </c>
      <c r="B393" s="311">
        <f>SUM(B383:B391)</f>
        <v>7.4315456489216709</v>
      </c>
      <c r="C393" s="311">
        <f t="shared" ref="C393:E393" si="172">SUM(C383:C391)</f>
        <v>4.4337409152138392</v>
      </c>
      <c r="D393" s="311">
        <f t="shared" si="172"/>
        <v>4.5587134358644912</v>
      </c>
      <c r="E393" s="311">
        <f t="shared" si="172"/>
        <v>16.423999999999999</v>
      </c>
      <c r="F393" s="311"/>
      <c r="G393" s="311">
        <f t="shared" ref="G393:J393" si="173">SUM(G383:G391)</f>
        <v>5.6260368660754576</v>
      </c>
      <c r="H393" s="311">
        <f t="shared" si="173"/>
        <v>3.6446606925740843</v>
      </c>
      <c r="I393" s="311">
        <f t="shared" si="173"/>
        <v>3.6763024413504715</v>
      </c>
      <c r="J393" s="311">
        <f t="shared" si="173"/>
        <v>12.947000000000015</v>
      </c>
      <c r="K393" s="311"/>
      <c r="L393" s="311">
        <f t="shared" ref="L393:O393" si="174">SUM(L383:L391)</f>
        <v>5.5116692519939674</v>
      </c>
      <c r="M393" s="311">
        <f t="shared" si="174"/>
        <v>3.4625980430805163</v>
      </c>
      <c r="N393" s="311">
        <f t="shared" si="174"/>
        <v>3.6207327049255</v>
      </c>
      <c r="O393" s="311">
        <f t="shared" si="174"/>
        <v>12.594999999999983</v>
      </c>
    </row>
    <row r="394" spans="1:15" s="236" customFormat="1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Black Country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Black Country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Black Country</v>
      </c>
    </row>
    <row r="2" spans="1:32" ht="13" x14ac:dyDescent="0.3">
      <c r="A2" s="1" t="s">
        <v>521</v>
      </c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42.392720616000332</v>
      </c>
      <c r="C8" s="11">
        <f t="array" ref="C8:C16">MMULT(aggregation!$B$13:$AA$21,'Occ T2'!C8:C33)</f>
        <v>46.345148009577287</v>
      </c>
      <c r="D8" s="11">
        <f t="array" ref="D8:D16">MMULT(aggregation!$B$13:$AA$21,'Occ T2'!D8:D33)</f>
        <v>47.800367492375784</v>
      </c>
      <c r="E8" s="11">
        <f t="array" ref="E8:E16">MMULT(aggregation!$B$13:$AA$21,'Occ T2'!E8:E33)</f>
        <v>44.836824250943323</v>
      </c>
      <c r="F8" s="11">
        <f t="array" ref="F8:F16">MMULT(aggregation!$B$13:$AA$21,'Occ T2'!F8:F33)</f>
        <v>49.226179286534204</v>
      </c>
      <c r="G8" s="11"/>
      <c r="H8" s="11">
        <f>F8-D8</f>
        <v>1.4258117941584203</v>
      </c>
      <c r="I8" s="11">
        <f t="array" ref="I8:I16">MMULT(aggregation!$B$13:$AA$21,'Occ T2'!I8:I33)</f>
        <v>24.56122570183679</v>
      </c>
      <c r="J8" s="11">
        <f>SUM(H8:I8)</f>
        <v>25.98703749599521</v>
      </c>
      <c r="L8" s="10" t="str">
        <f>name!E4</f>
        <v>Managers, directors and senior officials</v>
      </c>
      <c r="M8" s="11">
        <f t="array" ref="M8:M16">MMULT(aggregation!$B$13:$AA$21,'Occ T2'!M8:M33)</f>
        <v>29.03422481858917</v>
      </c>
      <c r="N8" s="11">
        <f t="array" ref="N8:N16">MMULT(aggregation!$B$13:$AA$21,'Occ T2'!N8:N33)</f>
        <v>31.048103843759243</v>
      </c>
      <c r="O8" s="11">
        <f t="array" ref="O8:O16">MMULT(aggregation!$B$13:$AA$21,'Occ T2'!O8:O33)</f>
        <v>30.928185315803205</v>
      </c>
      <c r="P8" s="11">
        <f t="array" ref="P8:P16">MMULT(aggregation!$B$13:$AA$21,'Occ T2'!P8:P33)</f>
        <v>28.733859674322119</v>
      </c>
      <c r="Q8" s="11">
        <f t="array" ref="Q8:Q16">MMULT(aggregation!$B$13:$AA$21,'Occ T2'!Q8:Q33)</f>
        <v>30.570978228755941</v>
      </c>
      <c r="R8" s="11"/>
      <c r="S8" s="11">
        <f>Q8-O8</f>
        <v>-0.35720708704726434</v>
      </c>
      <c r="T8" s="11">
        <f t="array" ref="T8:T16">MMULT(aggregation!$B$13:$AA$21,'Occ T2'!T8:T33)</f>
        <v>14.1350101934393</v>
      </c>
      <c r="U8" s="11">
        <f>SUM(S8:T8)</f>
        <v>13.777803106392035</v>
      </c>
      <c r="W8" s="10" t="str">
        <f>name!E4</f>
        <v>Managers, directors and senior officials</v>
      </c>
      <c r="X8" s="11">
        <f t="array" ref="X8:X16">MMULT(aggregation!$B$13:$AA$21,'Occ T2'!X8:X33)</f>
        <v>13.35849579741118</v>
      </c>
      <c r="Y8" s="11">
        <f t="array" ref="Y8:Y16">MMULT(aggregation!$B$13:$AA$21,'Occ T2'!Y8:Y33)</f>
        <v>15.297044165818029</v>
      </c>
      <c r="Z8" s="11">
        <f t="array" ref="Z8:Z16">MMULT(aggregation!$B$13:$AA$21,'Occ T2'!Z8:Z33)</f>
        <v>16.872182176572622</v>
      </c>
      <c r="AA8" s="11">
        <f t="array" ref="AA8:AA16">MMULT(aggregation!$B$13:$AA$21,'Occ T2'!AA8:AA33)</f>
        <v>16.102964576621162</v>
      </c>
      <c r="AB8" s="11">
        <f t="array" ref="AB8:AB16">MMULT(aggregation!$B$13:$AA$21,'Occ T2'!AB8:AB33)</f>
        <v>18.65520105777825</v>
      </c>
      <c r="AC8" s="11"/>
      <c r="AD8" s="11">
        <f>AB8-Z8</f>
        <v>1.7830188812056278</v>
      </c>
      <c r="AE8" s="11">
        <f t="array" ref="AE8:AE16">MMULT(aggregation!$B$13:$AA$21,'Occ T2'!AE8:AE33)</f>
        <v>10.42621550839749</v>
      </c>
      <c r="AF8" s="11">
        <f>SUM(AD8:AE8)</f>
        <v>12.209234389603118</v>
      </c>
    </row>
    <row r="9" spans="1:32" x14ac:dyDescent="0.25">
      <c r="A9" t="str">
        <f>name!E5</f>
        <v>Professional occupations</v>
      </c>
      <c r="B9" s="11">
        <v>87.713907644760383</v>
      </c>
      <c r="C9" s="11">
        <v>99.060176549524812</v>
      </c>
      <c r="D9" s="11">
        <v>103.54383323968845</v>
      </c>
      <c r="E9" s="11">
        <v>109.96238805392818</v>
      </c>
      <c r="F9" s="11">
        <v>121.73921749855063</v>
      </c>
      <c r="G9" s="11"/>
      <c r="H9" s="11">
        <f t="shared" ref="H9:H16" si="0">F9-D9</f>
        <v>18.195384258862177</v>
      </c>
      <c r="I9" s="11">
        <v>52.099383225590579</v>
      </c>
      <c r="J9" s="11">
        <f t="shared" ref="J9:J15" si="1">SUM(H9:I9)</f>
        <v>70.294767484452763</v>
      </c>
      <c r="L9" s="10" t="str">
        <f>name!E5</f>
        <v>Professional occupations</v>
      </c>
      <c r="M9" s="11">
        <v>45.534461167396955</v>
      </c>
      <c r="N9" s="11">
        <v>49.460621452471045</v>
      </c>
      <c r="O9" s="11">
        <v>52.03954602942629</v>
      </c>
      <c r="P9" s="11">
        <v>56.901704212382512</v>
      </c>
      <c r="Q9" s="11">
        <v>61.765844131556364</v>
      </c>
      <c r="R9" s="11"/>
      <c r="S9" s="11">
        <f t="shared" ref="S9:S16" si="2">Q9-O9</f>
        <v>9.7262981021300732</v>
      </c>
      <c r="T9" s="11">
        <v>21.656078037526985</v>
      </c>
      <c r="U9" s="11">
        <f t="shared" ref="U9:U12" si="3">SUM(S9:T9)</f>
        <v>31.382376139657058</v>
      </c>
      <c r="W9" s="10" t="str">
        <f>name!E5</f>
        <v>Professional occupations</v>
      </c>
      <c r="X9" s="11">
        <v>42.179446477363356</v>
      </c>
      <c r="Y9" s="11">
        <v>49.599555097053823</v>
      </c>
      <c r="Z9" s="11">
        <v>51.50428721026222</v>
      </c>
      <c r="AA9" s="11">
        <v>53.06068384154554</v>
      </c>
      <c r="AB9" s="11">
        <v>59.973373366994288</v>
      </c>
      <c r="AC9" s="11"/>
      <c r="AD9" s="11">
        <f t="shared" ref="AD9:AD16" si="4">AB9-Z9</f>
        <v>8.4690861567320681</v>
      </c>
      <c r="AE9" s="11">
        <v>30.44330518806359</v>
      </c>
      <c r="AF9" s="11">
        <f t="shared" ref="AF9:AF12" si="5">SUM(AD9:AE9)</f>
        <v>38.912391344795658</v>
      </c>
    </row>
    <row r="10" spans="1:32" x14ac:dyDescent="0.25">
      <c r="A10" t="str">
        <f>name!E6</f>
        <v>Associate professional occupations</v>
      </c>
      <c r="B10" s="11">
        <v>56.127385363836439</v>
      </c>
      <c r="C10" s="11">
        <v>58.716382031893609</v>
      </c>
      <c r="D10" s="11">
        <v>60.815602010650593</v>
      </c>
      <c r="E10" s="11">
        <v>65.159050767565844</v>
      </c>
      <c r="F10" s="11">
        <v>71.509944652399085</v>
      </c>
      <c r="G10" s="11"/>
      <c r="H10" s="11">
        <f t="shared" si="0"/>
        <v>10.694342641748491</v>
      </c>
      <c r="I10" s="11">
        <v>31.730265288706448</v>
      </c>
      <c r="J10" s="11">
        <f t="shared" si="1"/>
        <v>42.42460793045494</v>
      </c>
      <c r="L10" s="10" t="str">
        <f>name!E6</f>
        <v>Associate professional occupations</v>
      </c>
      <c r="M10" s="11">
        <v>31.445207367233628</v>
      </c>
      <c r="N10" s="11">
        <v>31.637672918534637</v>
      </c>
      <c r="O10" s="11">
        <v>32.841082078951317</v>
      </c>
      <c r="P10" s="11">
        <v>31.608472926207263</v>
      </c>
      <c r="Q10" s="11">
        <v>32.455914389961976</v>
      </c>
      <c r="R10" s="11"/>
      <c r="S10" s="11">
        <f t="shared" si="2"/>
        <v>-0.38516768898934117</v>
      </c>
      <c r="T10" s="11">
        <v>12.193266257651954</v>
      </c>
      <c r="U10" s="11">
        <f t="shared" si="3"/>
        <v>11.808098568662613</v>
      </c>
      <c r="W10" s="10" t="str">
        <f>name!E6</f>
        <v>Associate professional occupations</v>
      </c>
      <c r="X10" s="11">
        <v>24.682177996602789</v>
      </c>
      <c r="Y10" s="11">
        <v>27.078709113358961</v>
      </c>
      <c r="Z10" s="11">
        <v>27.974519931699263</v>
      </c>
      <c r="AA10" s="11">
        <v>33.550577841358603</v>
      </c>
      <c r="AB10" s="11">
        <v>39.054030262437109</v>
      </c>
      <c r="AC10" s="11"/>
      <c r="AD10" s="11">
        <f t="shared" si="4"/>
        <v>11.079510330737847</v>
      </c>
      <c r="AE10" s="11">
        <v>19.536999031054499</v>
      </c>
      <c r="AF10" s="11">
        <f t="shared" si="5"/>
        <v>30.616509361792346</v>
      </c>
    </row>
    <row r="11" spans="1:32" x14ac:dyDescent="0.25">
      <c r="A11" t="str">
        <f>name!E7</f>
        <v>Administrative and secretarial occupations</v>
      </c>
      <c r="B11" s="11">
        <v>60.137952735863799</v>
      </c>
      <c r="C11" s="11">
        <v>54.660014915246499</v>
      </c>
      <c r="D11" s="11">
        <v>56.47840028321459</v>
      </c>
      <c r="E11" s="11">
        <v>57.502694930725809</v>
      </c>
      <c r="F11" s="11">
        <v>53.527270896017249</v>
      </c>
      <c r="G11" s="11"/>
      <c r="H11" s="11">
        <f t="shared" si="0"/>
        <v>-2.9511293871973407</v>
      </c>
      <c r="I11" s="11">
        <v>28.233224777946248</v>
      </c>
      <c r="J11" s="11">
        <f t="shared" si="1"/>
        <v>25.282095390748907</v>
      </c>
      <c r="L11" s="10" t="str">
        <f>name!E7</f>
        <v>Administrative and secretarial occupations</v>
      </c>
      <c r="M11" s="11">
        <v>16.59794853010651</v>
      </c>
      <c r="N11" s="11">
        <v>14.301103892386752</v>
      </c>
      <c r="O11" s="11">
        <v>16.946842163081747</v>
      </c>
      <c r="P11" s="11">
        <v>18.183949653365826</v>
      </c>
      <c r="Q11" s="11">
        <v>20.373310794522293</v>
      </c>
      <c r="R11" s="11"/>
      <c r="S11" s="11">
        <f t="shared" si="2"/>
        <v>3.4264686314405459</v>
      </c>
      <c r="T11" s="11">
        <v>7.1209913912563731</v>
      </c>
      <c r="U11" s="11">
        <f t="shared" si="3"/>
        <v>10.547460022696919</v>
      </c>
      <c r="W11" s="10" t="str">
        <f>name!E7</f>
        <v>Administrative and secretarial occupations</v>
      </c>
      <c r="X11" s="11">
        <v>43.540004205757398</v>
      </c>
      <c r="Y11" s="11">
        <v>40.358911022859743</v>
      </c>
      <c r="Z11" s="11">
        <v>39.531558120132821</v>
      </c>
      <c r="AA11" s="11">
        <v>39.318745277360016</v>
      </c>
      <c r="AB11" s="11">
        <v>33.153960101494924</v>
      </c>
      <c r="AC11" s="11"/>
      <c r="AD11" s="11">
        <f t="shared" si="4"/>
        <v>-6.3775980186378973</v>
      </c>
      <c r="AE11" s="11">
        <v>21.112233386689876</v>
      </c>
      <c r="AF11" s="11">
        <f t="shared" si="5"/>
        <v>14.734635368051979</v>
      </c>
    </row>
    <row r="12" spans="1:32" x14ac:dyDescent="0.25">
      <c r="A12" t="str">
        <f>name!E8</f>
        <v>Skilled trades occupations</v>
      </c>
      <c r="B12" s="11">
        <v>61.298727794930358</v>
      </c>
      <c r="C12" s="11">
        <v>61.93589069766864</v>
      </c>
      <c r="D12" s="11">
        <v>52.232847099052961</v>
      </c>
      <c r="E12" s="11">
        <v>51.034079797086527</v>
      </c>
      <c r="F12" s="11">
        <v>46.762923727753545</v>
      </c>
      <c r="G12" s="11"/>
      <c r="H12" s="11">
        <f t="shared" si="0"/>
        <v>-5.4699233712994157</v>
      </c>
      <c r="I12" s="11">
        <v>20.361626507675577</v>
      </c>
      <c r="J12" s="11">
        <f t="shared" si="1"/>
        <v>14.891703136376162</v>
      </c>
      <c r="L12" s="10" t="str">
        <f>name!E8</f>
        <v>Skilled trades occupations</v>
      </c>
      <c r="M12" s="11">
        <v>56.754509224207411</v>
      </c>
      <c r="N12" s="11">
        <v>57.607674779367684</v>
      </c>
      <c r="O12" s="11">
        <v>47.54750237002817</v>
      </c>
      <c r="P12" s="11">
        <v>46.152528466609084</v>
      </c>
      <c r="Q12" s="11">
        <v>41.679606455520677</v>
      </c>
      <c r="R12" s="11"/>
      <c r="S12" s="11">
        <f t="shared" si="2"/>
        <v>-5.8678959145074927</v>
      </c>
      <c r="T12" s="11">
        <v>17.470493525642475</v>
      </c>
      <c r="U12" s="11">
        <f t="shared" si="3"/>
        <v>11.602597611134982</v>
      </c>
      <c r="W12" s="10" t="str">
        <f>name!E8</f>
        <v>Skilled trades occupations</v>
      </c>
      <c r="X12" s="11">
        <v>4.5442185707229337</v>
      </c>
      <c r="Y12" s="11">
        <v>4.3282159183009998</v>
      </c>
      <c r="Z12" s="11">
        <v>4.6853447290247949</v>
      </c>
      <c r="AA12" s="11">
        <v>4.8815513304774214</v>
      </c>
      <c r="AB12" s="11">
        <v>5.0833172722328834</v>
      </c>
      <c r="AC12" s="11"/>
      <c r="AD12" s="11">
        <f t="shared" si="4"/>
        <v>0.3979725432080885</v>
      </c>
      <c r="AE12" s="11">
        <v>2.8911329820330995</v>
      </c>
      <c r="AF12" s="11">
        <f t="shared" si="5"/>
        <v>3.289105525241188</v>
      </c>
    </row>
    <row r="13" spans="1:32" x14ac:dyDescent="0.25">
      <c r="A13" t="str">
        <f>name!E9</f>
        <v>Caring, leisure and other service occupations</v>
      </c>
      <c r="B13" s="11">
        <v>50.478192628686543</v>
      </c>
      <c r="C13" s="11">
        <v>51.457710511437895</v>
      </c>
      <c r="D13" s="11">
        <v>49.337956426134348</v>
      </c>
      <c r="E13" s="11">
        <v>50.297533097424598</v>
      </c>
      <c r="F13" s="11">
        <v>53.919691330747085</v>
      </c>
      <c r="G13" s="11"/>
      <c r="H13" s="11">
        <f t="shared" si="0"/>
        <v>4.5817349046127376</v>
      </c>
      <c r="I13" s="11">
        <v>28.655182651565259</v>
      </c>
      <c r="J13" s="11">
        <f>SUM(H13:I13)</f>
        <v>33.236917556178</v>
      </c>
      <c r="L13" s="10" t="str">
        <f>name!E9</f>
        <v>Caring, leisure and other service occupations</v>
      </c>
      <c r="M13" s="11">
        <v>7.6489928676305334</v>
      </c>
      <c r="N13" s="11">
        <v>7.5516485551120986</v>
      </c>
      <c r="O13" s="11">
        <v>7.3493018432232056</v>
      </c>
      <c r="P13" s="11">
        <v>7.8807129768765281</v>
      </c>
      <c r="Q13" s="11">
        <v>8.6698098845315457</v>
      </c>
      <c r="R13" s="11"/>
      <c r="S13" s="11">
        <f t="shared" si="2"/>
        <v>1.3205080413083401</v>
      </c>
      <c r="T13" s="11">
        <v>3.5229494190006441</v>
      </c>
      <c r="U13" s="11">
        <f>SUM(S13:T13)</f>
        <v>4.8434574603089846</v>
      </c>
      <c r="W13" s="10" t="str">
        <f>name!E9</f>
        <v>Caring, leisure and other service occupations</v>
      </c>
      <c r="X13" s="11">
        <v>42.829199761056003</v>
      </c>
      <c r="Y13" s="11">
        <v>43.906061956325814</v>
      </c>
      <c r="Z13" s="11">
        <v>41.988654582911131</v>
      </c>
      <c r="AA13" s="11">
        <v>42.416820120548081</v>
      </c>
      <c r="AB13" s="11">
        <v>45.249881446215547</v>
      </c>
      <c r="AC13" s="11"/>
      <c r="AD13" s="11">
        <f t="shared" si="4"/>
        <v>3.2612268633044152</v>
      </c>
      <c r="AE13" s="11">
        <v>25.132233232564616</v>
      </c>
      <c r="AF13" s="11">
        <f>SUM(AD13:AE13)</f>
        <v>28.393460095869031</v>
      </c>
    </row>
    <row r="14" spans="1:32" x14ac:dyDescent="0.25">
      <c r="A14" t="str">
        <f>name!E10</f>
        <v>Sales and customer service occupations</v>
      </c>
      <c r="B14" s="11">
        <v>43.312490842090227</v>
      </c>
      <c r="C14" s="11">
        <v>39.584257231886966</v>
      </c>
      <c r="D14" s="11">
        <v>39.339785940793128</v>
      </c>
      <c r="E14" s="11">
        <v>39.372468047859556</v>
      </c>
      <c r="F14" s="11">
        <v>39.081082804049579</v>
      </c>
      <c r="G14" s="11"/>
      <c r="H14" s="11">
        <f t="shared" si="0"/>
        <v>-0.25870313674354861</v>
      </c>
      <c r="I14" s="11">
        <v>17.810894777395994</v>
      </c>
      <c r="J14" s="11">
        <f t="shared" si="1"/>
        <v>17.552191640652445</v>
      </c>
      <c r="L14" s="10" t="str">
        <f>name!E10</f>
        <v>Sales and customer service occupations</v>
      </c>
      <c r="M14" s="11">
        <v>17.699134073339792</v>
      </c>
      <c r="N14" s="11">
        <v>16.267488273262138</v>
      </c>
      <c r="O14" s="11">
        <v>16.721380568434249</v>
      </c>
      <c r="P14" s="11">
        <v>17.445617177689833</v>
      </c>
      <c r="Q14" s="11">
        <v>17.778444960888887</v>
      </c>
      <c r="R14" s="11"/>
      <c r="S14" s="11">
        <f t="shared" si="2"/>
        <v>1.0570643924546381</v>
      </c>
      <c r="T14" s="11">
        <v>5.785349229809178</v>
      </c>
      <c r="U14" s="11">
        <f t="shared" ref="U14:U15" si="6">SUM(S14:T14)</f>
        <v>6.8424136222638161</v>
      </c>
      <c r="W14" s="10" t="str">
        <f>name!E10</f>
        <v>Sales and customer service occupations</v>
      </c>
      <c r="X14" s="11">
        <v>25.61335676875046</v>
      </c>
      <c r="Y14" s="11">
        <v>23.316768958624813</v>
      </c>
      <c r="Z14" s="11">
        <v>22.618405372358861</v>
      </c>
      <c r="AA14" s="11">
        <v>21.926850870169652</v>
      </c>
      <c r="AB14" s="11">
        <v>21.302637843160699</v>
      </c>
      <c r="AC14" s="11"/>
      <c r="AD14" s="11">
        <f t="shared" si="4"/>
        <v>-1.3157675291981619</v>
      </c>
      <c r="AE14" s="11">
        <v>12.02554554758682</v>
      </c>
      <c r="AF14" s="11">
        <f t="shared" ref="AF14:AF15" si="7">SUM(AD14:AE14)</f>
        <v>10.709778018388658</v>
      </c>
    </row>
    <row r="15" spans="1:32" x14ac:dyDescent="0.25">
      <c r="A15" t="str">
        <f>name!E11</f>
        <v>Process, plant and machine operatives</v>
      </c>
      <c r="B15" s="11">
        <v>47.140684059777129</v>
      </c>
      <c r="C15" s="11">
        <v>46.572468845695909</v>
      </c>
      <c r="D15" s="11">
        <v>40.358374305998041</v>
      </c>
      <c r="E15" s="11">
        <v>41.728305575825772</v>
      </c>
      <c r="F15" s="11">
        <v>40.199737732609378</v>
      </c>
      <c r="G15" s="11"/>
      <c r="H15" s="11">
        <f t="shared" si="0"/>
        <v>-0.15863657338866233</v>
      </c>
      <c r="I15" s="11">
        <v>19.468422812814641</v>
      </c>
      <c r="J15" s="11">
        <f t="shared" si="1"/>
        <v>19.309786239425978</v>
      </c>
      <c r="L15" s="10" t="str">
        <f>name!E11</f>
        <v>Process, plant and machine operatives</v>
      </c>
      <c r="M15" s="11">
        <v>41.541071156937718</v>
      </c>
      <c r="N15" s="11">
        <v>40.6978616531879</v>
      </c>
      <c r="O15" s="11">
        <v>35.308709081343153</v>
      </c>
      <c r="P15" s="11">
        <v>35.713046846558441</v>
      </c>
      <c r="Q15" s="11">
        <v>34.024566162099731</v>
      </c>
      <c r="R15" s="11"/>
      <c r="S15" s="11">
        <f t="shared" si="2"/>
        <v>-1.2841429192434219</v>
      </c>
      <c r="T15" s="11">
        <v>16.219693631266729</v>
      </c>
      <c r="U15" s="11">
        <f t="shared" si="6"/>
        <v>14.935550712023307</v>
      </c>
      <c r="W15" s="10" t="str">
        <f>name!E11</f>
        <v>Process, plant and machine operatives</v>
      </c>
      <c r="X15" s="11">
        <v>5.5996129028394144</v>
      </c>
      <c r="Y15" s="11">
        <v>5.8746071925080576</v>
      </c>
      <c r="Z15" s="11">
        <v>5.0496652246549001</v>
      </c>
      <c r="AA15" s="11">
        <v>6.0152587292673356</v>
      </c>
      <c r="AB15" s="11">
        <v>6.1751715705096224</v>
      </c>
      <c r="AC15" s="11"/>
      <c r="AD15" s="11">
        <f t="shared" si="4"/>
        <v>1.1255063458547223</v>
      </c>
      <c r="AE15" s="11">
        <v>3.2487291815479109</v>
      </c>
      <c r="AF15" s="11">
        <f t="shared" si="7"/>
        <v>4.3742355274026332</v>
      </c>
    </row>
    <row r="16" spans="1:32" x14ac:dyDescent="0.25">
      <c r="A16" t="str">
        <f>name!E12</f>
        <v>Elementary occupations</v>
      </c>
      <c r="B16" s="11">
        <v>56.959938314054895</v>
      </c>
      <c r="C16" s="11">
        <v>51.598951207068083</v>
      </c>
      <c r="D16" s="11">
        <v>46.286833202091827</v>
      </c>
      <c r="E16" s="11">
        <v>48.234655478640505</v>
      </c>
      <c r="F16" s="11">
        <v>45.977952071338812</v>
      </c>
      <c r="G16" s="11"/>
      <c r="H16" s="11">
        <f t="shared" si="0"/>
        <v>-0.30888113075301504</v>
      </c>
      <c r="I16" s="11">
        <v>22.797987863335656</v>
      </c>
      <c r="J16" s="11">
        <f>SUM(H16:I16)</f>
        <v>22.489106732582641</v>
      </c>
      <c r="L16" s="10" t="str">
        <f>name!E12</f>
        <v>Elementary occupations</v>
      </c>
      <c r="M16" s="11">
        <v>32.217453269733966</v>
      </c>
      <c r="N16" s="11">
        <v>27.32955702792961</v>
      </c>
      <c r="O16" s="11">
        <v>25.416854953849867</v>
      </c>
      <c r="P16" s="11">
        <v>27.25507453503343</v>
      </c>
      <c r="Q16" s="11">
        <v>26.125992998296034</v>
      </c>
      <c r="R16" s="11"/>
      <c r="S16" s="11">
        <f t="shared" si="2"/>
        <v>0.70913804444616702</v>
      </c>
      <c r="T16" s="11">
        <v>10.235966576542829</v>
      </c>
      <c r="U16" s="11">
        <f>SUM(S16:T16)</f>
        <v>10.945104620988996</v>
      </c>
      <c r="W16" s="10" t="str">
        <f>name!E12</f>
        <v>Elementary occupations</v>
      </c>
      <c r="X16" s="11">
        <v>24.742485044320905</v>
      </c>
      <c r="Y16" s="11">
        <v>24.26939417913848</v>
      </c>
      <c r="Z16" s="11">
        <v>20.869978248242013</v>
      </c>
      <c r="AA16" s="11">
        <v>20.979580943607111</v>
      </c>
      <c r="AB16" s="11">
        <v>19.851959073042799</v>
      </c>
      <c r="AC16" s="11"/>
      <c r="AD16" s="11">
        <f t="shared" si="4"/>
        <v>-1.018019175199214</v>
      </c>
      <c r="AE16" s="11">
        <v>12.562021286792834</v>
      </c>
      <c r="AF16" s="11">
        <f>SUM(AD16:AE16)</f>
        <v>11.54400211159362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4" t="str">
        <f>name!E3</f>
        <v>All occupations</v>
      </c>
      <c r="B18" s="34">
        <f>SUM(B8:B16)</f>
        <v>505.56200000000013</v>
      </c>
      <c r="C18" s="34">
        <f>SUM(C8:C16)</f>
        <v>509.93099999999964</v>
      </c>
      <c r="D18" s="34">
        <f>SUM(D8:D16)</f>
        <v>496.19399999999968</v>
      </c>
      <c r="E18" s="34">
        <f>SUM(E8:E16)</f>
        <v>508.1280000000001</v>
      </c>
      <c r="F18" s="34">
        <f>SUM(F8:F16)</f>
        <v>521.94399999999951</v>
      </c>
      <c r="G18" s="11"/>
      <c r="H18" s="34">
        <f>SUM(H8:H16)</f>
        <v>25.749999999999844</v>
      </c>
      <c r="I18" s="34">
        <f>SUM(I8:I16)</f>
        <v>245.71821360686721</v>
      </c>
      <c r="J18" s="34">
        <f>SUM(H18:I18)</f>
        <v>271.46821360686704</v>
      </c>
      <c r="L18" s="231" t="str">
        <f>name!E3</f>
        <v>All occupations</v>
      </c>
      <c r="M18" s="34">
        <f>SUM(M8:M16)</f>
        <v>278.47300247517569</v>
      </c>
      <c r="N18" s="34">
        <f>SUM(N8:N16)</f>
        <v>275.90173239601108</v>
      </c>
      <c r="O18" s="34">
        <f>SUM(O8:O16)</f>
        <v>265.09940440414124</v>
      </c>
      <c r="P18" s="34">
        <f>SUM(P8:P16)</f>
        <v>269.87496646904503</v>
      </c>
      <c r="Q18" s="34">
        <f>SUM(Q8:Q16)</f>
        <v>273.44446800613349</v>
      </c>
      <c r="R18" s="11"/>
      <c r="S18" s="34">
        <f>SUM(S8:S16)</f>
        <v>8.3450636019922442</v>
      </c>
      <c r="T18" s="34">
        <f>SUM(T8:T16)</f>
        <v>108.33979826213647</v>
      </c>
      <c r="U18" s="34">
        <f>SUM(S18:T18)</f>
        <v>116.68486186412872</v>
      </c>
      <c r="W18" s="231" t="str">
        <f>name!E3</f>
        <v>All occupations</v>
      </c>
      <c r="X18" s="34">
        <f>SUM(X8:X16)</f>
        <v>227.08899752482446</v>
      </c>
      <c r="Y18" s="34">
        <f>SUM(Y8:Y16)</f>
        <v>234.0292676039887</v>
      </c>
      <c r="Z18" s="34">
        <f>SUM(Z8:Z16)</f>
        <v>231.09459559585861</v>
      </c>
      <c r="AA18" s="34">
        <f>SUM(AA8:AA16)</f>
        <v>238.25303353095495</v>
      </c>
      <c r="AB18" s="34">
        <f>SUM(AB8:AB16)</f>
        <v>248.49953199386613</v>
      </c>
      <c r="AC18" s="11"/>
      <c r="AD18" s="34">
        <f>SUM(AD8:AD16)</f>
        <v>17.404936398007493</v>
      </c>
      <c r="AE18" s="34">
        <f>SUM(AE8:AE16)</f>
        <v>137.37841534473074</v>
      </c>
      <c r="AF18" s="34">
        <f>SUM(AD18:AE18)</f>
        <v>154.78335174273823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ht="13" x14ac:dyDescent="0.3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18">
        <f t="shared" ref="B26:F34" si="8">B8/B$18*100</f>
        <v>8.3852664195490014</v>
      </c>
      <c r="C26" s="18">
        <f t="shared" si="8"/>
        <v>9.0885135458674444</v>
      </c>
      <c r="D26" s="18">
        <f t="shared" si="8"/>
        <v>9.6334029618205399</v>
      </c>
      <c r="E26" s="18">
        <f t="shared" si="8"/>
        <v>8.8239231553748887</v>
      </c>
      <c r="F26" s="18">
        <f t="shared" si="8"/>
        <v>9.4313143338239822</v>
      </c>
      <c r="G26" s="11"/>
      <c r="H26" s="40">
        <f>IF(D8&gt;0,(H8/D8)*100,0)</f>
        <v>2.982846929756009</v>
      </c>
      <c r="I26" s="40">
        <f>IF(D8&gt;0,(I8/D8)*100,0)</f>
        <v>51.38292232952881</v>
      </c>
      <c r="J26" s="40">
        <f>IF(D8&gt;0,(J8/D8)*100,0)</f>
        <v>54.365769259284825</v>
      </c>
      <c r="L26" t="str">
        <f>$A$8</f>
        <v>Managers, directors and senior officials</v>
      </c>
      <c r="M26" s="18">
        <f t="shared" ref="M26:Q26" si="9">M8/M$18*100</f>
        <v>10.426226083146933</v>
      </c>
      <c r="N26" s="18">
        <f t="shared" si="9"/>
        <v>11.253319641790016</v>
      </c>
      <c r="O26" s="18">
        <f t="shared" si="9"/>
        <v>11.666637043308295</v>
      </c>
      <c r="P26" s="18">
        <f t="shared" si="9"/>
        <v>10.647100785325312</v>
      </c>
      <c r="Q26" s="18">
        <f t="shared" si="9"/>
        <v>11.179958567700925</v>
      </c>
      <c r="R26" s="11"/>
      <c r="S26" s="40">
        <f>IF(O8&gt;0,(S8/O8)*100,0)</f>
        <v>-1.1549565013267824</v>
      </c>
      <c r="T26" s="40">
        <f>IF(O8&gt;0,(T8/O8)*100,0)</f>
        <v>45.702682032937801</v>
      </c>
      <c r="U26" s="40">
        <f>IF(O8&gt;0,(U8/O8)*100,0)</f>
        <v>44.547725531611022</v>
      </c>
      <c r="W26" t="str">
        <f>$A$8</f>
        <v>Managers, directors and senior officials</v>
      </c>
      <c r="X26" s="18">
        <f t="shared" ref="X26:AB26" si="10">X8/X$18*100</f>
        <v>5.8824936227704665</v>
      </c>
      <c r="Y26" s="18">
        <f t="shared" si="10"/>
        <v>6.5363808221212887</v>
      </c>
      <c r="Z26" s="18">
        <f t="shared" si="10"/>
        <v>7.3009851801462826</v>
      </c>
      <c r="AA26" s="18">
        <f t="shared" si="10"/>
        <v>6.7587658121167165</v>
      </c>
      <c r="AB26" s="18">
        <f t="shared" si="10"/>
        <v>7.5071373004592727</v>
      </c>
      <c r="AC26" s="11"/>
      <c r="AD26" s="40">
        <f>IF(Z8&gt;0,(AD8/Z8)*100,0)</f>
        <v>10.567802448703919</v>
      </c>
      <c r="AE26" s="40">
        <f>IF(Z8&gt;0,(AE8/Z8)*100,0)</f>
        <v>61.795299501178391</v>
      </c>
      <c r="AF26" s="40">
        <f>IF(Z8&gt;0,(AF8/Z8)*100,0)</f>
        <v>72.363101949882306</v>
      </c>
    </row>
    <row r="27" spans="1:32" x14ac:dyDescent="0.25">
      <c r="A27" t="str">
        <f>$A$9</f>
        <v>Professional occupations</v>
      </c>
      <c r="B27" s="18">
        <f t="shared" si="8"/>
        <v>17.349782547889351</v>
      </c>
      <c r="C27" s="18">
        <f t="shared" si="8"/>
        <v>19.426192278862214</v>
      </c>
      <c r="D27" s="18">
        <f t="shared" si="8"/>
        <v>20.867610902124678</v>
      </c>
      <c r="E27" s="18">
        <f t="shared" si="8"/>
        <v>21.640686609265416</v>
      </c>
      <c r="F27" s="18">
        <f t="shared" si="8"/>
        <v>23.32419138807051</v>
      </c>
      <c r="G27" s="11"/>
      <c r="H27" s="40">
        <f t="shared" ref="H27:H36" si="11">IF(D9&gt;0,(H9/D9)*100,0)</f>
        <v>17.572639228782066</v>
      </c>
      <c r="I27" s="40">
        <f t="shared" ref="I27:I36" si="12">IF(D9&gt;0,(I9/D9)*100,0)</f>
        <v>50.316258917118041</v>
      </c>
      <c r="J27" s="40">
        <f t="shared" ref="J27:J36" si="13">IF(D9&gt;0,(J9/D9)*100,0)</f>
        <v>67.888898145900114</v>
      </c>
      <c r="L27" t="str">
        <f>$A$9</f>
        <v>Professional occupations</v>
      </c>
      <c r="M27" s="18">
        <f t="shared" ref="M27:Q27" si="14">M9/M$18*100</f>
        <v>16.351481386945615</v>
      </c>
      <c r="N27" s="18">
        <f t="shared" si="14"/>
        <v>17.926897748318066</v>
      </c>
      <c r="O27" s="18">
        <f t="shared" si="14"/>
        <v>19.630201035869757</v>
      </c>
      <c r="P27" s="18">
        <f t="shared" si="14"/>
        <v>21.084469210636918</v>
      </c>
      <c r="Q27" s="18">
        <f t="shared" si="14"/>
        <v>22.588075956311148</v>
      </c>
      <c r="R27" s="11"/>
      <c r="S27" s="40">
        <f t="shared" ref="S27:S34" si="15">IF(O9&gt;0,(S9/O9)*100,0)</f>
        <v>18.690205515302228</v>
      </c>
      <c r="T27" s="40">
        <f t="shared" ref="T27:T34" si="16">IF(O9&gt;0,(T9/O9)*100,0)</f>
        <v>41.614655948922639</v>
      </c>
      <c r="U27" s="40">
        <f t="shared" ref="U27:U34" si="17">IF(O9&gt;0,(U9/O9)*100,0)</f>
        <v>60.304861464224871</v>
      </c>
      <c r="W27" t="str">
        <f>$A$9</f>
        <v>Professional occupations</v>
      </c>
      <c r="X27" s="18">
        <f t="shared" ref="X27:AB27" si="18">X9/X$18*100</f>
        <v>18.573971851169262</v>
      </c>
      <c r="Y27" s="18">
        <f t="shared" si="18"/>
        <v>21.193740255164766</v>
      </c>
      <c r="Z27" s="18">
        <f t="shared" si="18"/>
        <v>22.287101555734182</v>
      </c>
      <c r="AA27" s="18">
        <f t="shared" si="18"/>
        <v>22.270727493025454</v>
      </c>
      <c r="AB27" s="18">
        <f t="shared" si="18"/>
        <v>24.134199724961512</v>
      </c>
      <c r="AC27" s="11"/>
      <c r="AD27" s="40">
        <f t="shared" ref="AD27:AD34" si="19">IF(Z9&gt;0,(AD9/Z9)*100,0)</f>
        <v>16.443458623468928</v>
      </c>
      <c r="AE27" s="40">
        <f t="shared" ref="AE27:AE34" si="20">IF(Z9&gt;0,(AE9/Z9)*100,0)</f>
        <v>59.108293381056185</v>
      </c>
      <c r="AF27" s="40">
        <f t="shared" ref="AF27:AF34" si="21">IF(Z9&gt;0,(AF9/Z9)*100,0)</f>
        <v>75.551752004525113</v>
      </c>
    </row>
    <row r="28" spans="1:32" x14ac:dyDescent="0.25">
      <c r="A28" t="str">
        <f>$A$10</f>
        <v>Associate professional occupations</v>
      </c>
      <c r="B28" s="18">
        <f t="shared" si="8"/>
        <v>11.101978662129754</v>
      </c>
      <c r="C28" s="18">
        <f t="shared" si="8"/>
        <v>11.514573938806162</v>
      </c>
      <c r="D28" s="18">
        <f t="shared" si="8"/>
        <v>12.256416242568559</v>
      </c>
      <c r="E28" s="18">
        <f t="shared" si="8"/>
        <v>12.823353715513775</v>
      </c>
      <c r="F28" s="18">
        <f t="shared" si="8"/>
        <v>13.7006929196234</v>
      </c>
      <c r="G28" s="11"/>
      <c r="H28" s="40">
        <f t="shared" si="11"/>
        <v>17.58486685682335</v>
      </c>
      <c r="I28" s="40">
        <f t="shared" si="12"/>
        <v>52.174547714169719</v>
      </c>
      <c r="J28" s="40">
        <f t="shared" si="13"/>
        <v>69.759414570993059</v>
      </c>
      <c r="L28" t="str">
        <f>$A$10</f>
        <v>Associate professional occupations</v>
      </c>
      <c r="M28" s="18">
        <f t="shared" ref="M28:Q28" si="22">M10/M$18*100</f>
        <v>11.292012901694767</v>
      </c>
      <c r="N28" s="18">
        <f t="shared" si="22"/>
        <v>11.467007707339807</v>
      </c>
      <c r="O28" s="18">
        <f t="shared" si="22"/>
        <v>12.388214206956661</v>
      </c>
      <c r="P28" s="18">
        <f t="shared" si="22"/>
        <v>11.71226562424892</v>
      </c>
      <c r="Q28" s="18">
        <f t="shared" si="22"/>
        <v>11.869289083308123</v>
      </c>
      <c r="R28" s="11"/>
      <c r="S28" s="40">
        <f t="shared" si="15"/>
        <v>-1.1728227713794026</v>
      </c>
      <c r="T28" s="40">
        <f t="shared" si="16"/>
        <v>37.128089227811792</v>
      </c>
      <c r="U28" s="40">
        <f t="shared" si="17"/>
        <v>35.955266456432398</v>
      </c>
      <c r="W28" t="str">
        <f>$A$10</f>
        <v>Associate professional occupations</v>
      </c>
      <c r="X28" s="18">
        <f t="shared" ref="X28:AB28" si="23">X10/X$18*100</f>
        <v>10.868944891927065</v>
      </c>
      <c r="Y28" s="18">
        <f t="shared" si="23"/>
        <v>11.570650709884733</v>
      </c>
      <c r="Z28" s="18">
        <f t="shared" si="23"/>
        <v>12.105224641696722</v>
      </c>
      <c r="AA28" s="18">
        <f t="shared" si="23"/>
        <v>14.081910036624803</v>
      </c>
      <c r="AB28" s="18">
        <f t="shared" si="23"/>
        <v>15.715937148485699</v>
      </c>
      <c r="AC28" s="11"/>
      <c r="AD28" s="40">
        <f t="shared" si="19"/>
        <v>39.605721055406299</v>
      </c>
      <c r="AE28" s="40">
        <f t="shared" si="20"/>
        <v>69.838549790147411</v>
      </c>
      <c r="AF28" s="40">
        <f t="shared" si="21"/>
        <v>109.4442708455537</v>
      </c>
    </row>
    <row r="29" spans="1:32" x14ac:dyDescent="0.25">
      <c r="A29" t="str">
        <f>$A$11</f>
        <v>Administrative and secretarial occupations</v>
      </c>
      <c r="B29" s="18">
        <f t="shared" si="8"/>
        <v>11.895267590496077</v>
      </c>
      <c r="C29" s="18">
        <f t="shared" si="8"/>
        <v>10.719100214587177</v>
      </c>
      <c r="D29" s="18">
        <f t="shared" si="8"/>
        <v>11.38232229394443</v>
      </c>
      <c r="E29" s="18">
        <f t="shared" si="8"/>
        <v>11.316576715065061</v>
      </c>
      <c r="F29" s="18">
        <f t="shared" si="8"/>
        <v>10.255366647766293</v>
      </c>
      <c r="G29" s="11"/>
      <c r="H29" s="40">
        <f t="shared" si="11"/>
        <v>-5.2252354393869371</v>
      </c>
      <c r="I29" s="40">
        <f t="shared" si="12"/>
        <v>49.989420090457443</v>
      </c>
      <c r="J29" s="40">
        <f t="shared" si="13"/>
        <v>44.764184651070508</v>
      </c>
      <c r="L29" t="str">
        <f>$A$11</f>
        <v>Administrative and secretarial occupations</v>
      </c>
      <c r="M29" s="18">
        <f t="shared" ref="M29:Q29" si="24">M11/M$18*100</f>
        <v>5.9603438690923456</v>
      </c>
      <c r="N29" s="18">
        <f t="shared" si="24"/>
        <v>5.1834048913690385</v>
      </c>
      <c r="O29" s="18">
        <f t="shared" si="24"/>
        <v>6.3926368303892769</v>
      </c>
      <c r="P29" s="18">
        <f t="shared" si="24"/>
        <v>6.7379164104320681</v>
      </c>
      <c r="Q29" s="18">
        <f t="shared" si="24"/>
        <v>7.4506209407261839</v>
      </c>
      <c r="R29" s="11"/>
      <c r="S29" s="40">
        <f t="shared" si="15"/>
        <v>20.218921014706908</v>
      </c>
      <c r="T29" s="40">
        <f t="shared" si="16"/>
        <v>42.019576996883032</v>
      </c>
      <c r="U29" s="40">
        <f t="shared" si="17"/>
        <v>62.23849801158994</v>
      </c>
      <c r="W29" t="str">
        <f>$A$11</f>
        <v>Administrative and secretarial occupations</v>
      </c>
      <c r="X29" s="18">
        <f t="shared" ref="X29:AB29" si="25">X11/X$18*100</f>
        <v>19.173101594672275</v>
      </c>
      <c r="Y29" s="18">
        <f t="shared" si="25"/>
        <v>17.245240920530012</v>
      </c>
      <c r="Z29" s="18">
        <f t="shared" si="25"/>
        <v>17.106223543741432</v>
      </c>
      <c r="AA29" s="18">
        <f t="shared" si="25"/>
        <v>16.502935847090292</v>
      </c>
      <c r="AB29" s="18">
        <f t="shared" si="25"/>
        <v>13.341658970332904</v>
      </c>
      <c r="AC29" s="11"/>
      <c r="AD29" s="40">
        <f t="shared" si="19"/>
        <v>-16.132928530813167</v>
      </c>
      <c r="AE29" s="40">
        <f t="shared" si="20"/>
        <v>53.406023922790283</v>
      </c>
      <c r="AF29" s="40">
        <f t="shared" si="21"/>
        <v>37.273095391977108</v>
      </c>
    </row>
    <row r="30" spans="1:32" x14ac:dyDescent="0.25">
      <c r="A30" t="str">
        <f>$A$12</f>
        <v>Skilled trades occupations</v>
      </c>
      <c r="B30" s="18">
        <f t="shared" si="8"/>
        <v>12.124868521552321</v>
      </c>
      <c r="C30" s="18">
        <f t="shared" si="8"/>
        <v>12.145935567296101</v>
      </c>
      <c r="D30" s="18">
        <f t="shared" si="8"/>
        <v>10.526698649933895</v>
      </c>
      <c r="E30" s="18">
        <f t="shared" si="8"/>
        <v>10.043548042439408</v>
      </c>
      <c r="F30" s="18">
        <f t="shared" si="8"/>
        <v>8.9593756663077997</v>
      </c>
      <c r="G30" s="11"/>
      <c r="H30" s="40">
        <f t="shared" si="11"/>
        <v>-10.472190728807872</v>
      </c>
      <c r="I30" s="40">
        <f t="shared" si="12"/>
        <v>38.982417460534627</v>
      </c>
      <c r="J30" s="40">
        <f t="shared" si="13"/>
        <v>28.510226731726757</v>
      </c>
      <c r="L30" t="str">
        <f>$A$12</f>
        <v>Skilled trades occupations</v>
      </c>
      <c r="M30" s="18">
        <f t="shared" ref="M30:Q30" si="26">M12/M$18*100</f>
        <v>20.38061453704718</v>
      </c>
      <c r="N30" s="18">
        <f t="shared" si="26"/>
        <v>20.879780014096266</v>
      </c>
      <c r="O30" s="18">
        <f t="shared" si="26"/>
        <v>17.935725837219348</v>
      </c>
      <c r="P30" s="18">
        <f t="shared" si="26"/>
        <v>17.101448522793177</v>
      </c>
      <c r="Q30" s="18">
        <f t="shared" si="26"/>
        <v>15.242439080751776</v>
      </c>
      <c r="R30" s="11"/>
      <c r="S30" s="40">
        <f t="shared" si="15"/>
        <v>-12.341123344065183</v>
      </c>
      <c r="T30" s="40">
        <f t="shared" si="16"/>
        <v>36.743241295162321</v>
      </c>
      <c r="U30" s="40">
        <f t="shared" si="17"/>
        <v>24.402117951097139</v>
      </c>
      <c r="W30" t="str">
        <f>$A$12</f>
        <v>Skilled trades occupations</v>
      </c>
      <c r="X30" s="18">
        <f t="shared" ref="X30:AB30" si="27">X12/X$18*100</f>
        <v>2.0010738610205796</v>
      </c>
      <c r="Y30" s="18">
        <f t="shared" si="27"/>
        <v>1.849433604016129</v>
      </c>
      <c r="Z30" s="18">
        <f t="shared" si="27"/>
        <v>2.027457508014852</v>
      </c>
      <c r="AA30" s="18">
        <f t="shared" si="27"/>
        <v>2.0488936733068659</v>
      </c>
      <c r="AB30" s="18">
        <f t="shared" si="27"/>
        <v>2.0456043645017239</v>
      </c>
      <c r="AC30" s="11"/>
      <c r="AD30" s="40">
        <f t="shared" si="19"/>
        <v>8.4939863814657297</v>
      </c>
      <c r="AE30" s="40">
        <f t="shared" si="20"/>
        <v>61.705875431600489</v>
      </c>
      <c r="AF30" s="40">
        <f t="shared" si="21"/>
        <v>70.199861813066221</v>
      </c>
    </row>
    <row r="31" spans="1:32" x14ac:dyDescent="0.25">
      <c r="A31" t="str">
        <f>$A$13</f>
        <v>Caring, leisure and other service occupations</v>
      </c>
      <c r="B31" s="18">
        <f t="shared" si="8"/>
        <v>9.9845701671974023</v>
      </c>
      <c r="C31" s="18">
        <f t="shared" si="8"/>
        <v>10.0911124272574</v>
      </c>
      <c r="D31" s="18">
        <f t="shared" si="8"/>
        <v>9.9432795290016358</v>
      </c>
      <c r="E31" s="18">
        <f t="shared" si="8"/>
        <v>9.8985950582185183</v>
      </c>
      <c r="F31" s="18">
        <f t="shared" si="8"/>
        <v>10.330551042017369</v>
      </c>
      <c r="G31" s="11"/>
      <c r="H31" s="40">
        <f t="shared" si="11"/>
        <v>9.2864302384964397</v>
      </c>
      <c r="I31" s="40">
        <f t="shared" si="12"/>
        <v>58.079387001903847</v>
      </c>
      <c r="J31" s="40">
        <f t="shared" si="13"/>
        <v>67.36581724040029</v>
      </c>
      <c r="L31" t="str">
        <f>$A$13</f>
        <v>Caring, leisure and other service occupations</v>
      </c>
      <c r="M31" s="18">
        <f t="shared" ref="M31:Q31" si="28">M13/M$18*100</f>
        <v>2.7467628099109529</v>
      </c>
      <c r="N31" s="18">
        <f t="shared" si="28"/>
        <v>2.73707906417672</v>
      </c>
      <c r="O31" s="18">
        <f t="shared" si="28"/>
        <v>2.7722815370868479</v>
      </c>
      <c r="P31" s="18">
        <f t="shared" si="28"/>
        <v>2.9201348609636435</v>
      </c>
      <c r="Q31" s="18">
        <f t="shared" si="28"/>
        <v>3.1705925330100584</v>
      </c>
      <c r="R31" s="11"/>
      <c r="S31" s="40">
        <f t="shared" si="15"/>
        <v>17.967802513458896</v>
      </c>
      <c r="T31" s="40">
        <f t="shared" si="16"/>
        <v>47.935837908864194</v>
      </c>
      <c r="U31" s="40">
        <f t="shared" si="17"/>
        <v>65.903640422323093</v>
      </c>
      <c r="W31" t="str">
        <f>$A$13</f>
        <v>Caring, leisure and other service occupations</v>
      </c>
      <c r="X31" s="18">
        <f t="shared" ref="X31:AB31" si="29">X13/X$18*100</f>
        <v>18.860094600740876</v>
      </c>
      <c r="Y31" s="18">
        <f t="shared" si="29"/>
        <v>18.760927812935435</v>
      </c>
      <c r="Z31" s="18">
        <f t="shared" si="29"/>
        <v>18.169466263218663</v>
      </c>
      <c r="AA31" s="18">
        <f t="shared" si="29"/>
        <v>17.803265499676037</v>
      </c>
      <c r="AB31" s="18">
        <f t="shared" si="29"/>
        <v>18.209242119350343</v>
      </c>
      <c r="AC31" s="11"/>
      <c r="AD31" s="40">
        <f t="shared" si="19"/>
        <v>7.7669239362379923</v>
      </c>
      <c r="AE31" s="40">
        <f t="shared" si="20"/>
        <v>59.854819074848677</v>
      </c>
      <c r="AF31" s="40">
        <f t="shared" si="21"/>
        <v>67.621743011086664</v>
      </c>
    </row>
    <row r="32" spans="1:32" x14ac:dyDescent="0.25">
      <c r="A32" t="str">
        <f>$A$14</f>
        <v>Sales and customer service occupations</v>
      </c>
      <c r="B32" s="18">
        <f t="shared" si="8"/>
        <v>8.5671966726316882</v>
      </c>
      <c r="C32" s="18">
        <f t="shared" si="8"/>
        <v>7.7626693085705707</v>
      </c>
      <c r="D32" s="18">
        <f t="shared" si="8"/>
        <v>7.9283074645790057</v>
      </c>
      <c r="E32" s="18">
        <f t="shared" si="8"/>
        <v>7.7485334498117693</v>
      </c>
      <c r="F32" s="18">
        <f t="shared" si="8"/>
        <v>7.4876007395524455</v>
      </c>
      <c r="H32" s="40">
        <f t="shared" si="11"/>
        <v>-0.65761195836932129</v>
      </c>
      <c r="I32" s="40">
        <f t="shared" si="12"/>
        <v>45.274508621377898</v>
      </c>
      <c r="J32" s="40">
        <f t="shared" si="13"/>
        <v>44.616896663008575</v>
      </c>
      <c r="L32" t="str">
        <f>$A$14</f>
        <v>Sales and customer service occupations</v>
      </c>
      <c r="M32" s="18">
        <f t="shared" ref="M32:Q32" si="30">M14/M$18*100</f>
        <v>6.3557809611786587</v>
      </c>
      <c r="N32" s="18">
        <f t="shared" si="30"/>
        <v>5.8961167557704437</v>
      </c>
      <c r="O32" s="18">
        <f t="shared" si="30"/>
        <v>6.3075888857685563</v>
      </c>
      <c r="P32" s="18">
        <f t="shared" si="30"/>
        <v>6.4643332451106996</v>
      </c>
      <c r="Q32" s="18">
        <f t="shared" si="30"/>
        <v>6.5016656180771983</v>
      </c>
      <c r="S32" s="40">
        <f t="shared" si="15"/>
        <v>6.3216334807313048</v>
      </c>
      <c r="T32" s="40">
        <f t="shared" si="16"/>
        <v>34.598514196432198</v>
      </c>
      <c r="U32" s="40">
        <f t="shared" si="17"/>
        <v>40.920147677163499</v>
      </c>
      <c r="W32" t="str">
        <f>$A$14</f>
        <v>Sales and customer service occupations</v>
      </c>
      <c r="X32" s="18">
        <f t="shared" ref="X32:AB32" si="31">X14/X$18*100</f>
        <v>11.278995040678055</v>
      </c>
      <c r="Y32" s="18">
        <f t="shared" si="31"/>
        <v>9.9631850312329959</v>
      </c>
      <c r="Z32" s="18">
        <f t="shared" si="31"/>
        <v>9.7875094456619127</v>
      </c>
      <c r="AA32" s="18">
        <f t="shared" si="31"/>
        <v>9.2031780436158908</v>
      </c>
      <c r="AB32" s="18">
        <f t="shared" si="31"/>
        <v>8.5725062225415076</v>
      </c>
      <c r="AD32" s="40">
        <f t="shared" si="19"/>
        <v>-5.817242672669197</v>
      </c>
      <c r="AE32" s="40">
        <f t="shared" si="20"/>
        <v>53.167079418794074</v>
      </c>
      <c r="AF32" s="40">
        <f t="shared" si="21"/>
        <v>47.349836746124865</v>
      </c>
    </row>
    <row r="33" spans="1:32" x14ac:dyDescent="0.25">
      <c r="A33" t="str">
        <f>$A$15</f>
        <v>Process, plant and machine operatives</v>
      </c>
      <c r="B33" s="18">
        <f t="shared" si="8"/>
        <v>9.3244120522857958</v>
      </c>
      <c r="C33" s="18">
        <f t="shared" si="8"/>
        <v>9.1330922900737441</v>
      </c>
      <c r="D33" s="18">
        <f t="shared" si="8"/>
        <v>8.1335877310080456</v>
      </c>
      <c r="E33" s="18">
        <f t="shared" si="8"/>
        <v>8.2121641743469684</v>
      </c>
      <c r="F33" s="18">
        <f t="shared" si="8"/>
        <v>7.701925442692974</v>
      </c>
      <c r="G33" s="11"/>
      <c r="H33" s="40">
        <f t="shared" si="11"/>
        <v>-0.39306978072475496</v>
      </c>
      <c r="I33" s="40">
        <f t="shared" si="12"/>
        <v>48.23886776311813</v>
      </c>
      <c r="J33" s="40">
        <f t="shared" si="13"/>
        <v>47.845797982393378</v>
      </c>
      <c r="L33" t="str">
        <f>$A$15</f>
        <v>Process, plant and machine operatives</v>
      </c>
      <c r="M33" s="18">
        <f t="shared" ref="M33:Q33" si="32">M15/M$18*100</f>
        <v>14.917450089489689</v>
      </c>
      <c r="N33" s="18">
        <f t="shared" si="32"/>
        <v>14.750853972447292</v>
      </c>
      <c r="O33" s="18">
        <f t="shared" si="32"/>
        <v>13.31904504301164</v>
      </c>
      <c r="P33" s="18">
        <f t="shared" si="32"/>
        <v>13.233182504407932</v>
      </c>
      <c r="Q33" s="18">
        <f t="shared" si="32"/>
        <v>12.442952827020273</v>
      </c>
      <c r="R33" s="11"/>
      <c r="S33" s="40">
        <f t="shared" si="15"/>
        <v>-3.6369013556543561</v>
      </c>
      <c r="T33" s="40">
        <f t="shared" si="16"/>
        <v>45.936807244638374</v>
      </c>
      <c r="U33" s="40">
        <f t="shared" si="17"/>
        <v>42.299905888984021</v>
      </c>
      <c r="W33" t="str">
        <f>$A$15</f>
        <v>Process, plant and machine operatives</v>
      </c>
      <c r="X33" s="18">
        <f t="shared" ref="X33:AB33" si="33">X15/X$18*100</f>
        <v>2.4658230754782768</v>
      </c>
      <c r="Y33" s="18">
        <f t="shared" si="33"/>
        <v>2.5102019301486433</v>
      </c>
      <c r="Z33" s="18">
        <f t="shared" si="33"/>
        <v>2.1851074498885401</v>
      </c>
      <c r="AA33" s="18">
        <f t="shared" si="33"/>
        <v>2.5247354210437809</v>
      </c>
      <c r="AB33" s="18">
        <f t="shared" si="33"/>
        <v>2.4849831792287032</v>
      </c>
      <c r="AC33" s="11"/>
      <c r="AD33" s="40">
        <f t="shared" si="19"/>
        <v>22.288731941267269</v>
      </c>
      <c r="AE33" s="40">
        <f t="shared" si="20"/>
        <v>64.335535862576563</v>
      </c>
      <c r="AF33" s="40">
        <f t="shared" si="21"/>
        <v>86.624267803843836</v>
      </c>
    </row>
    <row r="34" spans="1:32" x14ac:dyDescent="0.25">
      <c r="A34" t="str">
        <f>$A$16</f>
        <v>Elementary occupations</v>
      </c>
      <c r="B34" s="18">
        <f t="shared" si="8"/>
        <v>11.266657366268603</v>
      </c>
      <c r="C34" s="18">
        <f t="shared" si="8"/>
        <v>10.118810428679199</v>
      </c>
      <c r="D34" s="18">
        <f t="shared" si="8"/>
        <v>9.3283742250192176</v>
      </c>
      <c r="E34" s="18">
        <f t="shared" si="8"/>
        <v>9.4926190799642018</v>
      </c>
      <c r="F34" s="18">
        <f t="shared" si="8"/>
        <v>8.8089818201452363</v>
      </c>
      <c r="G34" s="11"/>
      <c r="H34" s="40">
        <f t="shared" si="11"/>
        <v>-0.66731964445356762</v>
      </c>
      <c r="I34" s="40">
        <f t="shared" si="12"/>
        <v>49.253721385081391</v>
      </c>
      <c r="J34" s="40">
        <f t="shared" si="13"/>
        <v>48.586401740627821</v>
      </c>
      <c r="L34" t="str">
        <f>$A$16</f>
        <v>Elementary occupations</v>
      </c>
      <c r="M34" s="18">
        <f t="shared" ref="M34:Q34" si="34">M16/M$18*100</f>
        <v>11.569327361493857</v>
      </c>
      <c r="N34" s="18">
        <f t="shared" si="34"/>
        <v>9.9055402046923611</v>
      </c>
      <c r="O34" s="18">
        <f t="shared" si="34"/>
        <v>9.5876695803896048</v>
      </c>
      <c r="P34" s="18">
        <f t="shared" si="34"/>
        <v>10.099148836081326</v>
      </c>
      <c r="Q34" s="18">
        <f t="shared" si="34"/>
        <v>9.5544053930942994</v>
      </c>
      <c r="R34" s="11"/>
      <c r="S34" s="40">
        <f t="shared" si="15"/>
        <v>2.7900306538073649</v>
      </c>
      <c r="T34" s="40">
        <f t="shared" si="16"/>
        <v>40.272357044679893</v>
      </c>
      <c r="U34" s="40">
        <f t="shared" si="17"/>
        <v>43.062387698487264</v>
      </c>
      <c r="W34" t="str">
        <f>$A$16</f>
        <v>Elementary occupations</v>
      </c>
      <c r="X34" s="18">
        <f t="shared" ref="X34:AB34" si="35">X16/X$18*100</f>
        <v>10.895501461543136</v>
      </c>
      <c r="Y34" s="18">
        <f t="shared" si="35"/>
        <v>10.370238913966007</v>
      </c>
      <c r="Z34" s="18">
        <f t="shared" si="35"/>
        <v>9.0309244118974181</v>
      </c>
      <c r="AA34" s="18">
        <f t="shared" si="35"/>
        <v>8.8055881735001478</v>
      </c>
      <c r="AB34" s="18">
        <f t="shared" si="35"/>
        <v>7.9887309701383327</v>
      </c>
      <c r="AC34" s="11"/>
      <c r="AD34" s="40">
        <f t="shared" si="19"/>
        <v>-4.8779120087725394</v>
      </c>
      <c r="AE34" s="40">
        <f t="shared" si="20"/>
        <v>60.191827405718549</v>
      </c>
      <c r="AF34" s="40">
        <f t="shared" si="21"/>
        <v>55.313915396946001</v>
      </c>
    </row>
    <row r="35" spans="1:32" x14ac:dyDescent="0.25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5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5.1895024929765095</v>
      </c>
      <c r="I36" s="43">
        <f t="shared" si="12"/>
        <v>49.520593478935126</v>
      </c>
      <c r="J36" s="43">
        <f t="shared" si="13"/>
        <v>54.710095971911635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3.1478997928151822</v>
      </c>
      <c r="T36" s="43">
        <f t="shared" ref="T36" si="37">IF(O18&gt;0,(T18/O18)*100,0)</f>
        <v>40.86761285097932</v>
      </c>
      <c r="U36" s="43">
        <f t="shared" ref="U36" si="38">IF(O18&gt;0,(U18/O18)*100,0)</f>
        <v>44.015512643794509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7.5315203080064608</v>
      </c>
      <c r="AE36" s="43">
        <f t="shared" ref="AE36" si="40">IF(Z18&gt;0,(AE18/Z18)*100,0)</f>
        <v>59.446831714308026</v>
      </c>
      <c r="AF36" s="43">
        <f t="shared" ref="AF36" si="41">IF(Z18&gt;0,(AF18/Z18)*100,0)</f>
        <v>66.978352022314482</v>
      </c>
    </row>
    <row r="37" spans="1:32" x14ac:dyDescent="0.25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5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5" x14ac:dyDescent="0.35">
      <c r="A39" s="19" t="str">
        <f>CONCATENATE(A$1," (Continued)")</f>
        <v>Occupation Table 1  Employment Change by Occupation Group (SOC 2020) and Replacement Demand, 2015-2035, Black Country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Black Country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Black Country (Continued)</v>
      </c>
      <c r="X39" s="18"/>
      <c r="Y39" s="18"/>
      <c r="Z39" s="18"/>
      <c r="AA39" s="18"/>
      <c r="AB39" s="18"/>
      <c r="AC39" s="11"/>
    </row>
    <row r="40" spans="1:32" x14ac:dyDescent="0.25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5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ht="13" x14ac:dyDescent="0.3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ht="13" x14ac:dyDescent="0.3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5">
      <c r="A46" t="str">
        <f>$A$8</f>
        <v>Managers, directors and senior officials</v>
      </c>
      <c r="B46" s="18">
        <f t="shared" ref="B46:E54" si="42">IF(C$6-B$6 &lt;&gt; 0,(EXP(LN(C8/B8)/(C$6-B$6))-1)*100,0)</f>
        <v>2.2535150400792237</v>
      </c>
      <c r="C46" s="18">
        <f t="shared" si="42"/>
        <v>3.1399608056009942</v>
      </c>
      <c r="D46" s="18">
        <f t="shared" si="42"/>
        <v>-1.2719130547734658</v>
      </c>
      <c r="E46" s="18">
        <f t="shared" si="42"/>
        <v>0.93833309451352154</v>
      </c>
      <c r="F46" s="18">
        <f>IF(F$6-D$6 &lt;&gt; 0,(EXP(LN(F8/D8)/(F$6-D$6))-1)*100,0)</f>
        <v>0.1961404623199936</v>
      </c>
      <c r="H46" s="18">
        <f>IF($F$6-$D$6 &lt;&gt; 0,(EXP(LN(1+(H26/100))/($F$6-$D$6))-1)*100,0)</f>
        <v>0.1961404623199936</v>
      </c>
      <c r="I46" s="18">
        <f>IF($F$6-$D$6 &lt;&gt; 0,(EXP(LN(1+(I26/100))/($F$6-$D$6))-1)*100,0)</f>
        <v>2.8028431090559192</v>
      </c>
      <c r="J46" s="18">
        <f>IF($F$6-$D$6 &lt;&gt; 0,(EXP(LN(1+(J26/100))/($F$6-$D$6))-1)*100,0)</f>
        <v>2.9366586340927148</v>
      </c>
      <c r="L46" t="str">
        <f>$A$8</f>
        <v>Managers, directors and senior officials</v>
      </c>
      <c r="M46" s="18">
        <f t="shared" ref="M46:M54" si="43">IF(N$6-M$6 &lt;&gt; 0,(EXP(LN(N8/M8)/(N$6-M$6))-1)*100,0)</f>
        <v>1.6906941160654387</v>
      </c>
      <c r="N46" s="18">
        <f t="shared" ref="N46:N54" si="44">IF(O$6-N$6 &lt;&gt; 0,(EXP(LN(O8/N8)/(O$6-N$6))-1)*100,0)</f>
        <v>-0.38623462662806807</v>
      </c>
      <c r="O46" s="18">
        <f t="shared" ref="O46:O54" si="45">IF(P$6-O$6 &lt;&gt; 0,(EXP(LN(P8/O8)/(P$6-O$6))-1)*100,0)</f>
        <v>-1.4610556132937269</v>
      </c>
      <c r="P46" s="18">
        <f t="shared" ref="P46:P54" si="46">IF(Q$6-P$6 &lt;&gt; 0,(EXP(LN(Q8/P8)/(Q$6-P$6))-1)*100,0)</f>
        <v>0.6216736998980732</v>
      </c>
      <c r="Q46" s="18">
        <f>IF(Q$6-O$6 &lt;&gt; 0,(EXP(LN(Q8/O8)/(Q$6-O$6))-1)*100,0)</f>
        <v>-7.7415214087228623E-2</v>
      </c>
      <c r="S46" s="18">
        <f>IF($F$6-$D$6 &lt;&gt; 0,(EXP(LN(1+(S26/100))/($F$6-$D$6))-1)*100,0)</f>
        <v>-7.7415214087228623E-2</v>
      </c>
      <c r="T46" s="18">
        <f>IF($F$6-$D$6 &lt;&gt; 0,(EXP(LN(1+(T26/100))/($F$6-$D$6))-1)*100,0)</f>
        <v>2.5410679900462974</v>
      </c>
      <c r="U46" s="18">
        <f>IF($F$6-$D$6 &lt;&gt; 0,(EXP(LN(1+(U26/100))/($F$6-$D$6))-1)*100,0)</f>
        <v>2.4866783167065698</v>
      </c>
      <c r="W46" t="str">
        <f>$A$8</f>
        <v>Managers, directors and senior officials</v>
      </c>
      <c r="X46" s="18">
        <f t="shared" ref="X46:X54" si="47">IF(Y$6-X$6 &lt;&gt; 0,(EXP(LN(Y8/X8)/(Y$6-X$6))-1)*100,0)</f>
        <v>3.4457113981530618</v>
      </c>
      <c r="Y46" s="18">
        <f t="shared" ref="Y46:Y54" si="48">IF(Z$6-Y$6 &lt;&gt; 0,(EXP(LN(Z8/Y8)/(Z$6-Y$6))-1)*100,0)</f>
        <v>10.297008975592249</v>
      </c>
      <c r="Z46" s="18">
        <f t="shared" ref="Z46:Z54" si="49">IF(AA$6-Z$6 &lt;&gt; 0,(EXP(LN(AA8/Z8)/(AA$6-Z$6))-1)*100,0)</f>
        <v>-0.92891568157997817</v>
      </c>
      <c r="AA46" s="18">
        <f t="shared" ref="AA46:AA54" si="50">IF(AB$6-AA$6 &lt;&gt; 0,(EXP(LN(AB8/AA8)/(AB$6-AA$6))-1)*100,0)</f>
        <v>1.4820915917385324</v>
      </c>
      <c r="AB46" s="18">
        <f>IF(AB$6-Z$6 &lt;&gt; 0,(EXP(LN(AB8/Z8)/(AB$6-Z$6))-1)*100,0)</f>
        <v>0.67197262997948926</v>
      </c>
      <c r="AD46" s="18">
        <f>IF($F$6-$D$6 &lt;&gt; 0,(EXP(LN(1+(AD26/100))/($F$6-$D$6))-1)*100,0)</f>
        <v>0.67197262997948926</v>
      </c>
      <c r="AE46" s="18">
        <f>IF($F$6-$D$6 &lt;&gt; 0,(EXP(LN(1+(AE26/100))/($F$6-$D$6))-1)*100,0)</f>
        <v>3.2597478047787565</v>
      </c>
      <c r="AF46" s="18">
        <f>IF($F$6-$D$6 &lt;&gt; 0,(EXP(LN(1+(AF26/100))/($F$6-$D$6))-1)*100,0)</f>
        <v>3.6962266663126409</v>
      </c>
    </row>
    <row r="47" spans="1:32" x14ac:dyDescent="0.25">
      <c r="A47" t="str">
        <f>$A$9</f>
        <v>Professional occupations</v>
      </c>
      <c r="B47" s="18">
        <f t="shared" si="42"/>
        <v>3.0878921424440708</v>
      </c>
      <c r="C47" s="18">
        <f t="shared" si="42"/>
        <v>4.5261949315445138</v>
      </c>
      <c r="D47" s="18">
        <f t="shared" si="42"/>
        <v>1.2101304974909022</v>
      </c>
      <c r="E47" s="18">
        <f t="shared" si="42"/>
        <v>1.0226215468854605</v>
      </c>
      <c r="F47" s="18">
        <f>IF(F$6-D$6 &lt;&gt; 0,(EXP(LN(F9/D9)/(F$6-D$6))-1)*100,0)</f>
        <v>1.0850858994736923</v>
      </c>
      <c r="H47" s="18">
        <f t="shared" ref="H47:J56" si="51">IF($F$6-$D$6 &lt;&gt; 0,(EXP(LN(1+(H27/100))/($F$6-$D$6))-1)*100,0)</f>
        <v>1.0850858994736923</v>
      </c>
      <c r="I47" s="18">
        <f t="shared" si="51"/>
        <v>2.754392796990035</v>
      </c>
      <c r="J47" s="18">
        <f t="shared" si="51"/>
        <v>3.5145659128100304</v>
      </c>
      <c r="L47" t="str">
        <f>$A$9</f>
        <v>Professional occupations</v>
      </c>
      <c r="M47" s="18">
        <f t="shared" si="43"/>
        <v>2.0892096838940111</v>
      </c>
      <c r="N47" s="18">
        <f t="shared" si="44"/>
        <v>5.2140965908272108</v>
      </c>
      <c r="O47" s="18">
        <f t="shared" si="45"/>
        <v>1.8024792864737016</v>
      </c>
      <c r="P47" s="18">
        <f t="shared" si="46"/>
        <v>0.82362564681839334</v>
      </c>
      <c r="Q47" s="18">
        <f>IF(Q$6-O$6 &lt;&gt; 0,(EXP(LN(Q9/O9)/(Q$6-O$6))-1)*100,0)</f>
        <v>1.1488599327983184</v>
      </c>
      <c r="S47" s="18">
        <f t="shared" ref="S47:U47" si="52">IF($F$6-$D$6 &lt;&gt; 0,(EXP(LN(1+(S27/100))/($F$6-$D$6))-1)*100,0)</f>
        <v>1.1488599327983184</v>
      </c>
      <c r="T47" s="18">
        <f t="shared" si="52"/>
        <v>2.3467084809642103</v>
      </c>
      <c r="U47" s="18">
        <f t="shared" si="52"/>
        <v>3.196059173850041</v>
      </c>
      <c r="W47" t="str">
        <f>$A$9</f>
        <v>Professional occupations</v>
      </c>
      <c r="X47" s="18">
        <f t="shared" si="47"/>
        <v>4.134401708827995</v>
      </c>
      <c r="Y47" s="18">
        <f t="shared" si="48"/>
        <v>3.8402201581875461</v>
      </c>
      <c r="Z47" s="18">
        <f t="shared" si="49"/>
        <v>0.59719988451012451</v>
      </c>
      <c r="AA47" s="18">
        <f t="shared" si="50"/>
        <v>1.2321739737776616</v>
      </c>
      <c r="AB47" s="18">
        <f>IF(AB$6-Z$6 &lt;&gt; 0,(EXP(LN(AB9/Z9)/(AB$6-Z$6))-1)*100,0)</f>
        <v>1.0200718570586798</v>
      </c>
      <c r="AD47" s="18">
        <f t="shared" ref="AD47:AF47" si="53">IF($F$6-$D$6 &lt;&gt; 0,(EXP(LN(1+(AD27/100))/($F$6-$D$6))-1)*100,0)</f>
        <v>1.0200718570586798</v>
      </c>
      <c r="AE47" s="18">
        <f t="shared" si="53"/>
        <v>3.1445268130077419</v>
      </c>
      <c r="AF47" s="18">
        <f t="shared" si="53"/>
        <v>3.8230248778333475</v>
      </c>
    </row>
    <row r="48" spans="1:32" x14ac:dyDescent="0.25">
      <c r="A48" t="str">
        <f>$A$10</f>
        <v>Associate professional occupations</v>
      </c>
      <c r="B48" s="18">
        <f t="shared" si="42"/>
        <v>1.1337518594024765</v>
      </c>
      <c r="C48" s="18">
        <f t="shared" si="42"/>
        <v>3.5751861850356059</v>
      </c>
      <c r="D48" s="18">
        <f t="shared" si="42"/>
        <v>1.3892586990257971</v>
      </c>
      <c r="E48" s="18">
        <f t="shared" si="42"/>
        <v>0.93439153499115246</v>
      </c>
      <c r="F48" s="18">
        <f t="shared" ref="F48:F56" si="54">IF(F$6-D$6 &lt;&gt; 0,(EXP(LN(F10/D10)/(F$6-D$6))-1)*100,0)</f>
        <v>1.0857867262725973</v>
      </c>
      <c r="H48" s="18">
        <f t="shared" si="51"/>
        <v>1.0857867262725973</v>
      </c>
      <c r="I48" s="18">
        <f t="shared" si="51"/>
        <v>2.8385950102080448</v>
      </c>
      <c r="J48" s="18">
        <f t="shared" si="51"/>
        <v>3.5910554429634312</v>
      </c>
      <c r="L48" t="str">
        <f>$A$10</f>
        <v>Associate professional occupations</v>
      </c>
      <c r="M48" s="18">
        <f t="shared" si="43"/>
        <v>0.15266663956374771</v>
      </c>
      <c r="N48" s="18">
        <f t="shared" si="44"/>
        <v>3.8037221116590914</v>
      </c>
      <c r="O48" s="18">
        <f t="shared" si="45"/>
        <v>-0.762180934204848</v>
      </c>
      <c r="P48" s="18">
        <f>IF(Q$6-P$6 &lt;&gt; 0,(EXP(LN(Q10/P10)/(Q$6-P$6))-1)*100,0)</f>
        <v>0.26492503727229</v>
      </c>
      <c r="Q48" s="18">
        <f t="shared" ref="Q48:Q54" si="55">IF(Q$6-O$6 &lt;&gt; 0,(EXP(LN(Q10/O10)/(Q$6-O$6))-1)*100,0)</f>
        <v>-7.8619384725797659E-2</v>
      </c>
      <c r="S48" s="18">
        <f t="shared" ref="S48:U48" si="56">IF($F$6-$D$6 &lt;&gt; 0,(EXP(LN(1+(S28/100))/($F$6-$D$6))-1)*100,0)</f>
        <v>-7.8619384725797659E-2</v>
      </c>
      <c r="T48" s="18">
        <f t="shared" si="56"/>
        <v>2.1272791356118814</v>
      </c>
      <c r="U48" s="18">
        <f t="shared" si="56"/>
        <v>2.0688141312042108</v>
      </c>
      <c r="W48" t="str">
        <f>$A$10</f>
        <v>Associate professional occupations</v>
      </c>
      <c r="X48" s="18">
        <f t="shared" si="47"/>
        <v>2.343701279458088</v>
      </c>
      <c r="Y48" s="18">
        <f t="shared" si="48"/>
        <v>3.3081740144635052</v>
      </c>
      <c r="Z48" s="18">
        <f t="shared" si="49"/>
        <v>3.7020812153722771</v>
      </c>
      <c r="AA48" s="18">
        <f t="shared" si="50"/>
        <v>1.5305141380114629</v>
      </c>
      <c r="AB48" s="18">
        <f t="shared" ref="AB48:AB54" si="57">IF(AB$6-Z$6 &lt;&gt; 0,(EXP(LN(AB10/Z10)/(AB$6-Z$6))-1)*100,0)</f>
        <v>2.2492696052989647</v>
      </c>
      <c r="AD48" s="18">
        <f t="shared" ref="AD48:AF48" si="58">IF($F$6-$D$6 &lt;&gt; 0,(EXP(LN(1+(AD28/100))/($F$6-$D$6))-1)*100,0)</f>
        <v>2.2492696052989647</v>
      </c>
      <c r="AE48" s="18">
        <f t="shared" si="58"/>
        <v>3.5942740835274156</v>
      </c>
      <c r="AF48" s="18">
        <f t="shared" si="58"/>
        <v>5.0520582169069517</v>
      </c>
    </row>
    <row r="49" spans="1:32" x14ac:dyDescent="0.25">
      <c r="A49" t="str">
        <f>$A$11</f>
        <v>Administrative and secretarial occupations</v>
      </c>
      <c r="B49" s="18">
        <f t="shared" si="42"/>
        <v>-2.3594366184096605</v>
      </c>
      <c r="C49" s="18">
        <f t="shared" si="42"/>
        <v>3.3267194873393358</v>
      </c>
      <c r="D49" s="18">
        <f t="shared" si="42"/>
        <v>0.3601177891572549</v>
      </c>
      <c r="E49" s="18">
        <f t="shared" si="42"/>
        <v>-0.71384547920831931</v>
      </c>
      <c r="F49" s="18">
        <f t="shared" si="54"/>
        <v>-0.35714078831445839</v>
      </c>
      <c r="H49" s="18">
        <f t="shared" si="51"/>
        <v>-0.35714078831445839</v>
      </c>
      <c r="I49" s="18">
        <f t="shared" si="51"/>
        <v>2.7394827884491768</v>
      </c>
      <c r="J49" s="18">
        <f t="shared" si="51"/>
        <v>2.496902708244586</v>
      </c>
      <c r="L49" t="str">
        <f>$A$11</f>
        <v>Administrative and secretarial occupations</v>
      </c>
      <c r="M49" s="18">
        <f t="shared" si="43"/>
        <v>-3.6550874138433942</v>
      </c>
      <c r="N49" s="18">
        <f t="shared" si="44"/>
        <v>18.500238097727983</v>
      </c>
      <c r="O49" s="18">
        <f t="shared" si="45"/>
        <v>1.4191314938125199</v>
      </c>
      <c r="P49" s="18">
        <f t="shared" si="46"/>
        <v>1.1433511822441123</v>
      </c>
      <c r="Q49" s="18">
        <f t="shared" si="55"/>
        <v>1.2351945290573596</v>
      </c>
      <c r="S49" s="18">
        <f t="shared" ref="S49:U49" si="59">IF($F$6-$D$6 &lt;&gt; 0,(EXP(LN(1+(S29/100))/($F$6-$D$6))-1)*100,0)</f>
        <v>1.2351945290573596</v>
      </c>
      <c r="T49" s="18">
        <f t="shared" si="59"/>
        <v>2.3661919350288496</v>
      </c>
      <c r="U49" s="18">
        <f t="shared" si="59"/>
        <v>3.2785807242822651</v>
      </c>
      <c r="W49" t="str">
        <f>$A$11</f>
        <v>Administrative and secretarial occupations</v>
      </c>
      <c r="X49" s="18">
        <f t="shared" si="47"/>
        <v>-1.878824330969564</v>
      </c>
      <c r="Y49" s="18">
        <f t="shared" si="48"/>
        <v>-2.0499881730166147</v>
      </c>
      <c r="Z49" s="18">
        <f t="shared" si="49"/>
        <v>-0.1078999151389759</v>
      </c>
      <c r="AA49" s="18">
        <f t="shared" si="50"/>
        <v>-1.6909326483856013</v>
      </c>
      <c r="AB49" s="18">
        <f t="shared" si="57"/>
        <v>-1.1660623307845674</v>
      </c>
      <c r="AD49" s="18">
        <f t="shared" ref="AD49:AF49" si="60">IF($F$6-$D$6 &lt;&gt; 0,(EXP(LN(1+(AD29/100))/($F$6-$D$6))-1)*100,0)</f>
        <v>-1.1660623307845674</v>
      </c>
      <c r="AE49" s="18">
        <f t="shared" si="60"/>
        <v>2.893868157500834</v>
      </c>
      <c r="AF49" s="18">
        <f t="shared" si="60"/>
        <v>2.1344752212193674</v>
      </c>
    </row>
    <row r="50" spans="1:32" x14ac:dyDescent="0.25">
      <c r="A50" t="str">
        <f>$A$12</f>
        <v>Skilled trades occupations</v>
      </c>
      <c r="B50" s="18">
        <f t="shared" si="42"/>
        <v>0.25885294966077055</v>
      </c>
      <c r="C50" s="18">
        <f t="shared" si="42"/>
        <v>-15.666269572160873</v>
      </c>
      <c r="D50" s="18">
        <f t="shared" si="42"/>
        <v>-0.46328174189397275</v>
      </c>
      <c r="E50" s="18">
        <f t="shared" si="42"/>
        <v>-0.87022126320748239</v>
      </c>
      <c r="F50" s="18">
        <f t="shared" si="54"/>
        <v>-0.73475994895060293</v>
      </c>
      <c r="H50" s="18">
        <f t="shared" si="51"/>
        <v>-0.73475994895060293</v>
      </c>
      <c r="I50" s="18">
        <f t="shared" si="51"/>
        <v>2.2187715667513652</v>
      </c>
      <c r="J50" s="18">
        <f t="shared" si="51"/>
        <v>1.6863157934123629</v>
      </c>
      <c r="L50" t="str">
        <f>$A$12</f>
        <v>Skilled trades occupations</v>
      </c>
      <c r="M50" s="18">
        <f t="shared" si="43"/>
        <v>0.37371384082260928</v>
      </c>
      <c r="N50" s="18">
        <f t="shared" si="44"/>
        <v>-17.46325024898</v>
      </c>
      <c r="O50" s="18">
        <f t="shared" si="45"/>
        <v>-0.59378038985532511</v>
      </c>
      <c r="P50" s="18">
        <f t="shared" si="46"/>
        <v>-1.0142196710123397</v>
      </c>
      <c r="Q50" s="18">
        <f t="shared" si="55"/>
        <v>-0.87427119971423828</v>
      </c>
      <c r="S50" s="18">
        <f t="shared" ref="S50:U50" si="61">IF($F$6-$D$6 &lt;&gt; 0,(EXP(LN(1+(S30/100))/($F$6-$D$6))-1)*100,0)</f>
        <v>-0.87427119971423828</v>
      </c>
      <c r="T50" s="18">
        <f t="shared" si="61"/>
        <v>2.1081461526034184</v>
      </c>
      <c r="U50" s="18">
        <f t="shared" si="61"/>
        <v>1.4663064574768292</v>
      </c>
      <c r="W50" t="str">
        <f>$A$12</f>
        <v>Skilled trades occupations</v>
      </c>
      <c r="X50" s="18">
        <f t="shared" si="47"/>
        <v>-1.2101271546279602</v>
      </c>
      <c r="Y50" s="18">
        <f t="shared" si="48"/>
        <v>8.2511782560048985</v>
      </c>
      <c r="Z50" s="18">
        <f t="shared" si="49"/>
        <v>0.82384650126947623</v>
      </c>
      <c r="AA50" s="18">
        <f t="shared" si="50"/>
        <v>0.40583117229251453</v>
      </c>
      <c r="AB50" s="18">
        <f t="shared" si="57"/>
        <v>0.54497669401818438</v>
      </c>
      <c r="AD50" s="18">
        <f t="shared" ref="AD50:AF50" si="62">IF($F$6-$D$6 &lt;&gt; 0,(EXP(LN(1+(AD30/100))/($F$6-$D$6))-1)*100,0)</f>
        <v>0.54497669401818438</v>
      </c>
      <c r="AE50" s="18">
        <f t="shared" si="62"/>
        <v>3.2559420537608075</v>
      </c>
      <c r="AF50" s="18">
        <f t="shared" si="62"/>
        <v>3.6089518458450653</v>
      </c>
    </row>
    <row r="51" spans="1:32" x14ac:dyDescent="0.25">
      <c r="A51" t="str">
        <f>$A$13</f>
        <v>Caring, leisure and other service occupations</v>
      </c>
      <c r="B51" s="18">
        <f t="shared" si="42"/>
        <v>0.48162865360097395</v>
      </c>
      <c r="C51" s="18">
        <f t="shared" si="42"/>
        <v>-4.1194100247277321</v>
      </c>
      <c r="D51" s="18">
        <f t="shared" si="42"/>
        <v>0.38598983071498338</v>
      </c>
      <c r="E51" s="18">
        <f t="shared" si="42"/>
        <v>0.69782059897185444</v>
      </c>
      <c r="F51" s="18">
        <f t="shared" si="54"/>
        <v>0.5937695306053703</v>
      </c>
      <c r="H51" s="18">
        <f t="shared" si="51"/>
        <v>0.5937695306053703</v>
      </c>
      <c r="I51" s="18">
        <f t="shared" si="51"/>
        <v>3.0999250443356718</v>
      </c>
      <c r="J51" s="18">
        <f t="shared" si="51"/>
        <v>3.4930336658071326</v>
      </c>
      <c r="L51" t="str">
        <f>$A$13</f>
        <v>Caring, leisure and other service occupations</v>
      </c>
      <c r="M51" s="18">
        <f t="shared" si="43"/>
        <v>-0.31969031841926343</v>
      </c>
      <c r="N51" s="18">
        <f t="shared" si="44"/>
        <v>-2.6795038250543857</v>
      </c>
      <c r="O51" s="18">
        <f t="shared" si="45"/>
        <v>1.4060544063407843</v>
      </c>
      <c r="P51" s="18">
        <f t="shared" si="46"/>
        <v>0.95885265126087749</v>
      </c>
      <c r="Q51" s="18">
        <f t="shared" si="55"/>
        <v>1.107700342974427</v>
      </c>
      <c r="S51" s="18">
        <f t="shared" ref="S51:U51" si="63">IF($F$6-$D$6 &lt;&gt; 0,(EXP(LN(1+(S31/100))/($F$6-$D$6))-1)*100,0)</f>
        <v>1.1077003429744492</v>
      </c>
      <c r="T51" s="18">
        <f t="shared" si="63"/>
        <v>2.6451010018109899</v>
      </c>
      <c r="U51" s="18">
        <f t="shared" si="63"/>
        <v>3.4325093347550073</v>
      </c>
      <c r="W51" t="str">
        <f>$A$13</f>
        <v>Caring, leisure and other service occupations</v>
      </c>
      <c r="X51" s="18">
        <f t="shared" si="47"/>
        <v>0.62273822028313663</v>
      </c>
      <c r="Y51" s="18">
        <f t="shared" si="48"/>
        <v>-4.3670675254864904</v>
      </c>
      <c r="Z51" s="18">
        <f t="shared" si="49"/>
        <v>0.20311663724910112</v>
      </c>
      <c r="AA51" s="18">
        <f t="shared" si="50"/>
        <v>0.64864530705048828</v>
      </c>
      <c r="AB51" s="18">
        <f t="shared" si="57"/>
        <v>0.49991608045885094</v>
      </c>
      <c r="AD51" s="18">
        <f t="shared" ref="AD51:AF51" si="64">IF($F$6-$D$6 &lt;&gt; 0,(EXP(LN(1+(AD31/100))/($F$6-$D$6))-1)*100,0)</f>
        <v>0.49991608045885094</v>
      </c>
      <c r="AE51" s="18">
        <f t="shared" si="64"/>
        <v>3.176719541164319</v>
      </c>
      <c r="AF51" s="18">
        <f t="shared" si="64"/>
        <v>3.5035765005336117</v>
      </c>
    </row>
    <row r="52" spans="1:32" x14ac:dyDescent="0.25">
      <c r="A52" t="str">
        <f>$A$14</f>
        <v>Sales and customer service occupations</v>
      </c>
      <c r="B52" s="18">
        <f t="shared" si="42"/>
        <v>-2.2251102304149506</v>
      </c>
      <c r="C52" s="18">
        <f t="shared" si="42"/>
        <v>-0.61759726767566248</v>
      </c>
      <c r="D52" s="18">
        <f t="shared" si="42"/>
        <v>1.6609776204212778E-2</v>
      </c>
      <c r="E52" s="18">
        <f t="shared" si="42"/>
        <v>-7.4254991029398809E-2</v>
      </c>
      <c r="F52" s="18">
        <f t="shared" si="54"/>
        <v>-4.3975911251237232E-2</v>
      </c>
      <c r="H52" s="18">
        <f t="shared" si="51"/>
        <v>-4.3975911251237232E-2</v>
      </c>
      <c r="I52" s="18">
        <f t="shared" si="51"/>
        <v>2.5209513691513807</v>
      </c>
      <c r="J52" s="18">
        <f t="shared" si="51"/>
        <v>2.4899471502762172</v>
      </c>
      <c r="L52" t="str">
        <f>$A$14</f>
        <v>Sales and customer service occupations</v>
      </c>
      <c r="M52" s="18">
        <f t="shared" si="43"/>
        <v>-2.0866024142827455</v>
      </c>
      <c r="N52" s="18">
        <f t="shared" si="44"/>
        <v>2.7901805585939465</v>
      </c>
      <c r="O52" s="18">
        <f t="shared" si="45"/>
        <v>0.85161131970648007</v>
      </c>
      <c r="P52" s="18">
        <f t="shared" si="46"/>
        <v>0.18916182311925489</v>
      </c>
      <c r="Q52" s="18">
        <f t="shared" si="55"/>
        <v>0.40949342321745519</v>
      </c>
      <c r="S52" s="18">
        <f t="shared" ref="S52:U52" si="65">IF($F$6-$D$6 &lt;&gt; 0,(EXP(LN(1+(S32/100))/($F$6-$D$6))-1)*100,0)</f>
        <v>0.40949342321745519</v>
      </c>
      <c r="T52" s="18">
        <f t="shared" si="65"/>
        <v>2.0005901265111481</v>
      </c>
      <c r="U52" s="18">
        <f t="shared" si="65"/>
        <v>2.3131696599160145</v>
      </c>
      <c r="W52" t="str">
        <f>$A$14</f>
        <v>Sales and customer service occupations</v>
      </c>
      <c r="X52" s="18">
        <f t="shared" si="47"/>
        <v>-2.3211658026281334</v>
      </c>
      <c r="Y52" s="18">
        <f t="shared" si="48"/>
        <v>-2.9951130343367272</v>
      </c>
      <c r="Z52" s="18">
        <f t="shared" si="49"/>
        <v>-0.61911590815699746</v>
      </c>
      <c r="AA52" s="18">
        <f t="shared" si="50"/>
        <v>-0.28839379879279647</v>
      </c>
      <c r="AB52" s="18">
        <f t="shared" si="57"/>
        <v>-0.39875660862359608</v>
      </c>
      <c r="AD52" s="18">
        <f t="shared" ref="AD52:AF52" si="66">IF($F$6-$D$6 &lt;&gt; 0,(EXP(LN(1+(AD32/100))/($F$6-$D$6))-1)*100,0)</f>
        <v>-0.39875660862359608</v>
      </c>
      <c r="AE52" s="18">
        <f t="shared" si="66"/>
        <v>2.8831759162689208</v>
      </c>
      <c r="AF52" s="18">
        <f t="shared" si="66"/>
        <v>2.6179443530073065</v>
      </c>
    </row>
    <row r="53" spans="1:32" x14ac:dyDescent="0.25">
      <c r="A53" t="str">
        <f>$A$15</f>
        <v>Process, plant and machine operatives</v>
      </c>
      <c r="B53" s="18">
        <f t="shared" si="42"/>
        <v>-0.30271188587898124</v>
      </c>
      <c r="C53" s="18">
        <f t="shared" si="42"/>
        <v>-13.342849743023999</v>
      </c>
      <c r="D53" s="18">
        <f t="shared" si="42"/>
        <v>0.66984900938593661</v>
      </c>
      <c r="E53" s="18">
        <f t="shared" si="42"/>
        <v>-0.37249668122506518</v>
      </c>
      <c r="F53" s="18">
        <f t="shared" si="54"/>
        <v>-2.6252842027107981E-2</v>
      </c>
      <c r="H53" s="18">
        <f t="shared" si="51"/>
        <v>-2.6252842027107981E-2</v>
      </c>
      <c r="I53" s="18">
        <f t="shared" si="51"/>
        <v>2.6591047466653306</v>
      </c>
      <c r="J53" s="18">
        <f t="shared" si="51"/>
        <v>2.6409348788108522</v>
      </c>
      <c r="L53" t="str">
        <f>$A$15</f>
        <v>Process, plant and machine operatives</v>
      </c>
      <c r="M53" s="18">
        <f t="shared" si="43"/>
        <v>-0.51136436889708259</v>
      </c>
      <c r="N53" s="18">
        <f t="shared" si="44"/>
        <v>-13.241856827194287</v>
      </c>
      <c r="O53" s="18">
        <f t="shared" si="45"/>
        <v>0.22798810280757476</v>
      </c>
      <c r="P53" s="18">
        <f t="shared" si="46"/>
        <v>-0.48316182002708929</v>
      </c>
      <c r="Q53" s="18">
        <f t="shared" si="55"/>
        <v>-0.24667426978464135</v>
      </c>
      <c r="S53" s="18">
        <f t="shared" ref="S53:U53" si="67">IF($F$6-$D$6 &lt;&gt; 0,(EXP(LN(1+(S33/100))/($F$6-$D$6))-1)*100,0)</f>
        <v>-0.24667426978464135</v>
      </c>
      <c r="T53" s="18">
        <f t="shared" si="67"/>
        <v>2.5520444365153327</v>
      </c>
      <c r="U53" s="18">
        <f t="shared" si="67"/>
        <v>2.3796500803021425</v>
      </c>
      <c r="W53" t="str">
        <f>$A$15</f>
        <v>Process, plant and machine operatives</v>
      </c>
      <c r="X53" s="18">
        <f t="shared" si="47"/>
        <v>1.2057544620176275</v>
      </c>
      <c r="Y53" s="18">
        <f t="shared" si="48"/>
        <v>-14.042504304036086</v>
      </c>
      <c r="Z53" s="18">
        <f t="shared" si="49"/>
        <v>3.5615030619528421</v>
      </c>
      <c r="AA53" s="18">
        <f t="shared" si="50"/>
        <v>0.26271754244275858</v>
      </c>
      <c r="AB53" s="18">
        <f t="shared" si="57"/>
        <v>1.3504690099323424</v>
      </c>
      <c r="AD53" s="18">
        <f t="shared" ref="AD53:AF53" si="68">IF($F$6-$D$6 &lt;&gt; 0,(EXP(LN(1+(AD33/100))/($F$6-$D$6))-1)*100,0)</f>
        <v>1.3504690099323424</v>
      </c>
      <c r="AE53" s="18">
        <f t="shared" si="68"/>
        <v>3.367044509449979</v>
      </c>
      <c r="AF53" s="18">
        <f t="shared" si="68"/>
        <v>4.2472341184073059</v>
      </c>
    </row>
    <row r="54" spans="1:32" x14ac:dyDescent="0.25">
      <c r="A54" t="str">
        <f>$A$16</f>
        <v>Elementary occupations</v>
      </c>
      <c r="B54" s="18">
        <f t="shared" si="42"/>
        <v>-2.4408874684440196</v>
      </c>
      <c r="C54" s="18">
        <f t="shared" si="42"/>
        <v>-10.295011585911062</v>
      </c>
      <c r="D54" s="18">
        <f t="shared" si="42"/>
        <v>0.82781187940927925</v>
      </c>
      <c r="E54" s="18">
        <f t="shared" si="42"/>
        <v>-0.4780116429422443</v>
      </c>
      <c r="F54" s="18">
        <f t="shared" si="54"/>
        <v>-4.462711763347782E-2</v>
      </c>
      <c r="H54" s="18">
        <f t="shared" si="51"/>
        <v>-4.462711763347782E-2</v>
      </c>
      <c r="I54" s="18">
        <f t="shared" si="51"/>
        <v>2.7058098052875845</v>
      </c>
      <c r="J54" s="18">
        <f t="shared" si="51"/>
        <v>2.675132280685788</v>
      </c>
      <c r="L54" t="str">
        <f>$A$16</f>
        <v>Elementary occupations</v>
      </c>
      <c r="M54" s="18">
        <f t="shared" si="43"/>
        <v>-4.0300328156448355</v>
      </c>
      <c r="N54" s="18">
        <f t="shared" si="44"/>
        <v>-6.9986574320434318</v>
      </c>
      <c r="O54" s="18">
        <f t="shared" si="45"/>
        <v>1.4063410360242612</v>
      </c>
      <c r="P54" s="18">
        <f t="shared" si="46"/>
        <v>-0.42219629666480074</v>
      </c>
      <c r="Q54" s="18">
        <f t="shared" si="55"/>
        <v>0.18362294252933786</v>
      </c>
      <c r="S54" s="18">
        <f t="shared" ref="S54:U54" si="69">IF($F$6-$D$6 &lt;&gt; 0,(EXP(LN(1+(S34/100))/($F$6-$D$6))-1)*100,0)</f>
        <v>0.18362294252933786</v>
      </c>
      <c r="T54" s="18">
        <f t="shared" si="69"/>
        <v>2.2817475553625677</v>
      </c>
      <c r="U54" s="18">
        <f t="shared" si="69"/>
        <v>2.4161308233382917</v>
      </c>
      <c r="W54" t="str">
        <f>$A$16</f>
        <v>Elementary occupations</v>
      </c>
      <c r="X54" s="18">
        <f t="shared" si="47"/>
        <v>-0.48148091217095068</v>
      </c>
      <c r="Y54" s="18">
        <f t="shared" si="48"/>
        <v>-14.007007780270598</v>
      </c>
      <c r="Z54" s="18">
        <f t="shared" si="49"/>
        <v>0.10481388822036752</v>
      </c>
      <c r="AA54" s="18">
        <f t="shared" si="50"/>
        <v>-0.55094602037764062</v>
      </c>
      <c r="AB54" s="18">
        <f t="shared" si="57"/>
        <v>-0.33283808004080928</v>
      </c>
      <c r="AD54" s="18">
        <f t="shared" ref="AD54:AF54" si="70">IF($F$6-$D$6 &lt;&gt; 0,(EXP(LN(1+(AD34/100))/($F$6-$D$6))-1)*100,0)</f>
        <v>-0.33283808004080928</v>
      </c>
      <c r="AE54" s="18">
        <f t="shared" si="70"/>
        <v>3.1912065410375057</v>
      </c>
      <c r="AF54" s="18">
        <f t="shared" si="70"/>
        <v>2.9786888260186384</v>
      </c>
    </row>
    <row r="55" spans="1:32" x14ac:dyDescent="0.25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5">
      <c r="A56" s="24" t="str">
        <f>$A$18</f>
        <v>All occupations</v>
      </c>
      <c r="B56" s="26">
        <f>IF(C$6-B$6 &lt;&gt; 0,(EXP(LN(C18/B18)/(C$6-B$6))-1)*100,0)</f>
        <v>0.21535006256827582</v>
      </c>
      <c r="C56" s="26">
        <f>IF(D$6-C$6 &lt;&gt; 0,(EXP(LN(D18/C18)/(D$6-C$6))-1)*100,0)</f>
        <v>-2.6938938797602008</v>
      </c>
      <c r="D56" s="26">
        <f>IF(E$6-D$6 &lt;&gt; 0,(EXP(LN(E18/D18)/(E$6-D$6))-1)*100,0)</f>
        <v>0.47645957720003906</v>
      </c>
      <c r="E56" s="26">
        <f>IF(F$6-E$6 &lt;&gt; 0,(EXP(LN(F18/E18)/(F$6-E$6))-1)*100,0)</f>
        <v>0.26862934467042354</v>
      </c>
      <c r="F56" s="26">
        <f t="shared" si="54"/>
        <v>0.33785827979151417</v>
      </c>
      <c r="H56" s="26">
        <f t="shared" si="51"/>
        <v>0.33785827979151417</v>
      </c>
      <c r="I56" s="26">
        <f t="shared" ref="I56" si="71">IF($F$6-$D$6 &lt;&gt; 0,(EXP(LN(1+(I36/100))/($F$6-$D$6))-1)*100,0)</f>
        <v>2.7180424293477223</v>
      </c>
      <c r="J56" s="26">
        <f t="shared" ref="J56" si="72">IF($F$6-$D$6 &lt;&gt; 0,(EXP(LN(1+(J36/100))/($F$6-$D$6))-1)*100,0)</f>
        <v>2.9519500204390647</v>
      </c>
      <c r="L56" s="24" t="str">
        <f>$A$18</f>
        <v>All occupations</v>
      </c>
      <c r="M56" s="26">
        <f>IF(N$6-M$6 &lt;&gt; 0,(EXP(LN(N18/M18)/(N$6-M$6))-1)*100,0)</f>
        <v>-0.23164018272505693</v>
      </c>
      <c r="N56" s="26">
        <f>IF(O$6-N$6 &lt;&gt; 0,(EXP(LN(O18/N18)/(O$6-N$6))-1)*100,0)</f>
        <v>-3.915280958209022</v>
      </c>
      <c r="O56" s="26">
        <f>IF(P$6-O$6 &lt;&gt; 0,(EXP(LN(P18/O18)/(P$6-O$6))-1)*100,0)</f>
        <v>0.35771624244251843</v>
      </c>
      <c r="P56" s="26">
        <f>IF(Q$6-P$6 &lt;&gt; 0,(EXP(LN(Q18/P18)/(Q$6-P$6))-1)*100,0)</f>
        <v>0.13148431124847537</v>
      </c>
      <c r="Q56" s="26">
        <f t="shared" ref="Q56" si="73">IF(Q$6-O$6 &lt;&gt; 0,(EXP(LN(Q18/O18)/(Q$6-O$6))-1)*100,0)</f>
        <v>0.20683823318077277</v>
      </c>
      <c r="S56" s="26">
        <f t="shared" ref="S56:U56" si="74">IF($F$6-$D$6 &lt;&gt; 0,(EXP(LN(1+(S36/100))/($F$6-$D$6))-1)*100,0)</f>
        <v>0.20683823318077277</v>
      </c>
      <c r="T56" s="26">
        <f t="shared" si="74"/>
        <v>2.3106264040359648</v>
      </c>
      <c r="U56" s="26">
        <f t="shared" si="74"/>
        <v>2.4614784854774419</v>
      </c>
      <c r="W56" s="24" t="str">
        <f>$A$18</f>
        <v>All occupations</v>
      </c>
      <c r="X56" s="26">
        <f>IF(Y$6-X$6 &lt;&gt; 0,(EXP(LN(Y18/X18)/(Y$6-X$6))-1)*100,0)</f>
        <v>0.75544374979883422</v>
      </c>
      <c r="Y56" s="26">
        <f>IF(Z$6-Y$6 &lt;&gt; 0,(EXP(LN(Z18/Y18)/(Z$6-Y$6))-1)*100,0)</f>
        <v>-1.2539764954082488</v>
      </c>
      <c r="Z56" s="26">
        <f>IF(AA$6-Z$6 &lt;&gt; 0,(EXP(LN(AA18/Z18)/(AA$6-Z$6))-1)*100,0)</f>
        <v>0.61198791198480151</v>
      </c>
      <c r="AA56" s="26">
        <f>IF(AB$6-AA$6 &lt;&gt; 0,(EXP(LN(AB18/AA18)/(AB$6-AA$6))-1)*100,0)</f>
        <v>0.42196464632742181</v>
      </c>
      <c r="AB56" s="26">
        <f t="shared" ref="AB56" si="75">IF(AB$6-Z$6 &lt;&gt; 0,(EXP(LN(AB18/Z18)/(AB$6-Z$6))-1)*100,0)</f>
        <v>0.4852658244766328</v>
      </c>
      <c r="AD56" s="26">
        <f t="shared" ref="AD56:AF56" si="76">IF($F$6-$D$6 &lt;&gt; 0,(EXP(LN(1+(AD36/100))/($F$6-$D$6))-1)*100,0)</f>
        <v>0.4852658244766328</v>
      </c>
      <c r="AE56" s="26">
        <f t="shared" si="76"/>
        <v>3.1591431690172422</v>
      </c>
      <c r="AF56" s="26">
        <f t="shared" si="76"/>
        <v>3.4770434080301005</v>
      </c>
    </row>
    <row r="57" spans="1:32" x14ac:dyDescent="0.25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5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5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5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ht="13" x14ac:dyDescent="0.3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ht="13" x14ac:dyDescent="0.3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5">
      <c r="A64" t="str">
        <f>$A$8</f>
        <v>Managers, directors and senior officials</v>
      </c>
      <c r="B64" s="27">
        <f t="shared" ref="B64:E72" si="77">C8-B8</f>
        <v>3.9524273935769543</v>
      </c>
      <c r="C64" s="27">
        <f t="shared" si="77"/>
        <v>1.4552194827984977</v>
      </c>
      <c r="D64" s="27">
        <f t="shared" si="77"/>
        <v>-2.9635432414324612</v>
      </c>
      <c r="E64" s="27">
        <f t="shared" si="77"/>
        <v>4.3893550355908815</v>
      </c>
      <c r="F64" s="27">
        <f>F8-D8</f>
        <v>1.4258117941584203</v>
      </c>
      <c r="L64" t="str">
        <f>$A$8</f>
        <v>Managers, directors and senior officials</v>
      </c>
      <c r="M64" s="27">
        <f t="shared" ref="M64:M72" si="78">N8-M8</f>
        <v>2.0138790251700733</v>
      </c>
      <c r="N64" s="27">
        <f t="shared" ref="N64:N72" si="79">O8-N8</f>
        <v>-0.11991852795603819</v>
      </c>
      <c r="O64" s="27">
        <f t="shared" ref="O64:O72" si="80">P8-O8</f>
        <v>-2.1943256414810861</v>
      </c>
      <c r="P64" s="27">
        <f t="shared" ref="P64:P72" si="81">Q8-P8</f>
        <v>1.8371185544338218</v>
      </c>
      <c r="Q64" s="27">
        <f>Q8-O8</f>
        <v>-0.35720708704726434</v>
      </c>
      <c r="W64" t="str">
        <f>$A$8</f>
        <v>Managers, directors and senior officials</v>
      </c>
      <c r="X64" s="27">
        <f t="shared" ref="X64:X72" si="82">Y8-X8</f>
        <v>1.938548368406849</v>
      </c>
      <c r="Y64" s="27">
        <f t="shared" ref="Y64:Y72" si="83">Z8-Y8</f>
        <v>1.5751380107545927</v>
      </c>
      <c r="Z64" s="27">
        <f t="shared" ref="Z64:Z72" si="84">AA8-Z8</f>
        <v>-0.76921759995146033</v>
      </c>
      <c r="AA64" s="27">
        <f t="shared" ref="AA64:AA72" si="85">AB8-AA8</f>
        <v>2.5522364811570881</v>
      </c>
      <c r="AB64" s="27">
        <f>AB8-Z8</f>
        <v>1.7830188812056278</v>
      </c>
    </row>
    <row r="65" spans="1:31" x14ac:dyDescent="0.25">
      <c r="A65" t="str">
        <f>$A$9</f>
        <v>Professional occupations</v>
      </c>
      <c r="B65" s="27">
        <f t="shared" si="77"/>
        <v>11.346268904764429</v>
      </c>
      <c r="C65" s="27">
        <f t="shared" si="77"/>
        <v>4.4836566901636417</v>
      </c>
      <c r="D65" s="27">
        <f t="shared" si="77"/>
        <v>6.4185548142397266</v>
      </c>
      <c r="E65" s="27">
        <f t="shared" si="77"/>
        <v>11.77682944462245</v>
      </c>
      <c r="F65" s="27">
        <f t="shared" ref="F65:F72" si="86">F9-D9</f>
        <v>18.195384258862177</v>
      </c>
      <c r="L65" t="str">
        <f>$A$9</f>
        <v>Professional occupations</v>
      </c>
      <c r="M65" s="27">
        <f t="shared" si="78"/>
        <v>3.92616028507409</v>
      </c>
      <c r="N65" s="27">
        <f t="shared" si="79"/>
        <v>2.5789245769552451</v>
      </c>
      <c r="O65" s="27">
        <f t="shared" si="80"/>
        <v>4.8621581829562217</v>
      </c>
      <c r="P65" s="27">
        <f t="shared" si="81"/>
        <v>4.8641399191738515</v>
      </c>
      <c r="Q65" s="27">
        <f t="shared" ref="Q65:Q72" si="87">Q9-O9</f>
        <v>9.7262981021300732</v>
      </c>
      <c r="W65" t="str">
        <f>$A$9</f>
        <v>Professional occupations</v>
      </c>
      <c r="X65" s="27">
        <f t="shared" si="82"/>
        <v>7.4201086196904669</v>
      </c>
      <c r="Y65" s="27">
        <f t="shared" si="83"/>
        <v>1.9047321132083965</v>
      </c>
      <c r="Z65" s="27">
        <f t="shared" si="84"/>
        <v>1.5563966312833202</v>
      </c>
      <c r="AA65" s="27">
        <f t="shared" si="85"/>
        <v>6.9126895254487479</v>
      </c>
      <c r="AB65" s="27">
        <f t="shared" ref="AB65:AB72" si="88">AB9-Z9</f>
        <v>8.4690861567320681</v>
      </c>
    </row>
    <row r="66" spans="1:31" x14ac:dyDescent="0.25">
      <c r="A66" t="str">
        <f>$A$10</f>
        <v>Associate professional occupations</v>
      </c>
      <c r="B66" s="27">
        <f t="shared" si="77"/>
        <v>2.5889966680571703</v>
      </c>
      <c r="C66" s="27">
        <f t="shared" si="77"/>
        <v>2.0992199787569845</v>
      </c>
      <c r="D66" s="27">
        <f t="shared" si="77"/>
        <v>4.3434487569152509</v>
      </c>
      <c r="E66" s="27">
        <f t="shared" si="77"/>
        <v>6.3508938848332406</v>
      </c>
      <c r="F66" s="27">
        <f t="shared" si="86"/>
        <v>10.694342641748491</v>
      </c>
      <c r="L66" t="str">
        <f>$A$10</f>
        <v>Associate professional occupations</v>
      </c>
      <c r="M66" s="27">
        <f t="shared" si="78"/>
        <v>0.19246555130100873</v>
      </c>
      <c r="N66" s="27">
        <f t="shared" si="79"/>
        <v>1.2034091604166797</v>
      </c>
      <c r="O66" s="27">
        <f t="shared" si="80"/>
        <v>-1.2326091527440539</v>
      </c>
      <c r="P66" s="27">
        <f t="shared" si="81"/>
        <v>0.84744146375471274</v>
      </c>
      <c r="Q66" s="27">
        <f t="shared" si="87"/>
        <v>-0.38516768898934117</v>
      </c>
      <c r="W66" t="str">
        <f>$A$10</f>
        <v>Associate professional occupations</v>
      </c>
      <c r="X66" s="27">
        <f t="shared" si="82"/>
        <v>2.3965311167561723</v>
      </c>
      <c r="Y66" s="27">
        <f t="shared" si="83"/>
        <v>0.8958108183403013</v>
      </c>
      <c r="Z66" s="27">
        <f t="shared" si="84"/>
        <v>5.5760579096593403</v>
      </c>
      <c r="AA66" s="27">
        <f t="shared" si="85"/>
        <v>5.5034524210785065</v>
      </c>
      <c r="AB66" s="27">
        <f t="shared" si="88"/>
        <v>11.079510330737847</v>
      </c>
    </row>
    <row r="67" spans="1:31" x14ac:dyDescent="0.25">
      <c r="A67" t="str">
        <f>$A$11</f>
        <v>Administrative and secretarial occupations</v>
      </c>
      <c r="B67" s="27">
        <f t="shared" si="77"/>
        <v>-5.4779378206172993</v>
      </c>
      <c r="C67" s="27">
        <f t="shared" si="77"/>
        <v>1.8183853679680908</v>
      </c>
      <c r="D67" s="27">
        <f t="shared" si="77"/>
        <v>1.0242946475112191</v>
      </c>
      <c r="E67" s="27">
        <f t="shared" si="77"/>
        <v>-3.9754240347085599</v>
      </c>
      <c r="F67" s="27">
        <f t="shared" si="86"/>
        <v>-2.9511293871973407</v>
      </c>
      <c r="L67" t="str">
        <f>$A$11</f>
        <v>Administrative and secretarial occupations</v>
      </c>
      <c r="M67" s="27">
        <f t="shared" si="78"/>
        <v>-2.296844637719758</v>
      </c>
      <c r="N67" s="27">
        <f t="shared" si="79"/>
        <v>2.645738270694995</v>
      </c>
      <c r="O67" s="27">
        <f t="shared" si="80"/>
        <v>1.2371074902840782</v>
      </c>
      <c r="P67" s="27">
        <f t="shared" si="81"/>
        <v>2.1893611411564677</v>
      </c>
      <c r="Q67" s="27">
        <f t="shared" si="87"/>
        <v>3.4264686314405459</v>
      </c>
      <c r="W67" t="str">
        <f>$A$11</f>
        <v>Administrative and secretarial occupations</v>
      </c>
      <c r="X67" s="27">
        <f t="shared" si="82"/>
        <v>-3.181093182897655</v>
      </c>
      <c r="Y67" s="27">
        <f t="shared" si="83"/>
        <v>-0.82735290272692197</v>
      </c>
      <c r="Z67" s="27">
        <f t="shared" si="84"/>
        <v>-0.21281284277280577</v>
      </c>
      <c r="AA67" s="27">
        <f t="shared" si="85"/>
        <v>-6.1647851758650916</v>
      </c>
      <c r="AB67" s="27">
        <f t="shared" si="88"/>
        <v>-6.3775980186378973</v>
      </c>
    </row>
    <row r="68" spans="1:31" x14ac:dyDescent="0.25">
      <c r="A68" t="str">
        <f>$A$12</f>
        <v>Skilled trades occupations</v>
      </c>
      <c r="B68" s="27">
        <f t="shared" si="77"/>
        <v>0.63716290273828236</v>
      </c>
      <c r="C68" s="27">
        <f t="shared" si="77"/>
        <v>-9.7030435986156789</v>
      </c>
      <c r="D68" s="27">
        <f t="shared" si="77"/>
        <v>-1.1987673019664342</v>
      </c>
      <c r="E68" s="27">
        <f t="shared" si="77"/>
        <v>-4.2711560693329815</v>
      </c>
      <c r="F68" s="27">
        <f t="shared" si="86"/>
        <v>-5.4699233712994157</v>
      </c>
      <c r="L68" t="str">
        <f>$A$12</f>
        <v>Skilled trades occupations</v>
      </c>
      <c r="M68" s="27">
        <f t="shared" si="78"/>
        <v>0.85316555516027393</v>
      </c>
      <c r="N68" s="27">
        <f t="shared" si="79"/>
        <v>-10.060172409339515</v>
      </c>
      <c r="O68" s="27">
        <f t="shared" si="80"/>
        <v>-1.3949739034190856</v>
      </c>
      <c r="P68" s="27">
        <f t="shared" si="81"/>
        <v>-4.4729220110884071</v>
      </c>
      <c r="Q68" s="27">
        <f t="shared" si="87"/>
        <v>-5.8678959145074927</v>
      </c>
      <c r="W68" t="str">
        <f>$A$12</f>
        <v>Skilled trades occupations</v>
      </c>
      <c r="X68" s="27">
        <f t="shared" si="82"/>
        <v>-0.21600265242193384</v>
      </c>
      <c r="Y68" s="27">
        <f t="shared" si="83"/>
        <v>0.3571288107237951</v>
      </c>
      <c r="Z68" s="27">
        <f t="shared" si="84"/>
        <v>0.19620660145262647</v>
      </c>
      <c r="AA68" s="27">
        <f t="shared" si="85"/>
        <v>0.20176594175546203</v>
      </c>
      <c r="AB68" s="27">
        <f t="shared" si="88"/>
        <v>0.3979725432080885</v>
      </c>
    </row>
    <row r="69" spans="1:31" x14ac:dyDescent="0.25">
      <c r="A69" t="str">
        <f>$A$13</f>
        <v>Caring, leisure and other service occupations</v>
      </c>
      <c r="B69" s="27">
        <f t="shared" si="77"/>
        <v>0.97951788275135243</v>
      </c>
      <c r="C69" s="27">
        <f t="shared" si="77"/>
        <v>-2.1197540853035477</v>
      </c>
      <c r="D69" s="27">
        <f t="shared" si="77"/>
        <v>0.95957667129025026</v>
      </c>
      <c r="E69" s="27">
        <f t="shared" si="77"/>
        <v>3.6221582333224873</v>
      </c>
      <c r="F69" s="27">
        <f t="shared" si="86"/>
        <v>4.5817349046127376</v>
      </c>
      <c r="L69" t="str">
        <f>$A$13</f>
        <v>Caring, leisure and other service occupations</v>
      </c>
      <c r="M69" s="27">
        <f t="shared" si="78"/>
        <v>-9.7344312518434783E-2</v>
      </c>
      <c r="N69" s="27">
        <f t="shared" si="79"/>
        <v>-0.20234671188889308</v>
      </c>
      <c r="O69" s="27">
        <f t="shared" si="80"/>
        <v>0.53141113365332249</v>
      </c>
      <c r="P69" s="27">
        <f t="shared" si="81"/>
        <v>0.78909690765501761</v>
      </c>
      <c r="Q69" s="27">
        <f t="shared" si="87"/>
        <v>1.3205080413083401</v>
      </c>
      <c r="W69" t="str">
        <f>$A$13</f>
        <v>Caring, leisure and other service occupations</v>
      </c>
      <c r="X69" s="27">
        <f t="shared" si="82"/>
        <v>1.0768621952698112</v>
      </c>
      <c r="Y69" s="27">
        <f t="shared" si="83"/>
        <v>-1.917407373414683</v>
      </c>
      <c r="Z69" s="27">
        <f t="shared" si="84"/>
        <v>0.42816553763694998</v>
      </c>
      <c r="AA69" s="27">
        <f t="shared" si="85"/>
        <v>2.8330613256674653</v>
      </c>
      <c r="AB69" s="27">
        <f t="shared" si="88"/>
        <v>3.2612268633044152</v>
      </c>
    </row>
    <row r="70" spans="1:31" x14ac:dyDescent="0.25">
      <c r="A70" t="str">
        <f>$A$14</f>
        <v>Sales and customer service occupations</v>
      </c>
      <c r="B70" s="27">
        <f t="shared" si="77"/>
        <v>-3.7282336102032616</v>
      </c>
      <c r="C70" s="27">
        <f t="shared" si="77"/>
        <v>-0.24447129109383781</v>
      </c>
      <c r="D70" s="27">
        <f t="shared" si="77"/>
        <v>3.2682107066428046E-2</v>
      </c>
      <c r="E70" s="27">
        <f t="shared" si="77"/>
        <v>-0.29138524380997666</v>
      </c>
      <c r="F70" s="27">
        <f t="shared" si="86"/>
        <v>-0.25870313674354861</v>
      </c>
      <c r="L70" t="str">
        <f>$A$14</f>
        <v>Sales and customer service occupations</v>
      </c>
      <c r="M70" s="27">
        <f t="shared" si="78"/>
        <v>-1.4316458000776535</v>
      </c>
      <c r="N70" s="27">
        <f t="shared" si="79"/>
        <v>0.45389229517211049</v>
      </c>
      <c r="O70" s="27">
        <f t="shared" si="80"/>
        <v>0.72423660925558409</v>
      </c>
      <c r="P70" s="27">
        <f t="shared" si="81"/>
        <v>0.33282778319905404</v>
      </c>
      <c r="Q70" s="27">
        <f t="shared" si="87"/>
        <v>1.0570643924546381</v>
      </c>
      <c r="W70" t="str">
        <f>$A$14</f>
        <v>Sales and customer service occupations</v>
      </c>
      <c r="X70" s="27">
        <f t="shared" si="82"/>
        <v>-2.2965878101256472</v>
      </c>
      <c r="Y70" s="27">
        <f t="shared" si="83"/>
        <v>-0.69836358626595185</v>
      </c>
      <c r="Z70" s="27">
        <f t="shared" si="84"/>
        <v>-0.69155450218920933</v>
      </c>
      <c r="AA70" s="27">
        <f t="shared" si="85"/>
        <v>-0.62421302700895254</v>
      </c>
      <c r="AB70" s="27">
        <f t="shared" si="88"/>
        <v>-1.3157675291981619</v>
      </c>
    </row>
    <row r="71" spans="1:31" x14ac:dyDescent="0.25">
      <c r="A71" t="str">
        <f>$A$15</f>
        <v>Process, plant and machine operatives</v>
      </c>
      <c r="B71" s="27">
        <f t="shared" si="77"/>
        <v>-0.56821521408122067</v>
      </c>
      <c r="C71" s="27">
        <f t="shared" si="77"/>
        <v>-6.214094539697868</v>
      </c>
      <c r="D71" s="27">
        <f t="shared" si="77"/>
        <v>1.3699312698277311</v>
      </c>
      <c r="E71" s="27">
        <f t="shared" si="77"/>
        <v>-1.5285678432163934</v>
      </c>
      <c r="F71" s="27">
        <f t="shared" si="86"/>
        <v>-0.15863657338866233</v>
      </c>
      <c r="L71" t="str">
        <f>$A$15</f>
        <v>Process, plant and machine operatives</v>
      </c>
      <c r="M71" s="27">
        <f t="shared" si="78"/>
        <v>-0.84320950374981862</v>
      </c>
      <c r="N71" s="27">
        <f t="shared" si="79"/>
        <v>-5.3891525718447468</v>
      </c>
      <c r="O71" s="27">
        <f t="shared" si="80"/>
        <v>0.40433776521528841</v>
      </c>
      <c r="P71" s="27">
        <f t="shared" si="81"/>
        <v>-1.6884806844587104</v>
      </c>
      <c r="Q71" s="27">
        <f t="shared" si="87"/>
        <v>-1.2841429192434219</v>
      </c>
      <c r="W71" t="str">
        <f>$A$15</f>
        <v>Process, plant and machine operatives</v>
      </c>
      <c r="X71" s="27">
        <f t="shared" si="82"/>
        <v>0.27499428966864325</v>
      </c>
      <c r="Y71" s="27">
        <f t="shared" si="83"/>
        <v>-0.82494196785315754</v>
      </c>
      <c r="Z71" s="27">
        <f t="shared" si="84"/>
        <v>0.96559350461243554</v>
      </c>
      <c r="AA71" s="27">
        <f t="shared" si="85"/>
        <v>0.15991284124228677</v>
      </c>
      <c r="AB71" s="27">
        <f t="shared" si="88"/>
        <v>1.1255063458547223</v>
      </c>
    </row>
    <row r="72" spans="1:31" x14ac:dyDescent="0.25">
      <c r="A72" t="str">
        <f>$A$16</f>
        <v>Elementary occupations</v>
      </c>
      <c r="B72" s="27">
        <f t="shared" si="77"/>
        <v>-5.360987106986812</v>
      </c>
      <c r="C72" s="27">
        <f t="shared" si="77"/>
        <v>-5.3121180049762557</v>
      </c>
      <c r="D72" s="27">
        <f t="shared" si="77"/>
        <v>1.9478222765486777</v>
      </c>
      <c r="E72" s="27">
        <f t="shared" si="77"/>
        <v>-2.2567034073016927</v>
      </c>
      <c r="F72" s="27">
        <f t="shared" si="86"/>
        <v>-0.30888113075301504</v>
      </c>
      <c r="L72" t="str">
        <f>$A$16</f>
        <v>Elementary occupations</v>
      </c>
      <c r="M72" s="27">
        <f t="shared" si="78"/>
        <v>-4.8878962418043557</v>
      </c>
      <c r="N72" s="27">
        <f t="shared" si="79"/>
        <v>-1.9127020740797427</v>
      </c>
      <c r="O72" s="27">
        <f t="shared" si="80"/>
        <v>1.8382195811835622</v>
      </c>
      <c r="P72" s="27">
        <f t="shared" si="81"/>
        <v>-1.1290815367373952</v>
      </c>
      <c r="Q72" s="27">
        <f t="shared" si="87"/>
        <v>0.70913804444616702</v>
      </c>
      <c r="W72" t="str">
        <f>$A$16</f>
        <v>Elementary occupations</v>
      </c>
      <c r="X72" s="27">
        <f t="shared" si="82"/>
        <v>-0.47309086518242438</v>
      </c>
      <c r="Y72" s="27">
        <f t="shared" si="83"/>
        <v>-3.3994159308964669</v>
      </c>
      <c r="Z72" s="27">
        <f t="shared" si="84"/>
        <v>0.1096026953650977</v>
      </c>
      <c r="AA72" s="27">
        <f t="shared" si="85"/>
        <v>-1.1276218705643117</v>
      </c>
      <c r="AB72" s="27">
        <f t="shared" si="88"/>
        <v>-1.018019175199214</v>
      </c>
    </row>
    <row r="73" spans="1:31" x14ac:dyDescent="0.25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5">
      <c r="A74" s="24" t="str">
        <f>$A$18</f>
        <v>All occupations</v>
      </c>
      <c r="B74" s="29">
        <f>C18-B18</f>
        <v>4.3689999999995166</v>
      </c>
      <c r="C74" s="29">
        <f t="shared" ref="C74" si="89">D18-C18</f>
        <v>-13.736999999999966</v>
      </c>
      <c r="D74" s="29">
        <f>E18-D18</f>
        <v>11.934000000000424</v>
      </c>
      <c r="E74" s="29">
        <f>F18-E18</f>
        <v>13.815999999999406</v>
      </c>
      <c r="F74" s="29">
        <f>F18-D18</f>
        <v>25.749999999999829</v>
      </c>
      <c r="L74" s="24" t="str">
        <f>$A$18</f>
        <v>All occupations</v>
      </c>
      <c r="M74" s="29">
        <f>N18-M18</f>
        <v>-2.5712700791646057</v>
      </c>
      <c r="N74" s="29">
        <f t="shared" ref="N74" si="90">O18-N18</f>
        <v>-10.802327991869845</v>
      </c>
      <c r="O74" s="29">
        <f>P18-O18</f>
        <v>4.7755620649037951</v>
      </c>
      <c r="P74" s="29">
        <f>Q18-P18</f>
        <v>3.5695015370884562</v>
      </c>
      <c r="Q74" s="29">
        <f>Q18-O18</f>
        <v>8.3450636019922513</v>
      </c>
      <c r="W74" s="24" t="str">
        <f>$A$18</f>
        <v>All occupations</v>
      </c>
      <c r="X74" s="29">
        <f>Y18-X18</f>
        <v>6.940270079164236</v>
      </c>
      <c r="Y74" s="29">
        <f t="shared" ref="Y74" si="91">Z18-Y18</f>
        <v>-2.934672008130093</v>
      </c>
      <c r="Z74" s="29">
        <f>AA18-Z18</f>
        <v>7.1584379350963445</v>
      </c>
      <c r="AA74" s="29">
        <f>AB18-AA18</f>
        <v>10.246498462911177</v>
      </c>
      <c r="AB74" s="29">
        <f>AB18-Z18</f>
        <v>17.404936398007521</v>
      </c>
    </row>
    <row r="78" spans="1:31" ht="13" x14ac:dyDescent="0.3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ht="13" x14ac:dyDescent="0.3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42.392720616000332</v>
      </c>
      <c r="C80" s="11">
        <f t="shared" si="92"/>
        <v>46.345148009577287</v>
      </c>
      <c r="D80" s="11">
        <f t="shared" si="92"/>
        <v>47.800367492375784</v>
      </c>
      <c r="E80" s="11">
        <f t="shared" si="92"/>
        <v>44.836824250943323</v>
      </c>
      <c r="F80" s="11">
        <f t="shared" si="92"/>
        <v>49.226179286534204</v>
      </c>
      <c r="H80" s="40">
        <f>IF(D$6-B$6 &lt;&gt; 0,(EXP(LN(D8/B8)/(D$6-B$6))-1)*100,0)</f>
        <v>2.4301925967987525</v>
      </c>
      <c r="I80" s="40">
        <f t="shared" ref="I80:I88" si="93">F46</f>
        <v>0.1961404623199936</v>
      </c>
      <c r="L80" t="str">
        <f t="shared" ref="L80:Q88" si="94">L8</f>
        <v>Managers, directors and senior officials</v>
      </c>
      <c r="M80" s="11">
        <f t="shared" si="94"/>
        <v>29.03422481858917</v>
      </c>
      <c r="N80" s="11">
        <f t="shared" si="94"/>
        <v>31.048103843759243</v>
      </c>
      <c r="O80" s="11">
        <f t="shared" si="94"/>
        <v>30.928185315803205</v>
      </c>
      <c r="P80" s="11">
        <f t="shared" si="94"/>
        <v>28.733859674322119</v>
      </c>
      <c r="Q80" s="11">
        <f t="shared" si="94"/>
        <v>30.570978228755941</v>
      </c>
      <c r="S80" s="40">
        <f t="shared" ref="S80:S88" si="95">IF(O$6-M$6 &lt;&gt; 0,(EXP(LN(O8/M8)/(O$6-M$6))-1)*100,0)</f>
        <v>1.271872645789629</v>
      </c>
      <c r="T80" s="40">
        <f t="shared" ref="T80:T88" si="96">Q46</f>
        <v>-7.7415214087228623E-2</v>
      </c>
      <c r="W80" t="str">
        <f t="shared" ref="W80:AB88" si="97">W8</f>
        <v>Managers, directors and senior officials</v>
      </c>
      <c r="X80" s="11">
        <f t="shared" si="97"/>
        <v>13.35849579741118</v>
      </c>
      <c r="Y80" s="11">
        <f t="shared" si="97"/>
        <v>15.297044165818029</v>
      </c>
      <c r="Z80" s="11">
        <f t="shared" si="97"/>
        <v>16.872182176572622</v>
      </c>
      <c r="AA80" s="11">
        <f t="shared" si="97"/>
        <v>16.102964576621162</v>
      </c>
      <c r="AB80" s="11">
        <f t="shared" si="97"/>
        <v>18.65520105777825</v>
      </c>
      <c r="AD80" s="40">
        <f t="shared" ref="AD80:AD88" si="98">IF(Z$6-X$6 &lt;&gt; 0,(EXP(LN(Z8/X8)/(Z$6-X$6))-1)*100,0)</f>
        <v>4.7810484123603114</v>
      </c>
      <c r="AE80" s="40">
        <f t="shared" ref="AE80:AE88" si="99">AB46</f>
        <v>0.67197262997948926</v>
      </c>
    </row>
    <row r="81" spans="1:31" x14ac:dyDescent="0.25">
      <c r="A81" t="str">
        <f t="shared" si="92"/>
        <v>Professional occupations</v>
      </c>
      <c r="B81" s="11">
        <f t="shared" si="92"/>
        <v>87.713907644760383</v>
      </c>
      <c r="C81" s="11">
        <f t="shared" si="92"/>
        <v>99.060176549524812</v>
      </c>
      <c r="D81" s="11">
        <f t="shared" si="92"/>
        <v>103.54383323968845</v>
      </c>
      <c r="E81" s="11">
        <f t="shared" si="92"/>
        <v>109.96238805392818</v>
      </c>
      <c r="F81" s="11">
        <f t="shared" si="92"/>
        <v>121.73921749855063</v>
      </c>
      <c r="H81" s="40">
        <f t="shared" ref="H81:H88" si="100">IF(D$6-B$6 &lt;&gt; 0,(EXP(LN(D9/B9)/(D$6-B$6))-1)*100,0)</f>
        <v>3.3739606107497266</v>
      </c>
      <c r="I81" s="40">
        <f t="shared" si="93"/>
        <v>1.0850858994736923</v>
      </c>
      <c r="L81" t="str">
        <f t="shared" si="94"/>
        <v>Professional occupations</v>
      </c>
      <c r="M81" s="11">
        <f t="shared" si="94"/>
        <v>45.534461167396955</v>
      </c>
      <c r="N81" s="11">
        <f t="shared" si="94"/>
        <v>49.460621452471045</v>
      </c>
      <c r="O81" s="11">
        <f t="shared" si="94"/>
        <v>52.03954602942629</v>
      </c>
      <c r="P81" s="11">
        <f t="shared" si="94"/>
        <v>56.901704212382512</v>
      </c>
      <c r="Q81" s="11">
        <f t="shared" si="94"/>
        <v>61.765844131556364</v>
      </c>
      <c r="S81" s="40">
        <f t="shared" si="95"/>
        <v>2.7066725906416123</v>
      </c>
      <c r="T81" s="40">
        <f t="shared" si="96"/>
        <v>1.1488599327983184</v>
      </c>
      <c r="W81" t="str">
        <f t="shared" si="97"/>
        <v>Professional occupations</v>
      </c>
      <c r="X81" s="11">
        <f t="shared" si="97"/>
        <v>42.179446477363356</v>
      </c>
      <c r="Y81" s="11">
        <f t="shared" si="97"/>
        <v>49.599555097053823</v>
      </c>
      <c r="Z81" s="11">
        <f t="shared" si="97"/>
        <v>51.50428721026222</v>
      </c>
      <c r="AA81" s="11">
        <f t="shared" si="97"/>
        <v>53.06068384154554</v>
      </c>
      <c r="AB81" s="11">
        <f t="shared" si="97"/>
        <v>59.973373366994288</v>
      </c>
      <c r="AD81" s="40">
        <f t="shared" si="98"/>
        <v>4.0754988003308901</v>
      </c>
      <c r="AE81" s="40">
        <f t="shared" si="99"/>
        <v>1.0200718570586798</v>
      </c>
    </row>
    <row r="82" spans="1:31" x14ac:dyDescent="0.25">
      <c r="A82" t="str">
        <f t="shared" si="92"/>
        <v>Associate professional occupations</v>
      </c>
      <c r="B82" s="11">
        <f t="shared" si="92"/>
        <v>56.127385363836439</v>
      </c>
      <c r="C82" s="11">
        <f t="shared" si="92"/>
        <v>58.716382031893609</v>
      </c>
      <c r="D82" s="11">
        <f t="shared" si="92"/>
        <v>60.815602010650593</v>
      </c>
      <c r="E82" s="11">
        <f t="shared" si="92"/>
        <v>65.159050767565844</v>
      </c>
      <c r="F82" s="11">
        <f t="shared" si="92"/>
        <v>71.509944652399085</v>
      </c>
      <c r="H82" s="40">
        <f t="shared" si="100"/>
        <v>1.6173908609099286</v>
      </c>
      <c r="I82" s="40">
        <f t="shared" si="93"/>
        <v>1.0857867262725973</v>
      </c>
      <c r="L82" t="str">
        <f t="shared" si="94"/>
        <v>Associate professional occupations</v>
      </c>
      <c r="M82" s="11">
        <f t="shared" si="94"/>
        <v>31.445207367233628</v>
      </c>
      <c r="N82" s="11">
        <f t="shared" si="94"/>
        <v>31.637672918534637</v>
      </c>
      <c r="O82" s="11">
        <f t="shared" si="94"/>
        <v>32.841082078951317</v>
      </c>
      <c r="P82" s="11">
        <f t="shared" si="94"/>
        <v>31.608472926207263</v>
      </c>
      <c r="Q82" s="11">
        <f t="shared" si="94"/>
        <v>32.455914389961976</v>
      </c>
      <c r="S82" s="40">
        <f t="shared" si="95"/>
        <v>0.8724569427479123</v>
      </c>
      <c r="T82" s="40">
        <f t="shared" si="96"/>
        <v>-7.8619384725797659E-2</v>
      </c>
      <c r="W82" t="str">
        <f t="shared" si="97"/>
        <v>Associate professional occupations</v>
      </c>
      <c r="X82" s="11">
        <f t="shared" si="97"/>
        <v>24.682177996602789</v>
      </c>
      <c r="Y82" s="11">
        <f t="shared" si="97"/>
        <v>27.078709113358961</v>
      </c>
      <c r="Z82" s="11">
        <f t="shared" si="97"/>
        <v>27.974519931699263</v>
      </c>
      <c r="AA82" s="11">
        <f t="shared" si="97"/>
        <v>33.550577841358603</v>
      </c>
      <c r="AB82" s="11">
        <f t="shared" si="97"/>
        <v>39.054030262437109</v>
      </c>
      <c r="AD82" s="40">
        <f t="shared" si="98"/>
        <v>2.5358727864230435</v>
      </c>
      <c r="AE82" s="40">
        <f t="shared" si="99"/>
        <v>2.2492696052989647</v>
      </c>
    </row>
    <row r="83" spans="1:31" x14ac:dyDescent="0.25">
      <c r="A83" t="str">
        <f t="shared" si="92"/>
        <v>Administrative and secretarial occupations</v>
      </c>
      <c r="B83" s="11">
        <f t="shared" si="92"/>
        <v>60.137952735863799</v>
      </c>
      <c r="C83" s="11">
        <f t="shared" si="92"/>
        <v>54.660014915246499</v>
      </c>
      <c r="D83" s="11">
        <f t="shared" si="92"/>
        <v>56.47840028321459</v>
      </c>
      <c r="E83" s="11">
        <f t="shared" si="92"/>
        <v>57.502694930725809</v>
      </c>
      <c r="F83" s="11">
        <f t="shared" si="92"/>
        <v>53.527270896017249</v>
      </c>
      <c r="H83" s="40">
        <f t="shared" si="100"/>
        <v>-1.2478068393020125</v>
      </c>
      <c r="I83" s="40">
        <f t="shared" si="93"/>
        <v>-0.35714078831445839</v>
      </c>
      <c r="L83" t="str">
        <f t="shared" si="94"/>
        <v>Administrative and secretarial occupations</v>
      </c>
      <c r="M83" s="11">
        <f t="shared" si="94"/>
        <v>16.59794853010651</v>
      </c>
      <c r="N83" s="11">
        <f t="shared" si="94"/>
        <v>14.301103892386752</v>
      </c>
      <c r="O83" s="11">
        <f t="shared" si="94"/>
        <v>16.946842163081747</v>
      </c>
      <c r="P83" s="11">
        <f t="shared" si="94"/>
        <v>18.183949653365826</v>
      </c>
      <c r="Q83" s="11">
        <f t="shared" si="94"/>
        <v>20.373310794522293</v>
      </c>
      <c r="S83" s="40">
        <f t="shared" si="95"/>
        <v>0.41691484599586381</v>
      </c>
      <c r="T83" s="40">
        <f t="shared" si="96"/>
        <v>1.2351945290573596</v>
      </c>
      <c r="W83" t="str">
        <f t="shared" si="97"/>
        <v>Administrative and secretarial occupations</v>
      </c>
      <c r="X83" s="11">
        <f t="shared" si="97"/>
        <v>43.540004205757398</v>
      </c>
      <c r="Y83" s="11">
        <f t="shared" si="97"/>
        <v>40.358911022859743</v>
      </c>
      <c r="Z83" s="11">
        <f t="shared" si="97"/>
        <v>39.531558120132821</v>
      </c>
      <c r="AA83" s="11">
        <f t="shared" si="97"/>
        <v>39.318745277360016</v>
      </c>
      <c r="AB83" s="11">
        <f t="shared" si="97"/>
        <v>33.153960101494924</v>
      </c>
      <c r="AD83" s="40">
        <f t="shared" si="98"/>
        <v>-1.9130810108429985</v>
      </c>
      <c r="AE83" s="40">
        <f t="shared" si="99"/>
        <v>-1.1660623307845674</v>
      </c>
    </row>
    <row r="84" spans="1:31" x14ac:dyDescent="0.25">
      <c r="A84" t="str">
        <f t="shared" si="92"/>
        <v>Skilled trades occupations</v>
      </c>
      <c r="B84" s="11">
        <f t="shared" si="92"/>
        <v>61.298727794930358</v>
      </c>
      <c r="C84" s="11">
        <f t="shared" si="92"/>
        <v>61.93589069766864</v>
      </c>
      <c r="D84" s="11">
        <f t="shared" si="92"/>
        <v>52.232847099052961</v>
      </c>
      <c r="E84" s="11">
        <f t="shared" si="92"/>
        <v>51.034079797086527</v>
      </c>
      <c r="F84" s="11">
        <f t="shared" si="92"/>
        <v>46.762923727753545</v>
      </c>
      <c r="H84" s="40">
        <f t="shared" si="100"/>
        <v>-3.1502625897510406</v>
      </c>
      <c r="I84" s="40">
        <f t="shared" si="93"/>
        <v>-0.73475994895060293</v>
      </c>
      <c r="L84" t="str">
        <f t="shared" si="94"/>
        <v>Skilled trades occupations</v>
      </c>
      <c r="M84" s="11">
        <f t="shared" si="94"/>
        <v>56.754509224207411</v>
      </c>
      <c r="N84" s="11">
        <f t="shared" si="94"/>
        <v>57.607674779367684</v>
      </c>
      <c r="O84" s="11">
        <f t="shared" si="94"/>
        <v>47.54750237002817</v>
      </c>
      <c r="P84" s="11">
        <f t="shared" si="94"/>
        <v>46.152528466609084</v>
      </c>
      <c r="Q84" s="11">
        <f t="shared" si="94"/>
        <v>41.679606455520677</v>
      </c>
      <c r="S84" s="40">
        <f t="shared" si="95"/>
        <v>-3.478187791509213</v>
      </c>
      <c r="T84" s="40">
        <f t="shared" si="96"/>
        <v>-0.87427119971423828</v>
      </c>
      <c r="W84" t="str">
        <f t="shared" si="97"/>
        <v>Skilled trades occupations</v>
      </c>
      <c r="X84" s="11">
        <f t="shared" si="97"/>
        <v>4.5442185707229337</v>
      </c>
      <c r="Y84" s="11">
        <f t="shared" si="97"/>
        <v>4.3282159183009998</v>
      </c>
      <c r="Z84" s="11">
        <f t="shared" si="97"/>
        <v>4.6853447290247949</v>
      </c>
      <c r="AA84" s="11">
        <f t="shared" si="97"/>
        <v>4.8815513304774214</v>
      </c>
      <c r="AB84" s="11">
        <f t="shared" si="97"/>
        <v>5.0833172722328834</v>
      </c>
      <c r="AD84" s="40">
        <f t="shared" si="98"/>
        <v>0.61354881122674954</v>
      </c>
      <c r="AE84" s="40">
        <f t="shared" si="99"/>
        <v>0.54497669401818438</v>
      </c>
    </row>
    <row r="85" spans="1:31" x14ac:dyDescent="0.25">
      <c r="A85" t="str">
        <f t="shared" si="92"/>
        <v>Caring, leisure and other service occupations</v>
      </c>
      <c r="B85" s="11">
        <f t="shared" si="92"/>
        <v>50.478192628686543</v>
      </c>
      <c r="C85" s="11">
        <f t="shared" si="92"/>
        <v>51.457710511437895</v>
      </c>
      <c r="D85" s="11">
        <f t="shared" si="92"/>
        <v>49.337956426134348</v>
      </c>
      <c r="E85" s="11">
        <f t="shared" si="92"/>
        <v>50.297533097424598</v>
      </c>
      <c r="F85" s="11">
        <f t="shared" si="92"/>
        <v>53.919691330747085</v>
      </c>
      <c r="H85" s="40">
        <f t="shared" si="100"/>
        <v>-0.45591198836449909</v>
      </c>
      <c r="I85" s="40">
        <f t="shared" si="93"/>
        <v>0.5937695306053703</v>
      </c>
      <c r="L85" t="str">
        <f t="shared" si="94"/>
        <v>Caring, leisure and other service occupations</v>
      </c>
      <c r="M85" s="11">
        <f t="shared" si="94"/>
        <v>7.6489928676305334</v>
      </c>
      <c r="N85" s="11">
        <f t="shared" si="94"/>
        <v>7.5516485551120986</v>
      </c>
      <c r="O85" s="11">
        <f t="shared" si="94"/>
        <v>7.3493018432232056</v>
      </c>
      <c r="P85" s="11">
        <f t="shared" si="94"/>
        <v>7.8807129768765281</v>
      </c>
      <c r="Q85" s="11">
        <f t="shared" si="94"/>
        <v>8.6698098845315457</v>
      </c>
      <c r="S85" s="40">
        <f t="shared" si="95"/>
        <v>-0.79618683740697582</v>
      </c>
      <c r="T85" s="40">
        <f t="shared" si="96"/>
        <v>1.107700342974427</v>
      </c>
      <c r="W85" t="str">
        <f t="shared" si="97"/>
        <v>Caring, leisure and other service occupations</v>
      </c>
      <c r="X85" s="11">
        <f t="shared" si="97"/>
        <v>42.829199761056003</v>
      </c>
      <c r="Y85" s="11">
        <f t="shared" si="97"/>
        <v>43.906061956325814</v>
      </c>
      <c r="Z85" s="11">
        <f t="shared" si="97"/>
        <v>41.988654582911131</v>
      </c>
      <c r="AA85" s="11">
        <f t="shared" si="97"/>
        <v>42.416820120548081</v>
      </c>
      <c r="AB85" s="11">
        <f t="shared" si="97"/>
        <v>45.249881446215547</v>
      </c>
      <c r="AD85" s="40">
        <f>IF(Z$6-X$6 &lt;&gt; 0,(EXP(LN(Z13/X13)/(Z$6-X$6))-1)*100,0)</f>
        <v>-0.39562841178113484</v>
      </c>
      <c r="AE85" s="40">
        <f t="shared" si="99"/>
        <v>0.49991608045885094</v>
      </c>
    </row>
    <row r="86" spans="1:31" x14ac:dyDescent="0.25">
      <c r="A86" t="str">
        <f t="shared" si="92"/>
        <v>Sales and customer service occupations</v>
      </c>
      <c r="B86" s="11">
        <f t="shared" si="92"/>
        <v>43.312490842090227</v>
      </c>
      <c r="C86" s="11">
        <f t="shared" si="92"/>
        <v>39.584257231886966</v>
      </c>
      <c r="D86" s="11">
        <f t="shared" si="92"/>
        <v>39.339785940793128</v>
      </c>
      <c r="E86" s="11">
        <f t="shared" si="92"/>
        <v>39.372468047859556</v>
      </c>
      <c r="F86" s="11">
        <f t="shared" si="92"/>
        <v>39.081082804049579</v>
      </c>
      <c r="H86" s="40">
        <f t="shared" si="100"/>
        <v>-1.9057013424181979</v>
      </c>
      <c r="I86" s="40">
        <f t="shared" si="93"/>
        <v>-4.3975911251237232E-2</v>
      </c>
      <c r="L86" t="str">
        <f t="shared" si="94"/>
        <v>Sales and customer service occupations</v>
      </c>
      <c r="M86" s="11">
        <f t="shared" si="94"/>
        <v>17.699134073339792</v>
      </c>
      <c r="N86" s="11">
        <f t="shared" si="94"/>
        <v>16.267488273262138</v>
      </c>
      <c r="O86" s="11">
        <f t="shared" si="94"/>
        <v>16.721380568434249</v>
      </c>
      <c r="P86" s="11">
        <f t="shared" si="94"/>
        <v>17.445617177689833</v>
      </c>
      <c r="Q86" s="11">
        <f t="shared" si="94"/>
        <v>17.778444960888887</v>
      </c>
      <c r="S86" s="40">
        <f t="shared" si="95"/>
        <v>-1.1301164974109046</v>
      </c>
      <c r="T86" s="40">
        <f t="shared" si="96"/>
        <v>0.40949342321745519</v>
      </c>
      <c r="W86" t="str">
        <f t="shared" si="97"/>
        <v>Sales and customer service occupations</v>
      </c>
      <c r="X86" s="11">
        <f t="shared" si="97"/>
        <v>25.61335676875046</v>
      </c>
      <c r="Y86" s="11">
        <f t="shared" si="97"/>
        <v>23.316768958624813</v>
      </c>
      <c r="Z86" s="11">
        <f t="shared" si="97"/>
        <v>22.618405372358861</v>
      </c>
      <c r="AA86" s="11">
        <f t="shared" si="97"/>
        <v>21.926850870169652</v>
      </c>
      <c r="AB86" s="11">
        <f t="shared" si="97"/>
        <v>21.302637843160699</v>
      </c>
      <c r="AD86" s="40">
        <f t="shared" si="98"/>
        <v>-2.4563287950383317</v>
      </c>
      <c r="AE86" s="40">
        <f t="shared" si="99"/>
        <v>-0.39875660862359608</v>
      </c>
    </row>
    <row r="87" spans="1:31" x14ac:dyDescent="0.25">
      <c r="A87" t="str">
        <f t="shared" si="92"/>
        <v>Process, plant and machine operatives</v>
      </c>
      <c r="B87" s="11">
        <f t="shared" si="92"/>
        <v>47.140684059777129</v>
      </c>
      <c r="C87" s="11">
        <f t="shared" si="92"/>
        <v>46.572468845695909</v>
      </c>
      <c r="D87" s="11">
        <f t="shared" si="92"/>
        <v>40.358374305998041</v>
      </c>
      <c r="E87" s="11">
        <f t="shared" si="92"/>
        <v>41.728305575825772</v>
      </c>
      <c r="F87" s="11">
        <f t="shared" si="92"/>
        <v>40.199737732609378</v>
      </c>
      <c r="H87" s="40">
        <f t="shared" si="100"/>
        <v>-3.058986311425782</v>
      </c>
      <c r="I87" s="40">
        <f t="shared" si="93"/>
        <v>-2.6252842027107981E-2</v>
      </c>
      <c r="L87" t="str">
        <f t="shared" si="94"/>
        <v>Process, plant and machine operatives</v>
      </c>
      <c r="M87" s="11">
        <f t="shared" si="94"/>
        <v>41.541071156937718</v>
      </c>
      <c r="N87" s="11">
        <f t="shared" si="94"/>
        <v>40.6978616531879</v>
      </c>
      <c r="O87" s="11">
        <f t="shared" si="94"/>
        <v>35.308709081343153</v>
      </c>
      <c r="P87" s="11">
        <f t="shared" si="94"/>
        <v>35.713046846558441</v>
      </c>
      <c r="Q87" s="11">
        <f t="shared" si="94"/>
        <v>34.024566162099731</v>
      </c>
      <c r="S87" s="40">
        <f t="shared" si="95"/>
        <v>-3.1987802358227513</v>
      </c>
      <c r="T87" s="40">
        <f t="shared" si="96"/>
        <v>-0.24667426978464135</v>
      </c>
      <c r="W87" t="str">
        <f t="shared" si="97"/>
        <v>Process, plant and machine operatives</v>
      </c>
      <c r="X87" s="11">
        <f t="shared" si="97"/>
        <v>5.5996129028394144</v>
      </c>
      <c r="Y87" s="11">
        <f t="shared" si="97"/>
        <v>5.8746071925080576</v>
      </c>
      <c r="Z87" s="11">
        <f t="shared" si="97"/>
        <v>5.0496652246549001</v>
      </c>
      <c r="AA87" s="11">
        <f t="shared" si="97"/>
        <v>6.0152587292673356</v>
      </c>
      <c r="AB87" s="11">
        <f t="shared" si="97"/>
        <v>6.1751715705096224</v>
      </c>
      <c r="AD87" s="40">
        <f t="shared" si="98"/>
        <v>-2.0462839793803256</v>
      </c>
      <c r="AE87" s="40">
        <f t="shared" si="99"/>
        <v>1.3504690099323424</v>
      </c>
    </row>
    <row r="88" spans="1:31" x14ac:dyDescent="0.25">
      <c r="A88" t="str">
        <f t="shared" si="92"/>
        <v>Elementary occupations</v>
      </c>
      <c r="B88" s="11">
        <f t="shared" si="92"/>
        <v>56.959938314054895</v>
      </c>
      <c r="C88" s="11">
        <f t="shared" si="92"/>
        <v>51.598951207068083</v>
      </c>
      <c r="D88" s="11">
        <f t="shared" si="92"/>
        <v>46.286833202091827</v>
      </c>
      <c r="E88" s="11">
        <f t="shared" si="92"/>
        <v>48.234655478640505</v>
      </c>
      <c r="F88" s="11">
        <f t="shared" si="92"/>
        <v>45.977952071338812</v>
      </c>
      <c r="H88" s="40">
        <f t="shared" si="100"/>
        <v>-4.06488694397712</v>
      </c>
      <c r="I88" s="40">
        <f t="shared" si="93"/>
        <v>-4.462711763347782E-2</v>
      </c>
      <c r="L88" t="str">
        <f t="shared" si="94"/>
        <v>Elementary occupations</v>
      </c>
      <c r="M88" s="11">
        <f t="shared" si="94"/>
        <v>32.217453269733966</v>
      </c>
      <c r="N88" s="11">
        <f t="shared" si="94"/>
        <v>27.32955702792961</v>
      </c>
      <c r="O88" s="11">
        <f t="shared" si="94"/>
        <v>25.416854953849867</v>
      </c>
      <c r="P88" s="11">
        <f t="shared" si="94"/>
        <v>27.25507453503343</v>
      </c>
      <c r="Q88" s="11">
        <f t="shared" si="94"/>
        <v>26.125992998296034</v>
      </c>
      <c r="S88" s="40">
        <f t="shared" si="95"/>
        <v>-4.6312433481047188</v>
      </c>
      <c r="T88" s="40">
        <f t="shared" si="96"/>
        <v>0.18362294252933786</v>
      </c>
      <c r="W88" t="str">
        <f t="shared" si="97"/>
        <v>Elementary occupations</v>
      </c>
      <c r="X88" s="11">
        <f t="shared" si="97"/>
        <v>24.742485044320905</v>
      </c>
      <c r="Y88" s="11">
        <f t="shared" si="97"/>
        <v>24.26939417913848</v>
      </c>
      <c r="Z88" s="11">
        <f t="shared" si="97"/>
        <v>20.869978248242013</v>
      </c>
      <c r="AA88" s="11">
        <f t="shared" si="97"/>
        <v>20.979580943607111</v>
      </c>
      <c r="AB88" s="11">
        <f t="shared" si="97"/>
        <v>19.851959073042799</v>
      </c>
      <c r="AD88" s="40">
        <f t="shared" si="98"/>
        <v>-3.3469115545745387</v>
      </c>
      <c r="AE88" s="40">
        <f t="shared" si="99"/>
        <v>-0.33283808004080928</v>
      </c>
    </row>
    <row r="89" spans="1:31" x14ac:dyDescent="0.25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5">
      <c r="A90" s="24" t="str">
        <f t="shared" ref="A90:F90" si="101">A18</f>
        <v>All occupations</v>
      </c>
      <c r="B90" s="34">
        <f t="shared" si="101"/>
        <v>505.56200000000013</v>
      </c>
      <c r="C90" s="34">
        <f t="shared" si="101"/>
        <v>509.93099999999964</v>
      </c>
      <c r="D90" s="34">
        <f t="shared" si="101"/>
        <v>496.19399999999968</v>
      </c>
      <c r="E90" s="34">
        <f t="shared" si="101"/>
        <v>508.1280000000001</v>
      </c>
      <c r="F90" s="34">
        <f t="shared" si="101"/>
        <v>521.94399999999951</v>
      </c>
      <c r="H90" s="43">
        <f>IF(D$6-B$6 &lt;&gt; 0,(EXP(LN(D18/B18)/(D$6-B$6))-1)*100,0)</f>
        <v>-0.37337526450478276</v>
      </c>
      <c r="I90" s="43">
        <f>F56</f>
        <v>0.33785827979151417</v>
      </c>
      <c r="L90" s="24" t="str">
        <f t="shared" ref="L90:Q90" si="102">L18</f>
        <v>All occupations</v>
      </c>
      <c r="M90" s="34">
        <f t="shared" si="102"/>
        <v>278.47300247517569</v>
      </c>
      <c r="N90" s="34">
        <f t="shared" si="102"/>
        <v>275.90173239601108</v>
      </c>
      <c r="O90" s="34">
        <f t="shared" si="102"/>
        <v>265.09940440414124</v>
      </c>
      <c r="P90" s="34">
        <f t="shared" si="102"/>
        <v>269.87496646904503</v>
      </c>
      <c r="Q90" s="34">
        <f t="shared" si="102"/>
        <v>273.44446800613349</v>
      </c>
      <c r="S90" s="43">
        <f>IF(O$6-M$6 &lt;&gt; 0,(EXP(LN(O18/M18)/(O$6-M$6))-1)*100,0)</f>
        <v>-0.979496358002796</v>
      </c>
      <c r="T90" s="43">
        <f>Q56</f>
        <v>0.20683823318077277</v>
      </c>
      <c r="W90" s="24" t="str">
        <f t="shared" ref="W90:AB90" si="103">W18</f>
        <v>All occupations</v>
      </c>
      <c r="X90" s="34">
        <f t="shared" si="103"/>
        <v>227.08899752482446</v>
      </c>
      <c r="Y90" s="34">
        <f t="shared" si="103"/>
        <v>234.0292676039887</v>
      </c>
      <c r="Z90" s="34">
        <f t="shared" si="103"/>
        <v>231.09459559585861</v>
      </c>
      <c r="AA90" s="34">
        <f t="shared" si="103"/>
        <v>238.25303353095495</v>
      </c>
      <c r="AB90" s="34">
        <f t="shared" si="103"/>
        <v>248.49953199386613</v>
      </c>
      <c r="AD90" s="43">
        <f>IF(Z$6-X$6 &lt;&gt; 0,(EXP(LN(Z18/X18)/(Z$6-X$6))-1)*100,0)</f>
        <v>0.3503147973089149</v>
      </c>
      <c r="AE90" s="43">
        <f>AB56</f>
        <v>0.4852658244766328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Black Country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Black Country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Black Country</v>
      </c>
    </row>
    <row r="2" spans="1:32" ht="12.75" customHeight="1" x14ac:dyDescent="0.3">
      <c r="A2" s="182" t="s">
        <v>522</v>
      </c>
      <c r="D2" s="340"/>
      <c r="G2" s="86"/>
      <c r="J2" s="86"/>
      <c r="M2" s="86"/>
      <c r="P2" s="86"/>
      <c r="S2" s="86"/>
      <c r="V2" s="86"/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5">
      <c r="A8" s="10" t="str">
        <f>name!D4</f>
        <v>11 Corporate managers and directors</v>
      </c>
      <c r="B8" s="11">
        <v>29.880785800881405</v>
      </c>
      <c r="C8" s="11">
        <v>33.670781149647794</v>
      </c>
      <c r="D8" s="11">
        <v>34.557349518918279</v>
      </c>
      <c r="E8" s="11">
        <v>31.172230771306513</v>
      </c>
      <c r="F8" s="11">
        <v>33.924972676339749</v>
      </c>
      <c r="G8" s="10"/>
      <c r="H8" s="11">
        <f>F8-D8</f>
        <v>-0.63237684257853033</v>
      </c>
      <c r="I8" s="11">
        <f>'RD T1'!E7</f>
        <v>16.489966459804396</v>
      </c>
      <c r="J8" s="11">
        <f>SUM(H8:I8)</f>
        <v>15.857589617225866</v>
      </c>
      <c r="L8" s="10" t="str">
        <f>name!D4</f>
        <v>11 Corporate managers and directors</v>
      </c>
      <c r="M8" s="11">
        <v>21.454658057601161</v>
      </c>
      <c r="N8" s="11">
        <v>23.253971641556287</v>
      </c>
      <c r="O8" s="11">
        <v>23.54205175517588</v>
      </c>
      <c r="P8" s="11">
        <v>20.412137547650719</v>
      </c>
      <c r="Q8" s="11">
        <v>21.302900715398657</v>
      </c>
      <c r="R8" s="10"/>
      <c r="S8" s="11">
        <f>Q8-O8</f>
        <v>-2.239151039777223</v>
      </c>
      <c r="T8" s="11">
        <f>'RD T1'!T7</f>
        <v>9.7644471705677418</v>
      </c>
      <c r="U8" s="11">
        <f>SUM(S8:T8)</f>
        <v>7.5252961307905188</v>
      </c>
      <c r="W8" s="10" t="str">
        <f>name!D4</f>
        <v>11 Corporate managers and directors</v>
      </c>
      <c r="X8" s="11">
        <v>8.4261277432802579</v>
      </c>
      <c r="Y8" s="11">
        <v>10.416809508091493</v>
      </c>
      <c r="Z8" s="11">
        <v>11.015297763742437</v>
      </c>
      <c r="AA8" s="11">
        <v>10.760093223655758</v>
      </c>
      <c r="AB8" s="11">
        <v>12.622071960941076</v>
      </c>
      <c r="AC8" s="10"/>
      <c r="AD8" s="11">
        <f>AB8-Z8</f>
        <v>1.6067741971986393</v>
      </c>
      <c r="AE8" s="11">
        <f>'RD T1'!T36</f>
        <v>6.7255192892366518</v>
      </c>
      <c r="AF8" s="11">
        <f>SUM(AD8:AE8)</f>
        <v>8.3322934864352902</v>
      </c>
    </row>
    <row r="9" spans="1:32" x14ac:dyDescent="0.25">
      <c r="A9" s="10" t="str">
        <f>name!D5</f>
        <v>12 Other managers and proprietors</v>
      </c>
      <c r="B9" s="11">
        <v>12.511934815118931</v>
      </c>
      <c r="C9" s="11">
        <v>12.674366859929489</v>
      </c>
      <c r="D9" s="11">
        <v>13.243017973457505</v>
      </c>
      <c r="E9" s="11">
        <v>13.664593479636807</v>
      </c>
      <c r="F9" s="11">
        <v>15.301206610194454</v>
      </c>
      <c r="H9" s="11">
        <f t="shared" ref="H9:H32" si="2">F9-D9</f>
        <v>2.0581886367369489</v>
      </c>
      <c r="I9" s="11">
        <f>'RD T1'!E8</f>
        <v>8.0712592420323954</v>
      </c>
      <c r="J9" s="11">
        <f>SUM(H9:I9)</f>
        <v>10.129447878769344</v>
      </c>
      <c r="L9" s="10" t="str">
        <f>name!D5</f>
        <v>12 Other managers and proprietors</v>
      </c>
      <c r="M9" s="11">
        <v>7.5795667609880075</v>
      </c>
      <c r="N9" s="11">
        <v>7.7941322022029569</v>
      </c>
      <c r="O9" s="11">
        <v>7.3861335606273251</v>
      </c>
      <c r="P9" s="11">
        <v>8.3217221266713981</v>
      </c>
      <c r="Q9" s="11">
        <v>9.2680775133572819</v>
      </c>
      <c r="S9" s="11">
        <f t="shared" ref="S9:S32" si="3">Q9-O9</f>
        <v>1.8819439527299568</v>
      </c>
      <c r="T9" s="11">
        <f>'RD T1'!T8</f>
        <v>4.3705630228715577</v>
      </c>
      <c r="U9" s="11">
        <f>SUM(S9:T9)</f>
        <v>6.2525069756015146</v>
      </c>
      <c r="W9" s="10" t="str">
        <f>name!D5</f>
        <v>12 Other managers and proprietors</v>
      </c>
      <c r="X9" s="11">
        <v>4.9323680541309223</v>
      </c>
      <c r="Y9" s="11">
        <v>4.8802346577265361</v>
      </c>
      <c r="Z9" s="11">
        <v>5.8568844128301869</v>
      </c>
      <c r="AA9" s="11">
        <v>5.3428713529654024</v>
      </c>
      <c r="AB9" s="11">
        <v>6.0331290968371736</v>
      </c>
      <c r="AD9" s="11">
        <f t="shared" ref="AD9:AD32" si="4">AB9-Z9</f>
        <v>0.17624468400698667</v>
      </c>
      <c r="AE9" s="11">
        <f>'RD T1'!T37</f>
        <v>3.7006962191608381</v>
      </c>
      <c r="AF9" s="11">
        <f>SUM(AD9:AE9)</f>
        <v>3.8769409031678248</v>
      </c>
    </row>
    <row r="10" spans="1:32" x14ac:dyDescent="0.25">
      <c r="A10" s="10" t="str">
        <f>name!D6</f>
        <v>21 Science, research, engineering and technology professionals</v>
      </c>
      <c r="B10" s="11">
        <v>23.692567314037611</v>
      </c>
      <c r="C10" s="11">
        <v>25.522442469208745</v>
      </c>
      <c r="D10" s="11">
        <v>26.67415223973487</v>
      </c>
      <c r="E10" s="11">
        <v>32.331352616593463</v>
      </c>
      <c r="F10" s="11">
        <v>36.460147888250177</v>
      </c>
      <c r="G10" s="11"/>
      <c r="H10" s="11">
        <f t="shared" si="2"/>
        <v>9.785995648515307</v>
      </c>
      <c r="I10" s="11">
        <f>'RD T1'!E9</f>
        <v>12.028708446399156</v>
      </c>
      <c r="J10" s="11">
        <f t="shared" ref="J10:J32" si="5">SUM(H10:I10)</f>
        <v>21.814704094914461</v>
      </c>
      <c r="L10" s="10" t="str">
        <f>name!D6</f>
        <v>21 Science, research, engineering and technology professionals</v>
      </c>
      <c r="M10" s="11">
        <v>19.986025304537037</v>
      </c>
      <c r="N10" s="11">
        <v>21.615322305784471</v>
      </c>
      <c r="O10" s="11">
        <v>21.806577872402684</v>
      </c>
      <c r="P10" s="11">
        <v>25.770202574421965</v>
      </c>
      <c r="Q10" s="11">
        <v>28.300759774136683</v>
      </c>
      <c r="R10" s="11"/>
      <c r="S10" s="11">
        <f t="shared" si="3"/>
        <v>6.4941819017339988</v>
      </c>
      <c r="T10" s="11">
        <f>'RD T1'!T9</f>
        <v>8.511606322599528</v>
      </c>
      <c r="U10" s="11">
        <f t="shared" ref="U10:U32" si="6">SUM(S10:T10)</f>
        <v>15.005788224333527</v>
      </c>
      <c r="W10" s="10" t="str">
        <f>name!D6</f>
        <v>21 Science, research, engineering and technology professionals</v>
      </c>
      <c r="X10" s="11">
        <v>3.7065420095005157</v>
      </c>
      <c r="Y10" s="11">
        <v>3.9071201634243011</v>
      </c>
      <c r="Z10" s="11">
        <v>4.8675743673321961</v>
      </c>
      <c r="AA10" s="11">
        <v>6.5611500421714508</v>
      </c>
      <c r="AB10" s="11">
        <v>8.1593881141135594</v>
      </c>
      <c r="AC10" s="11"/>
      <c r="AD10" s="11">
        <f t="shared" si="4"/>
        <v>3.2918137467813633</v>
      </c>
      <c r="AE10" s="11">
        <f>'RD T1'!T38</f>
        <v>3.5171021237996292</v>
      </c>
      <c r="AF10" s="11">
        <f t="shared" ref="AF10:AF32" si="7">SUM(AD10:AE10)</f>
        <v>6.8089158705809929</v>
      </c>
    </row>
    <row r="11" spans="1:32" x14ac:dyDescent="0.25">
      <c r="A11" s="10" t="str">
        <f>name!D7</f>
        <v>22 Health professionals</v>
      </c>
      <c r="B11" s="11">
        <v>21.674771905892207</v>
      </c>
      <c r="C11" s="11">
        <v>27.315802663195459</v>
      </c>
      <c r="D11" s="11">
        <v>26.885303796114776</v>
      </c>
      <c r="E11" s="11">
        <v>26.54413441665373</v>
      </c>
      <c r="F11" s="11">
        <v>28.579623063913772</v>
      </c>
      <c r="G11" s="11"/>
      <c r="H11" s="11">
        <f t="shared" si="2"/>
        <v>1.6943192677989956</v>
      </c>
      <c r="I11" s="11">
        <f>'RD T1'!E10</f>
        <v>14.366534680789885</v>
      </c>
      <c r="J11" s="11">
        <f t="shared" si="5"/>
        <v>16.060853948588878</v>
      </c>
      <c r="L11" s="10" t="str">
        <f>name!D7</f>
        <v>22 Health professionals</v>
      </c>
      <c r="M11" s="11">
        <v>5.0825544000815421</v>
      </c>
      <c r="N11" s="11">
        <v>6.4601621724174176</v>
      </c>
      <c r="O11" s="11">
        <v>6.8725916386043506</v>
      </c>
      <c r="P11" s="11">
        <v>6.7683171970345866</v>
      </c>
      <c r="Q11" s="11">
        <v>7.2080802251589775</v>
      </c>
      <c r="R11" s="11"/>
      <c r="S11" s="11">
        <f t="shared" si="3"/>
        <v>0.33548858655462688</v>
      </c>
      <c r="T11" s="11">
        <f>'RD T1'!T10</f>
        <v>2.6409805976244649</v>
      </c>
      <c r="U11" s="11">
        <f t="shared" si="6"/>
        <v>2.9764691841790918</v>
      </c>
      <c r="W11" s="10" t="str">
        <f>name!D7</f>
        <v>22 Health professionals</v>
      </c>
      <c r="X11" s="11">
        <v>16.592217505810641</v>
      </c>
      <c r="Y11" s="11">
        <v>20.855640490778033</v>
      </c>
      <c r="Z11" s="11">
        <v>20.01271215751045</v>
      </c>
      <c r="AA11" s="11">
        <v>19.77581721961911</v>
      </c>
      <c r="AB11" s="11">
        <v>21.371542838754806</v>
      </c>
      <c r="AC11" s="11"/>
      <c r="AD11" s="11">
        <f t="shared" si="4"/>
        <v>1.3588306812443562</v>
      </c>
      <c r="AE11" s="11">
        <f>'RD T1'!T39</f>
        <v>11.72555408316542</v>
      </c>
      <c r="AF11" s="11">
        <f t="shared" si="7"/>
        <v>13.084384764409776</v>
      </c>
    </row>
    <row r="12" spans="1:32" x14ac:dyDescent="0.25">
      <c r="A12" s="10" t="str">
        <f>name!D8</f>
        <v>23 Teaching and other educational professionals</v>
      </c>
      <c r="B12" s="11">
        <v>19.540374765671235</v>
      </c>
      <c r="C12" s="11">
        <v>20.765597855160532</v>
      </c>
      <c r="D12" s="11">
        <v>22.026617843508607</v>
      </c>
      <c r="E12" s="11">
        <v>21.969692618216403</v>
      </c>
      <c r="F12" s="11">
        <v>24.165356288680911</v>
      </c>
      <c r="G12" s="11"/>
      <c r="H12" s="11">
        <f t="shared" si="2"/>
        <v>2.1387384451723044</v>
      </c>
      <c r="I12" s="11">
        <f>'RD T1'!E11</f>
        <v>11.480232436624902</v>
      </c>
      <c r="J12" s="11">
        <f t="shared" si="5"/>
        <v>13.618970881797207</v>
      </c>
      <c r="L12" s="10" t="str">
        <f>name!D8</f>
        <v>23 Teaching and other educational professionals</v>
      </c>
      <c r="M12" s="11">
        <v>6.5723400569597734</v>
      </c>
      <c r="N12" s="11">
        <v>6.636670282223009</v>
      </c>
      <c r="O12" s="11">
        <v>7.1451073437704435</v>
      </c>
      <c r="P12" s="11">
        <v>7.2878052434135228</v>
      </c>
      <c r="Q12" s="11">
        <v>7.8222420300595887</v>
      </c>
      <c r="R12" s="11"/>
      <c r="S12" s="11">
        <f t="shared" si="3"/>
        <v>0.67713468628914519</v>
      </c>
      <c r="T12" s="11">
        <f>'RD T1'!T11</f>
        <v>3.1883105003307457</v>
      </c>
      <c r="U12" s="11">
        <f t="shared" si="6"/>
        <v>3.8654451866198909</v>
      </c>
      <c r="W12" s="10" t="str">
        <f>name!D8</f>
        <v>23 Teaching and other educational professionals</v>
      </c>
      <c r="X12" s="11">
        <v>12.968034708711482</v>
      </c>
      <c r="Y12" s="11">
        <v>14.128927572937538</v>
      </c>
      <c r="Z12" s="11">
        <v>14.881510499738123</v>
      </c>
      <c r="AA12" s="11">
        <v>14.681887374802837</v>
      </c>
      <c r="AB12" s="11">
        <v>16.343114258621309</v>
      </c>
      <c r="AC12" s="11"/>
      <c r="AD12" s="11">
        <f t="shared" si="4"/>
        <v>1.4616037588831858</v>
      </c>
      <c r="AE12" s="11">
        <f>'RD T1'!T40</f>
        <v>8.2919219362941554</v>
      </c>
      <c r="AF12" s="11">
        <f t="shared" si="7"/>
        <v>9.7535256951773412</v>
      </c>
    </row>
    <row r="13" spans="1:32" x14ac:dyDescent="0.25">
      <c r="A13" s="10" t="str">
        <f>name!D9</f>
        <v>24 Business, media and public service professionals</v>
      </c>
      <c r="B13" s="11">
        <v>22.806193659159341</v>
      </c>
      <c r="C13" s="11">
        <v>25.456333561960076</v>
      </c>
      <c r="D13" s="11">
        <v>27.957759360330201</v>
      </c>
      <c r="E13" s="11">
        <v>29.117208402464584</v>
      </c>
      <c r="F13" s="11">
        <v>32.53409025770577</v>
      </c>
      <c r="G13" s="11"/>
      <c r="H13" s="11">
        <f t="shared" si="2"/>
        <v>4.5763308973755699</v>
      </c>
      <c r="I13" s="11">
        <f>'RD T1'!E12</f>
        <v>14.223907661776634</v>
      </c>
      <c r="J13" s="11">
        <f t="shared" si="5"/>
        <v>18.800238559152206</v>
      </c>
      <c r="L13" s="10" t="str">
        <f>name!D9</f>
        <v>24 Business, media and public service professionals</v>
      </c>
      <c r="M13" s="11">
        <v>13.893541405818606</v>
      </c>
      <c r="N13" s="11">
        <v>14.748466692046149</v>
      </c>
      <c r="O13" s="11">
        <v>16.215269174648807</v>
      </c>
      <c r="P13" s="11">
        <v>17.07537919751244</v>
      </c>
      <c r="Q13" s="11">
        <v>18.434762102201113</v>
      </c>
      <c r="R13" s="11"/>
      <c r="S13" s="11">
        <f t="shared" si="3"/>
        <v>2.2194929275523059</v>
      </c>
      <c r="T13" s="11">
        <f>'RD T1'!T12</f>
        <v>7.3151806169722464</v>
      </c>
      <c r="U13" s="11">
        <f t="shared" si="6"/>
        <v>9.5346735445245514</v>
      </c>
      <c r="W13" s="10" t="str">
        <f>name!D9</f>
        <v>24 Business, media and public service professionals</v>
      </c>
      <c r="X13" s="11">
        <v>8.9126522533407151</v>
      </c>
      <c r="Y13" s="11">
        <v>10.707866869913953</v>
      </c>
      <c r="Z13" s="11">
        <v>11.742490185681445</v>
      </c>
      <c r="AA13" s="11">
        <v>12.041829204952135</v>
      </c>
      <c r="AB13" s="11">
        <v>14.099328155504613</v>
      </c>
      <c r="AC13" s="11"/>
      <c r="AD13" s="11">
        <f t="shared" si="4"/>
        <v>2.3568379698231681</v>
      </c>
      <c r="AE13" s="11">
        <f>'RD T1'!T41</f>
        <v>6.9087270448043849</v>
      </c>
      <c r="AF13" s="11">
        <f t="shared" si="7"/>
        <v>9.265565014627553</v>
      </c>
    </row>
    <row r="14" spans="1:32" x14ac:dyDescent="0.25">
      <c r="A14" s="10" t="str">
        <f>name!D10</f>
        <v>31 Science, engineering and technology associate professionals</v>
      </c>
      <c r="B14" s="11">
        <v>7.6396337675645283</v>
      </c>
      <c r="C14" s="11">
        <v>8.077817744101548</v>
      </c>
      <c r="D14" s="11">
        <v>8.7119007645620972</v>
      </c>
      <c r="E14" s="11">
        <v>8.0146156799495873</v>
      </c>
      <c r="F14" s="11">
        <v>8.4283160725445487</v>
      </c>
      <c r="G14" s="11"/>
      <c r="H14" s="11">
        <f t="shared" si="2"/>
        <v>-0.28358469201754843</v>
      </c>
      <c r="I14" s="11">
        <f>'RD T1'!E13</f>
        <v>3.2508461489073412</v>
      </c>
      <c r="J14" s="11">
        <f t="shared" si="5"/>
        <v>2.9672614568897928</v>
      </c>
      <c r="L14" s="10" t="str">
        <f>name!D10</f>
        <v>31 Science, engineering and technology associate professionals</v>
      </c>
      <c r="M14" s="11">
        <v>5.9852648662886345</v>
      </c>
      <c r="N14" s="11">
        <v>6.4562749389300134</v>
      </c>
      <c r="O14" s="11">
        <v>6.7208561905131106</v>
      </c>
      <c r="P14" s="11">
        <v>5.9186946402459135</v>
      </c>
      <c r="Q14" s="11">
        <v>5.9693453417966023</v>
      </c>
      <c r="R14" s="11"/>
      <c r="S14" s="11">
        <f t="shared" si="3"/>
        <v>-0.75151084871650831</v>
      </c>
      <c r="T14" s="11">
        <f>'RD T1'!T13</f>
        <v>2.1434136102746773</v>
      </c>
      <c r="U14" s="11">
        <f t="shared" si="6"/>
        <v>1.3919027615581689</v>
      </c>
      <c r="W14" s="10" t="str">
        <f>name!D10</f>
        <v>31 Science, engineering and technology associate professionals</v>
      </c>
      <c r="X14" s="11">
        <v>1.6543689012758929</v>
      </c>
      <c r="Y14" s="11">
        <v>1.6215428051715406</v>
      </c>
      <c r="Z14" s="11">
        <v>1.9910445740489724</v>
      </c>
      <c r="AA14" s="11">
        <v>2.0959210397036738</v>
      </c>
      <c r="AB14" s="11">
        <v>2.4589707307479522</v>
      </c>
      <c r="AC14" s="11"/>
      <c r="AD14" s="11">
        <f t="shared" si="4"/>
        <v>0.46792615669897986</v>
      </c>
      <c r="AE14" s="11">
        <f>'RD T1'!T42</f>
        <v>1.1074325386326642</v>
      </c>
      <c r="AF14" s="11">
        <f t="shared" si="7"/>
        <v>1.5753586953316441</v>
      </c>
    </row>
    <row r="15" spans="1:32" x14ac:dyDescent="0.25">
      <c r="A15" s="10" t="str">
        <f>name!D11</f>
        <v>32 Health and social care associate professionals</v>
      </c>
      <c r="B15" s="11">
        <v>9.0328897579836376</v>
      </c>
      <c r="C15" s="11">
        <v>10.95672977042833</v>
      </c>
      <c r="D15" s="11">
        <v>11.001883705458065</v>
      </c>
      <c r="E15" s="11">
        <v>17.680149098148942</v>
      </c>
      <c r="F15" s="11">
        <v>21.055821572998454</v>
      </c>
      <c r="G15" s="11"/>
      <c r="H15" s="11">
        <f t="shared" si="2"/>
        <v>10.053937867540389</v>
      </c>
      <c r="I15" s="11">
        <f>'RD T1'!E14</f>
        <v>10.475612259565926</v>
      </c>
      <c r="J15" s="11">
        <f t="shared" si="5"/>
        <v>20.529550127106315</v>
      </c>
      <c r="L15" s="10" t="str">
        <f>name!D11</f>
        <v>32 Health and social care associate professionals</v>
      </c>
      <c r="M15" s="11">
        <v>2.0898092470984437</v>
      </c>
      <c r="N15" s="11">
        <v>2.3358003727577166</v>
      </c>
      <c r="O15" s="11">
        <v>2.4607813380873722</v>
      </c>
      <c r="P15" s="11">
        <v>3.284403538104105</v>
      </c>
      <c r="Q15" s="11">
        <v>3.6552006282453262</v>
      </c>
      <c r="R15" s="11"/>
      <c r="S15" s="11">
        <f t="shared" si="3"/>
        <v>1.194419290157954</v>
      </c>
      <c r="T15" s="11">
        <f>'RD T1'!T14</f>
        <v>1.6053834572114065</v>
      </c>
      <c r="U15" s="11">
        <f t="shared" si="6"/>
        <v>2.7998027473693607</v>
      </c>
      <c r="W15" s="10" t="str">
        <f>name!D11</f>
        <v>32 Health and social care associate professionals</v>
      </c>
      <c r="X15" s="11">
        <v>6.9430805108852143</v>
      </c>
      <c r="Y15" s="11">
        <v>8.6209293976705972</v>
      </c>
      <c r="Z15" s="11">
        <v>8.5411023673706872</v>
      </c>
      <c r="AA15" s="11">
        <v>14.395745560044855</v>
      </c>
      <c r="AB15" s="11">
        <v>17.400620944753129</v>
      </c>
      <c r="AC15" s="11"/>
      <c r="AD15" s="11">
        <f t="shared" si="4"/>
        <v>8.8595185773824419</v>
      </c>
      <c r="AE15" s="11">
        <f>'RD T1'!T43</f>
        <v>8.8702288023545197</v>
      </c>
      <c r="AF15" s="11">
        <f t="shared" si="7"/>
        <v>17.729747379736963</v>
      </c>
    </row>
    <row r="16" spans="1:32" x14ac:dyDescent="0.25">
      <c r="A16" s="10" t="str">
        <f>name!D12</f>
        <v>33 Protective service occupations</v>
      </c>
      <c r="B16" s="11">
        <v>4.4444232941510675</v>
      </c>
      <c r="C16" s="11">
        <v>4.4270085893151121</v>
      </c>
      <c r="D16" s="11">
        <v>4.6873216411379666</v>
      </c>
      <c r="E16" s="11">
        <v>4.0581613546153656</v>
      </c>
      <c r="F16" s="11">
        <v>4.4519253372123764</v>
      </c>
      <c r="G16" s="11"/>
      <c r="H16" s="11">
        <f t="shared" si="2"/>
        <v>-0.23539630392559019</v>
      </c>
      <c r="I16" s="11">
        <f>'RD T1'!E15</f>
        <v>1.4492247074295082</v>
      </c>
      <c r="J16" s="11">
        <f t="shared" si="5"/>
        <v>1.213828403503918</v>
      </c>
      <c r="L16" s="10" t="str">
        <f>name!D12</f>
        <v>33 Protective service occupations</v>
      </c>
      <c r="M16" s="11">
        <v>3.4291501970427154</v>
      </c>
      <c r="N16" s="11">
        <v>3.2746787311090442</v>
      </c>
      <c r="O16" s="11">
        <v>3.4149050526208469</v>
      </c>
      <c r="P16" s="11">
        <v>2.9281935889455317</v>
      </c>
      <c r="Q16" s="11">
        <v>2.9406514003190516</v>
      </c>
      <c r="R16" s="11"/>
      <c r="S16" s="11">
        <f t="shared" si="3"/>
        <v>-0.47425365230179528</v>
      </c>
      <c r="T16" s="11">
        <f>'RD T1'!T15</f>
        <v>0.83173271306921326</v>
      </c>
      <c r="U16" s="11">
        <f t="shared" si="6"/>
        <v>0.35747906076741798</v>
      </c>
      <c r="W16" s="10" t="str">
        <f>name!D12</f>
        <v>33 Protective service occupations</v>
      </c>
      <c r="X16" s="11">
        <v>1.0152730971083521</v>
      </c>
      <c r="Y16" s="11">
        <v>1.1523298582060681</v>
      </c>
      <c r="Z16" s="11">
        <v>1.2724165885171148</v>
      </c>
      <c r="AA16" s="11">
        <v>1.1299677656698359</v>
      </c>
      <c r="AB16" s="11">
        <v>1.5112739368933152</v>
      </c>
      <c r="AC16" s="11"/>
      <c r="AD16" s="11">
        <f t="shared" si="4"/>
        <v>0.23885734837620043</v>
      </c>
      <c r="AE16" s="11">
        <f>'RD T1'!T44</f>
        <v>0.61749199436029478</v>
      </c>
      <c r="AF16" s="11">
        <f t="shared" si="7"/>
        <v>0.85634934273649521</v>
      </c>
    </row>
    <row r="17" spans="1:32" x14ac:dyDescent="0.25">
      <c r="A17" s="10" t="str">
        <f>name!D13</f>
        <v>34 Culture, media and sports occupations</v>
      </c>
      <c r="B17" s="11">
        <v>7.5269975158661087</v>
      </c>
      <c r="C17" s="11">
        <v>7.4707121265529306</v>
      </c>
      <c r="D17" s="11">
        <v>7.6956038424600592</v>
      </c>
      <c r="E17" s="11">
        <v>6.6237757922128777</v>
      </c>
      <c r="F17" s="11">
        <v>7.2418470917099587</v>
      </c>
      <c r="G17" s="11"/>
      <c r="H17" s="11">
        <f t="shared" si="2"/>
        <v>-0.45375675075010058</v>
      </c>
      <c r="I17" s="11">
        <f>'RD T1'!E16</f>
        <v>3.1892023159623957</v>
      </c>
      <c r="J17" s="11">
        <f t="shared" si="5"/>
        <v>2.7354455652122951</v>
      </c>
      <c r="L17" s="10" t="str">
        <f>name!D13</f>
        <v>34 Culture, media and sports occupations</v>
      </c>
      <c r="M17" s="11">
        <v>4.5169862879842979</v>
      </c>
      <c r="N17" s="11">
        <v>4.4974358578884148</v>
      </c>
      <c r="O17" s="11">
        <v>4.5437609296462051</v>
      </c>
      <c r="P17" s="11">
        <v>3.8793310026760071</v>
      </c>
      <c r="Q17" s="11">
        <v>4.137314928784833</v>
      </c>
      <c r="R17" s="11"/>
      <c r="S17" s="11">
        <f t="shared" si="3"/>
        <v>-0.40644600086137217</v>
      </c>
      <c r="T17" s="11">
        <f>'RD T1'!T16</f>
        <v>1.6115461631342662</v>
      </c>
      <c r="U17" s="11">
        <f t="shared" si="6"/>
        <v>1.2051001622728941</v>
      </c>
      <c r="W17" s="10" t="str">
        <f>name!D13</f>
        <v>34 Culture, media and sports occupations</v>
      </c>
      <c r="X17" s="11">
        <v>3.0100112278818068</v>
      </c>
      <c r="Y17" s="11">
        <v>2.9732762686645247</v>
      </c>
      <c r="Z17" s="11">
        <v>3.1518429128138599</v>
      </c>
      <c r="AA17" s="11">
        <v>2.7444447895368782</v>
      </c>
      <c r="AB17" s="11">
        <v>3.1045321629251275</v>
      </c>
      <c r="AC17" s="11"/>
      <c r="AD17" s="11">
        <f t="shared" si="4"/>
        <v>-4.7310749888732406E-2</v>
      </c>
      <c r="AE17" s="11">
        <f>'RD T1'!T45</f>
        <v>1.5776561528281297</v>
      </c>
      <c r="AF17" s="11">
        <f t="shared" si="7"/>
        <v>1.5303454029393972</v>
      </c>
    </row>
    <row r="18" spans="1:32" x14ac:dyDescent="0.25">
      <c r="A18" s="10" t="str">
        <f>name!D14</f>
        <v>35 Business and public service associate professionals</v>
      </c>
      <c r="B18" s="11">
        <v>27.483441028271098</v>
      </c>
      <c r="C18" s="11">
        <v>27.784113801495693</v>
      </c>
      <c r="D18" s="11">
        <v>28.718892057032409</v>
      </c>
      <c r="E18" s="11">
        <v>28.782348842639074</v>
      </c>
      <c r="F18" s="11">
        <v>30.332034577933754</v>
      </c>
      <c r="G18" s="11"/>
      <c r="H18" s="11">
        <f t="shared" si="2"/>
        <v>1.613142520901345</v>
      </c>
      <c r="I18" s="11">
        <f>'RD T1'!E17</f>
        <v>13.365379856841281</v>
      </c>
      <c r="J18" s="11">
        <f t="shared" si="5"/>
        <v>14.978522377742626</v>
      </c>
      <c r="L18" s="10" t="str">
        <f>name!D14</f>
        <v>35 Business and public service associate professionals</v>
      </c>
      <c r="M18" s="11">
        <v>15.423996768819533</v>
      </c>
      <c r="N18" s="11">
        <v>15.073483017849448</v>
      </c>
      <c r="O18" s="11">
        <v>15.700778568083784</v>
      </c>
      <c r="P18" s="11">
        <v>15.597850156235705</v>
      </c>
      <c r="Q18" s="11">
        <v>15.753402090816163</v>
      </c>
      <c r="R18" s="11"/>
      <c r="S18" s="11">
        <f t="shared" si="3"/>
        <v>5.2623522732378802E-2</v>
      </c>
      <c r="T18" s="11">
        <f>'RD T1'!T17</f>
        <v>6.0011903139623914</v>
      </c>
      <c r="U18" s="11">
        <f t="shared" si="6"/>
        <v>6.0538138366947702</v>
      </c>
      <c r="W18" s="10" t="str">
        <f>name!D14</f>
        <v>35 Business and public service associate professionals</v>
      </c>
      <c r="X18" s="11">
        <v>12.059444259451524</v>
      </c>
      <c r="Y18" s="11">
        <v>12.710630783646232</v>
      </c>
      <c r="Z18" s="11">
        <v>13.018113488948627</v>
      </c>
      <c r="AA18" s="11">
        <v>13.184498686403362</v>
      </c>
      <c r="AB18" s="11">
        <v>14.578632487117588</v>
      </c>
      <c r="AC18" s="11"/>
      <c r="AD18" s="11">
        <f t="shared" si="4"/>
        <v>1.5605189981689609</v>
      </c>
      <c r="AE18" s="11">
        <f>'RD T1'!T46</f>
        <v>7.364189542878889</v>
      </c>
      <c r="AF18" s="11">
        <f t="shared" si="7"/>
        <v>8.9247085410478491</v>
      </c>
    </row>
    <row r="19" spans="1:32" x14ac:dyDescent="0.25">
      <c r="A19" s="10" t="str">
        <f>name!D15</f>
        <v>41 Administrative occupations</v>
      </c>
      <c r="B19" s="11">
        <v>49.13839945665805</v>
      </c>
      <c r="C19" s="11">
        <v>45.165151846246381</v>
      </c>
      <c r="D19" s="11">
        <v>47.19806700974938</v>
      </c>
      <c r="E19" s="11">
        <v>48.934345395177246</v>
      </c>
      <c r="F19" s="11">
        <v>48.119806641230511</v>
      </c>
      <c r="G19" s="11"/>
      <c r="H19" s="11">
        <f t="shared" si="2"/>
        <v>0.92173963148113103</v>
      </c>
      <c r="I19" s="11">
        <f>'RD T1'!E18</f>
        <v>24.237425168180764</v>
      </c>
      <c r="J19" s="11">
        <f t="shared" si="5"/>
        <v>25.159164799661895</v>
      </c>
      <c r="L19" s="10" t="str">
        <f>name!D15</f>
        <v>41 Administrative occupations</v>
      </c>
      <c r="M19" s="11">
        <v>15.614024343375872</v>
      </c>
      <c r="N19" s="11">
        <v>13.602661795013343</v>
      </c>
      <c r="O19" s="11">
        <v>16.23011080316379</v>
      </c>
      <c r="P19" s="11">
        <v>17.555947300787484</v>
      </c>
      <c r="Q19" s="11">
        <v>19.651714866681374</v>
      </c>
      <c r="R19" s="11"/>
      <c r="S19" s="11">
        <f t="shared" si="3"/>
        <v>3.4216040635175844</v>
      </c>
      <c r="T19" s="11">
        <f>'RD T1'!T18</f>
        <v>6.9011682914532315</v>
      </c>
      <c r="U19" s="11">
        <f t="shared" si="6"/>
        <v>10.322772354970816</v>
      </c>
      <c r="W19" s="10" t="str">
        <f>name!D15</f>
        <v>41 Administrative occupations</v>
      </c>
      <c r="X19" s="11">
        <v>33.524375113282282</v>
      </c>
      <c r="Y19" s="11">
        <v>31.562490051233027</v>
      </c>
      <c r="Z19" s="11">
        <v>30.967956206585573</v>
      </c>
      <c r="AA19" s="11">
        <v>31.378398094389798</v>
      </c>
      <c r="AB19" s="11">
        <v>28.468091774549112</v>
      </c>
      <c r="AC19" s="11"/>
      <c r="AD19" s="11">
        <f t="shared" si="4"/>
        <v>-2.4998644320364605</v>
      </c>
      <c r="AE19" s="11">
        <f>'RD T1'!T47</f>
        <v>17.336256876727532</v>
      </c>
      <c r="AF19" s="11">
        <f t="shared" si="7"/>
        <v>14.836392444691072</v>
      </c>
    </row>
    <row r="20" spans="1:32" x14ac:dyDescent="0.25">
      <c r="A20" s="10" t="str">
        <f>name!D16</f>
        <v>42 Secretarial and related occupations</v>
      </c>
      <c r="B20" s="11">
        <v>10.999553279205751</v>
      </c>
      <c r="C20" s="11">
        <v>9.4948630690001181</v>
      </c>
      <c r="D20" s="11">
        <v>9.2803332734652102</v>
      </c>
      <c r="E20" s="11">
        <v>8.5683495355485668</v>
      </c>
      <c r="F20" s="11">
        <v>5.4074642547867375</v>
      </c>
      <c r="G20" s="11"/>
      <c r="H20" s="11">
        <f t="shared" si="2"/>
        <v>-3.8728690186784727</v>
      </c>
      <c r="I20" s="11">
        <f>'RD T1'!E19</f>
        <v>3.9957996097654842</v>
      </c>
      <c r="J20" s="11">
        <f t="shared" si="5"/>
        <v>0.12293059108701154</v>
      </c>
      <c r="L20" s="10" t="str">
        <f>name!D16</f>
        <v>42 Secretarial and related occupations</v>
      </c>
      <c r="M20" s="11">
        <v>0.98392418673063797</v>
      </c>
      <c r="N20" s="11">
        <v>0.69844209737340934</v>
      </c>
      <c r="O20" s="11">
        <v>0.71673135991795822</v>
      </c>
      <c r="P20" s="11">
        <v>0.62800235257834147</v>
      </c>
      <c r="Q20" s="11">
        <v>0.72159592784091953</v>
      </c>
      <c r="R20" s="11"/>
      <c r="S20" s="11">
        <f t="shared" si="3"/>
        <v>4.8645679229613048E-3</v>
      </c>
      <c r="T20" s="11">
        <f>'RD T1'!T19</f>
        <v>0.21982309980314124</v>
      </c>
      <c r="U20" s="11">
        <f t="shared" si="6"/>
        <v>0.22468766772610255</v>
      </c>
      <c r="W20" s="10" t="str">
        <f>name!D16</f>
        <v>42 Secretarial and related occupations</v>
      </c>
      <c r="X20" s="11">
        <v>10.015629092475114</v>
      </c>
      <c r="Y20" s="11">
        <v>8.7964209716267145</v>
      </c>
      <c r="Z20" s="11">
        <v>8.5636019135472488</v>
      </c>
      <c r="AA20" s="11">
        <v>7.9403471829702177</v>
      </c>
      <c r="AB20" s="11">
        <v>4.6858683269458146</v>
      </c>
      <c r="AC20" s="11"/>
      <c r="AD20" s="11">
        <f t="shared" si="4"/>
        <v>-3.8777335866014342</v>
      </c>
      <c r="AE20" s="11">
        <f>'RD T1'!T48</f>
        <v>3.7759765099623435</v>
      </c>
      <c r="AF20" s="11">
        <f t="shared" si="7"/>
        <v>-0.10175707663909073</v>
      </c>
    </row>
    <row r="21" spans="1:32" x14ac:dyDescent="0.25">
      <c r="A21" s="10" t="str">
        <f>name!D17</f>
        <v>51 Skilled agricultural and related trades</v>
      </c>
      <c r="B21" s="11">
        <v>4.3313158907234133</v>
      </c>
      <c r="C21" s="11">
        <v>3.8065912759839784</v>
      </c>
      <c r="D21" s="11">
        <v>3.1931450848658716</v>
      </c>
      <c r="E21" s="11">
        <v>3.1783302802326965</v>
      </c>
      <c r="F21" s="11">
        <v>3.5350171502669578</v>
      </c>
      <c r="G21" s="11"/>
      <c r="H21" s="11">
        <f t="shared" si="2"/>
        <v>0.34187206540108628</v>
      </c>
      <c r="I21" s="11">
        <f>'RD T1'!E20</f>
        <v>1.7950590123207246</v>
      </c>
      <c r="J21" s="11">
        <f t="shared" si="5"/>
        <v>2.1369310777218109</v>
      </c>
      <c r="L21" s="10" t="str">
        <f>name!D17</f>
        <v>51 Skilled agricultural and related trades</v>
      </c>
      <c r="M21" s="11">
        <v>3.720569195128824</v>
      </c>
      <c r="N21" s="11">
        <v>3.234923637625847</v>
      </c>
      <c r="O21" s="11">
        <v>2.619953984996287</v>
      </c>
      <c r="P21" s="11">
        <v>2.5539887903192455</v>
      </c>
      <c r="Q21" s="11">
        <v>2.7941578191640217</v>
      </c>
      <c r="R21" s="11"/>
      <c r="S21" s="11">
        <f t="shared" si="3"/>
        <v>0.17420383416773477</v>
      </c>
      <c r="T21" s="11">
        <f>'RD T1'!T20</f>
        <v>1.345558874797504</v>
      </c>
      <c r="U21" s="11">
        <f t="shared" si="6"/>
        <v>1.5197627089652388</v>
      </c>
      <c r="W21" s="10" t="str">
        <f>name!D17</f>
        <v>51 Skilled agricultural and related trades</v>
      </c>
      <c r="X21" s="11">
        <v>0.61074669559458605</v>
      </c>
      <c r="Y21" s="11">
        <v>0.57166763835812839</v>
      </c>
      <c r="Z21" s="11">
        <v>0.57319109986958328</v>
      </c>
      <c r="AA21" s="11">
        <v>0.6243414899134464</v>
      </c>
      <c r="AB21" s="11">
        <v>0.74085933110293289</v>
      </c>
      <c r="AC21" s="11"/>
      <c r="AD21" s="11">
        <f t="shared" si="4"/>
        <v>0.16766823123334962</v>
      </c>
      <c r="AE21" s="11">
        <f>'RD T1'!T49</f>
        <v>0.44950013752322021</v>
      </c>
      <c r="AF21" s="11">
        <f t="shared" si="7"/>
        <v>0.61716836875656989</v>
      </c>
    </row>
    <row r="22" spans="1:32" x14ac:dyDescent="0.25">
      <c r="A22" s="10" t="str">
        <f>name!D18</f>
        <v>52 Skilled metal, electrical and electronic trades</v>
      </c>
      <c r="B22" s="11">
        <v>28.622677836919465</v>
      </c>
      <c r="C22" s="11">
        <v>28.343637186861034</v>
      </c>
      <c r="D22" s="11">
        <v>23.236826282247673</v>
      </c>
      <c r="E22" s="11">
        <v>22.623948301451765</v>
      </c>
      <c r="F22" s="11">
        <v>20.841134342227381</v>
      </c>
      <c r="G22" s="11"/>
      <c r="H22" s="11">
        <f t="shared" si="2"/>
        <v>-2.3956919400202921</v>
      </c>
      <c r="I22" s="11">
        <f>'RD T1'!E21</f>
        <v>8.288991224805331</v>
      </c>
      <c r="J22" s="11">
        <f t="shared" si="5"/>
        <v>5.8932992847850389</v>
      </c>
      <c r="L22" s="10" t="str">
        <f>name!D18</f>
        <v>52 Skilled metal, electrical and electronic trades</v>
      </c>
      <c r="M22" s="11">
        <v>28.257827507545212</v>
      </c>
      <c r="N22" s="11">
        <v>27.756675965101635</v>
      </c>
      <c r="O22" s="11">
        <v>22.785499260413552</v>
      </c>
      <c r="P22" s="11">
        <v>21.885954725295111</v>
      </c>
      <c r="Q22" s="11">
        <v>19.96974145302606</v>
      </c>
      <c r="R22" s="11"/>
      <c r="S22" s="11">
        <f t="shared" si="3"/>
        <v>-2.8157578073874916</v>
      </c>
      <c r="T22" s="11">
        <f>'RD T1'!T21</f>
        <v>7.8661938420712634</v>
      </c>
      <c r="U22" s="11">
        <f t="shared" si="6"/>
        <v>5.0504360346837718</v>
      </c>
      <c r="W22" s="10" t="str">
        <f>name!D18</f>
        <v>52 Skilled metal, electrical and electronic trades</v>
      </c>
      <c r="X22" s="11">
        <v>0.36485032937425493</v>
      </c>
      <c r="Y22" s="11">
        <v>0.58696122175943066</v>
      </c>
      <c r="Z22" s="11">
        <v>0.45132702183413442</v>
      </c>
      <c r="AA22" s="11">
        <v>0.73799357615662997</v>
      </c>
      <c r="AB22" s="11">
        <v>0.8713928892013374</v>
      </c>
      <c r="AC22" s="11"/>
      <c r="AD22" s="11">
        <f t="shared" si="4"/>
        <v>0.42006586736720297</v>
      </c>
      <c r="AE22" s="11">
        <f>'RD T1'!T50</f>
        <v>0.42279738273406742</v>
      </c>
      <c r="AF22" s="11">
        <f t="shared" si="7"/>
        <v>0.84286325010127039</v>
      </c>
    </row>
    <row r="23" spans="1:32" x14ac:dyDescent="0.25">
      <c r="A23" s="10" t="str">
        <f>name!D19</f>
        <v>53 Skilled construction and building trades</v>
      </c>
      <c r="B23" s="11">
        <v>18.67563056886091</v>
      </c>
      <c r="C23" s="11">
        <v>21.339556958033437</v>
      </c>
      <c r="D23" s="11">
        <v>17.473473402618112</v>
      </c>
      <c r="E23" s="11">
        <v>16.813170514329276</v>
      </c>
      <c r="F23" s="11">
        <v>14.401581227548823</v>
      </c>
      <c r="G23" s="11"/>
      <c r="H23" s="11">
        <f t="shared" si="2"/>
        <v>-3.0718921750692889</v>
      </c>
      <c r="I23" s="11">
        <f>'RD T1'!E22</f>
        <v>6.7757096321665671</v>
      </c>
      <c r="J23" s="11">
        <f t="shared" si="5"/>
        <v>3.7038174570972782</v>
      </c>
      <c r="L23" s="10" t="str">
        <f>name!D19</f>
        <v>53 Skilled construction and building trades</v>
      </c>
      <c r="M23" s="11">
        <v>18.431515324301849</v>
      </c>
      <c r="N23" s="11">
        <v>21.107864999136247</v>
      </c>
      <c r="O23" s="11">
        <v>17.18800702433489</v>
      </c>
      <c r="P23" s="11">
        <v>16.647376603639792</v>
      </c>
      <c r="Q23" s="11">
        <v>14.225624089851634</v>
      </c>
      <c r="R23" s="11"/>
      <c r="S23" s="11">
        <f t="shared" si="3"/>
        <v>-2.9623829344832568</v>
      </c>
      <c r="T23" s="11">
        <f>'RD T1'!T22</f>
        <v>6.6839103927580013</v>
      </c>
      <c r="U23" s="11">
        <f t="shared" si="6"/>
        <v>3.7215274582747444</v>
      </c>
      <c r="W23" s="10" t="str">
        <f>name!D19</f>
        <v>53 Skilled construction and building trades</v>
      </c>
      <c r="X23" s="11">
        <v>0.24411524455905587</v>
      </c>
      <c r="Y23" s="11">
        <v>0.23169195889720962</v>
      </c>
      <c r="Z23" s="11">
        <v>0.28546637828323057</v>
      </c>
      <c r="AA23" s="11">
        <v>0.16579391068948263</v>
      </c>
      <c r="AB23" s="11">
        <v>0.17595713769719329</v>
      </c>
      <c r="AC23" s="11"/>
      <c r="AD23" s="11">
        <f t="shared" si="4"/>
        <v>-0.10950924058603728</v>
      </c>
      <c r="AE23" s="11">
        <f>'RD T1'!T51</f>
        <v>9.1799239408565714E-2</v>
      </c>
      <c r="AF23" s="11">
        <f t="shared" si="7"/>
        <v>-1.7710001177471568E-2</v>
      </c>
    </row>
    <row r="24" spans="1:32" x14ac:dyDescent="0.25">
      <c r="A24" s="10" t="str">
        <f>name!D20</f>
        <v>54 Textiles, printing and other skilled trades</v>
      </c>
      <c r="B24" s="11">
        <v>9.6691034984265638</v>
      </c>
      <c r="C24" s="11">
        <v>8.4461052767901954</v>
      </c>
      <c r="D24" s="11">
        <v>8.3294023293213026</v>
      </c>
      <c r="E24" s="11">
        <v>8.418630701072793</v>
      </c>
      <c r="F24" s="11">
        <v>7.9851910077103829</v>
      </c>
      <c r="G24" s="11"/>
      <c r="H24" s="11">
        <f t="shared" si="2"/>
        <v>-0.34421132161091972</v>
      </c>
      <c r="I24" s="11">
        <f>'RD T1'!E23</f>
        <v>3.5018666383829524</v>
      </c>
      <c r="J24" s="11">
        <f t="shared" si="5"/>
        <v>3.1576553167720327</v>
      </c>
      <c r="L24" s="10" t="str">
        <f>name!D20</f>
        <v>54 Textiles, printing and other skilled trades</v>
      </c>
      <c r="M24" s="11">
        <v>6.3445971972315247</v>
      </c>
      <c r="N24" s="11">
        <v>5.5082101775039565</v>
      </c>
      <c r="O24" s="11">
        <v>4.9540421002834485</v>
      </c>
      <c r="P24" s="11">
        <v>5.0652083473549379</v>
      </c>
      <c r="Q24" s="11">
        <v>4.6900830934789584</v>
      </c>
      <c r="R24" s="11"/>
      <c r="S24" s="11">
        <f t="shared" si="3"/>
        <v>-0.26395900680449014</v>
      </c>
      <c r="T24" s="11">
        <f>'RD T1'!T23</f>
        <v>1.5748304160157058</v>
      </c>
      <c r="U24" s="11">
        <f t="shared" si="6"/>
        <v>1.3108714092112157</v>
      </c>
      <c r="W24" s="10" t="str">
        <f>name!D20</f>
        <v>54 Textiles, printing and other skilled trades</v>
      </c>
      <c r="X24" s="11">
        <v>3.3245063011950369</v>
      </c>
      <c r="Y24" s="11">
        <v>2.9378950992862309</v>
      </c>
      <c r="Z24" s="11">
        <v>3.3753602290378462</v>
      </c>
      <c r="AA24" s="11">
        <v>3.3534223537178627</v>
      </c>
      <c r="AB24" s="11">
        <v>3.2951079142314197</v>
      </c>
      <c r="AC24" s="11"/>
      <c r="AD24" s="11">
        <f t="shared" si="4"/>
        <v>-8.0252314806426472E-2</v>
      </c>
      <c r="AE24" s="11">
        <f>'RD T1'!T52</f>
        <v>1.9270362223672461</v>
      </c>
      <c r="AF24" s="11">
        <f t="shared" si="7"/>
        <v>1.8467839075608197</v>
      </c>
    </row>
    <row r="25" spans="1:32" x14ac:dyDescent="0.25">
      <c r="A25" s="10" t="str">
        <f>name!D21</f>
        <v>61 Caring personal service occupations</v>
      </c>
      <c r="B25" s="11">
        <v>38.549226321705426</v>
      </c>
      <c r="C25" s="11">
        <v>41.06186937421402</v>
      </c>
      <c r="D25" s="11">
        <v>39.709013980070296</v>
      </c>
      <c r="E25" s="11">
        <v>41.475231244635403</v>
      </c>
      <c r="F25" s="11">
        <v>45.131434884626096</v>
      </c>
      <c r="G25" s="11"/>
      <c r="H25" s="11">
        <f t="shared" si="2"/>
        <v>5.4224209045557998</v>
      </c>
      <c r="I25" s="11">
        <f>'RD T1'!E24</f>
        <v>24.118414425320019</v>
      </c>
      <c r="J25" s="11">
        <f t="shared" si="5"/>
        <v>29.540835329875819</v>
      </c>
      <c r="L25" s="10" t="str">
        <f>name!D21</f>
        <v>61 Caring personal service occupations</v>
      </c>
      <c r="M25" s="11">
        <v>4.2430476204005672</v>
      </c>
      <c r="N25" s="11">
        <v>4.439973671626789</v>
      </c>
      <c r="O25" s="11">
        <v>4.2454959953934797</v>
      </c>
      <c r="P25" s="11">
        <v>5.0361653983959878</v>
      </c>
      <c r="Q25" s="11">
        <v>5.7241065950610333</v>
      </c>
      <c r="R25" s="11"/>
      <c r="S25" s="11">
        <f t="shared" si="3"/>
        <v>1.4786105996675536</v>
      </c>
      <c r="T25" s="11">
        <f>'RD T1'!T24</f>
        <v>2.2713000587416849</v>
      </c>
      <c r="U25" s="11">
        <f t="shared" si="6"/>
        <v>3.7499106584092385</v>
      </c>
      <c r="W25" s="10" t="str">
        <f>name!D21</f>
        <v>61 Caring personal service occupations</v>
      </c>
      <c r="X25" s="11">
        <v>34.306178701304844</v>
      </c>
      <c r="Y25" s="11">
        <v>36.621895702587238</v>
      </c>
      <c r="Z25" s="11">
        <v>35.463517984676812</v>
      </c>
      <c r="AA25" s="11">
        <v>36.439065846239423</v>
      </c>
      <c r="AB25" s="11">
        <v>39.407328289565072</v>
      </c>
      <c r="AC25" s="11"/>
      <c r="AD25" s="11">
        <f t="shared" si="4"/>
        <v>3.9438103048882596</v>
      </c>
      <c r="AE25" s="11">
        <f>'RD T1'!T53</f>
        <v>21.847114366578332</v>
      </c>
      <c r="AF25" s="11">
        <f t="shared" si="7"/>
        <v>25.790924671466591</v>
      </c>
    </row>
    <row r="26" spans="1:32" x14ac:dyDescent="0.25">
      <c r="A26" s="10" t="str">
        <f>name!D22</f>
        <v>62 Leisure, travel and related personal service occupations</v>
      </c>
      <c r="B26" s="11">
        <v>11.482295485656088</v>
      </c>
      <c r="C26" s="11">
        <v>10.028377892597495</v>
      </c>
      <c r="D26" s="11">
        <v>9.1820078898329758</v>
      </c>
      <c r="E26" s="11">
        <v>8.4814204479781505</v>
      </c>
      <c r="F26" s="11">
        <v>8.4132106883947344</v>
      </c>
      <c r="G26" s="11"/>
      <c r="H26" s="11">
        <f t="shared" si="2"/>
        <v>-0.76879720143824137</v>
      </c>
      <c r="I26" s="11">
        <f>'RD T1'!E25</f>
        <v>4.3570157519509625</v>
      </c>
      <c r="J26" s="11">
        <f t="shared" si="5"/>
        <v>3.5882185505127211</v>
      </c>
      <c r="L26" s="10" t="str">
        <f>name!D22</f>
        <v>62 Leisure, travel and related personal service occupations</v>
      </c>
      <c r="M26" s="11">
        <v>3.058491608492754</v>
      </c>
      <c r="N26" s="11">
        <v>2.8665436273098517</v>
      </c>
      <c r="O26" s="11">
        <v>2.7586835265309717</v>
      </c>
      <c r="P26" s="11">
        <v>2.6410664579568981</v>
      </c>
      <c r="Q26" s="11">
        <v>2.7097380111785139</v>
      </c>
      <c r="R26" s="11"/>
      <c r="S26" s="11">
        <f t="shared" si="3"/>
        <v>-4.8945515352457836E-2</v>
      </c>
      <c r="T26" s="11">
        <f>'RD T1'!T25</f>
        <v>1.1599384990454351</v>
      </c>
      <c r="U26" s="11">
        <f t="shared" si="6"/>
        <v>1.1109929836929773</v>
      </c>
      <c r="W26" s="10" t="str">
        <f>name!D22</f>
        <v>62 Leisure, travel and related personal service occupations</v>
      </c>
      <c r="X26" s="11">
        <v>8.4238038771633352</v>
      </c>
      <c r="Y26" s="11">
        <v>7.161834265287653</v>
      </c>
      <c r="Z26" s="11">
        <v>6.4233243633020036</v>
      </c>
      <c r="AA26" s="11">
        <v>5.8403539900212591</v>
      </c>
      <c r="AB26" s="11">
        <v>5.7034726772162196</v>
      </c>
      <c r="AC26" s="11"/>
      <c r="AD26" s="11">
        <f t="shared" si="4"/>
        <v>-0.71985168608578398</v>
      </c>
      <c r="AE26" s="11">
        <f>'RD T1'!T54</f>
        <v>3.1970772529055282</v>
      </c>
      <c r="AF26" s="11">
        <f t="shared" si="7"/>
        <v>2.4772255668197443</v>
      </c>
    </row>
    <row r="27" spans="1:32" x14ac:dyDescent="0.25">
      <c r="A27" s="10" t="str">
        <f>name!D23</f>
        <v>63 Community and civil enforcement occupations</v>
      </c>
      <c r="B27" s="11">
        <v>0.44667082132503066</v>
      </c>
      <c r="C27" s="11">
        <v>0.3674632446263803</v>
      </c>
      <c r="D27" s="11">
        <v>0.44693455623107448</v>
      </c>
      <c r="E27" s="11">
        <v>0.34088140481104534</v>
      </c>
      <c r="F27" s="11">
        <v>0.37504575772625592</v>
      </c>
      <c r="G27" s="11"/>
      <c r="H27" s="11">
        <f t="shared" si="2"/>
        <v>-7.1888798504818552E-2</v>
      </c>
      <c r="I27" s="11">
        <f>'RD T1'!E26</f>
        <v>0.17975247429427885</v>
      </c>
      <c r="J27" s="11">
        <f t="shared" si="5"/>
        <v>0.10786367578946029</v>
      </c>
      <c r="L27" s="10" t="str">
        <f>name!D23</f>
        <v>63 Community and civil enforcement occupations</v>
      </c>
      <c r="M27" s="11">
        <v>0.34745363873721236</v>
      </c>
      <c r="N27" s="11">
        <v>0.24513125617545803</v>
      </c>
      <c r="O27" s="11">
        <v>0.34512232129875436</v>
      </c>
      <c r="P27" s="11">
        <v>0.20348112052364134</v>
      </c>
      <c r="Q27" s="11">
        <v>0.23596527829199901</v>
      </c>
      <c r="R27" s="11"/>
      <c r="S27" s="11">
        <f t="shared" si="3"/>
        <v>-0.10915704300675536</v>
      </c>
      <c r="T27" s="11">
        <f>'RD T1'!T26</f>
        <v>9.1710861213524161E-2</v>
      </c>
      <c r="U27" s="11">
        <f t="shared" si="6"/>
        <v>-1.7446181793231194E-2</v>
      </c>
      <c r="W27" s="10" t="str">
        <f>name!D23</f>
        <v>63 Community and civil enforcement occupations</v>
      </c>
      <c r="X27" s="11">
        <v>9.9217182587818212E-2</v>
      </c>
      <c r="Y27" s="11">
        <v>0.12233198845092198</v>
      </c>
      <c r="Z27" s="11">
        <v>0.10181223493232026</v>
      </c>
      <c r="AA27" s="11">
        <v>0.13740028428740431</v>
      </c>
      <c r="AB27" s="11">
        <v>0.1390804794342573</v>
      </c>
      <c r="AC27" s="11"/>
      <c r="AD27" s="11">
        <f t="shared" si="4"/>
        <v>3.726824450193704E-2</v>
      </c>
      <c r="AE27" s="11">
        <f>'RD T1'!T55</f>
        <v>8.8041613080754672E-2</v>
      </c>
      <c r="AF27" s="11">
        <f t="shared" si="7"/>
        <v>0.1253098575826917</v>
      </c>
    </row>
    <row r="28" spans="1:32" x14ac:dyDescent="0.25">
      <c r="A28" s="10" t="str">
        <f>name!D24</f>
        <v>71 Sales occupations</v>
      </c>
      <c r="B28" s="11">
        <v>34.223800198352485</v>
      </c>
      <c r="C28" s="11">
        <v>30.736255514037811</v>
      </c>
      <c r="D28" s="11">
        <v>30.25093913476638</v>
      </c>
      <c r="E28" s="11">
        <v>29.213833101714457</v>
      </c>
      <c r="F28" s="11">
        <v>27.813348952284226</v>
      </c>
      <c r="G28" s="11"/>
      <c r="H28" s="11">
        <f t="shared" si="2"/>
        <v>-2.437590182482154</v>
      </c>
      <c r="I28" s="11">
        <f>'RD T1'!E27</f>
        <v>13.114092206492909</v>
      </c>
      <c r="J28" s="11">
        <f t="shared" si="5"/>
        <v>10.676502024010755</v>
      </c>
      <c r="L28" s="10" t="str">
        <f>name!D24</f>
        <v>71 Sales occupations</v>
      </c>
      <c r="M28" s="11">
        <v>13.78021993769844</v>
      </c>
      <c r="N28" s="11">
        <v>13.05661518523562</v>
      </c>
      <c r="O28" s="11">
        <v>13.001901321449159</v>
      </c>
      <c r="P28" s="11">
        <v>12.757946718464479</v>
      </c>
      <c r="Q28" s="11">
        <v>12.429160935553112</v>
      </c>
      <c r="R28" s="11"/>
      <c r="S28" s="11">
        <f t="shared" si="3"/>
        <v>-0.57274038589604714</v>
      </c>
      <c r="T28" s="11">
        <f>'RD T1'!T27</f>
        <v>4.1335378682670898</v>
      </c>
      <c r="U28" s="11">
        <f t="shared" si="6"/>
        <v>3.5607974823710427</v>
      </c>
      <c r="W28" s="10" t="str">
        <f>name!D24</f>
        <v>71 Sales occupations</v>
      </c>
      <c r="X28" s="11">
        <v>20.443580260654084</v>
      </c>
      <c r="Y28" s="11">
        <v>17.679640328802176</v>
      </c>
      <c r="Z28" s="11">
        <v>17.249037813317205</v>
      </c>
      <c r="AA28" s="11">
        <v>16.455886383249926</v>
      </c>
      <c r="AB28" s="11">
        <v>15.384188016731123</v>
      </c>
      <c r="AC28" s="11"/>
      <c r="AD28" s="11">
        <f t="shared" si="4"/>
        <v>-1.864849796586082</v>
      </c>
      <c r="AE28" s="11">
        <f>'RD T1'!T56</f>
        <v>8.9805543382258222</v>
      </c>
      <c r="AF28" s="11">
        <f t="shared" si="7"/>
        <v>7.1157045416397402</v>
      </c>
    </row>
    <row r="29" spans="1:32" x14ac:dyDescent="0.25">
      <c r="A29" s="10" t="str">
        <f>name!D25</f>
        <v>72 Customer service occupations</v>
      </c>
      <c r="B29" s="11">
        <v>9.0886906437377402</v>
      </c>
      <c r="C29" s="11">
        <v>8.8480017178491579</v>
      </c>
      <c r="D29" s="11">
        <v>9.088846806026746</v>
      </c>
      <c r="E29" s="11">
        <v>10.158634946145103</v>
      </c>
      <c r="F29" s="11">
        <v>11.267733851765355</v>
      </c>
      <c r="G29" s="11"/>
      <c r="H29" s="11">
        <f t="shared" si="2"/>
        <v>2.1788870457386089</v>
      </c>
      <c r="I29" s="11">
        <f>'RD T1'!E28</f>
        <v>4.6968025709030856</v>
      </c>
      <c r="J29" s="11">
        <f t="shared" si="5"/>
        <v>6.8756896166416945</v>
      </c>
      <c r="L29" s="10" t="str">
        <f>name!D25</f>
        <v>72 Customer service occupations</v>
      </c>
      <c r="M29" s="11">
        <v>3.9189141356413506</v>
      </c>
      <c r="N29" s="11">
        <v>3.2108730880265202</v>
      </c>
      <c r="O29" s="11">
        <v>3.7194792469850886</v>
      </c>
      <c r="P29" s="11">
        <v>4.6876704592253526</v>
      </c>
      <c r="Q29" s="11">
        <v>5.3492840253357752</v>
      </c>
      <c r="R29" s="11"/>
      <c r="S29" s="11">
        <f t="shared" si="3"/>
        <v>1.6298047783506866</v>
      </c>
      <c r="T29" s="11">
        <f>'RD T1'!T28</f>
        <v>1.6518113615420877</v>
      </c>
      <c r="U29" s="11">
        <f t="shared" si="6"/>
        <v>3.2816161398927743</v>
      </c>
      <c r="W29" s="10" t="str">
        <f>name!D25</f>
        <v>72 Customer service occupations</v>
      </c>
      <c r="X29" s="11">
        <v>5.1697765080963762</v>
      </c>
      <c r="Y29" s="11">
        <v>5.6371286298226373</v>
      </c>
      <c r="Z29" s="11">
        <v>5.3693675590416552</v>
      </c>
      <c r="AA29" s="11">
        <v>5.4709644869197254</v>
      </c>
      <c r="AB29" s="11">
        <v>5.9184498264295753</v>
      </c>
      <c r="AC29" s="11"/>
      <c r="AD29" s="11">
        <f t="shared" si="4"/>
        <v>0.5490822673879201</v>
      </c>
      <c r="AE29" s="11">
        <f>'RD T1'!T57</f>
        <v>3.0449912093609983</v>
      </c>
      <c r="AF29" s="11">
        <f t="shared" si="7"/>
        <v>3.5940734767489184</v>
      </c>
    </row>
    <row r="30" spans="1:32" x14ac:dyDescent="0.25">
      <c r="A30" s="10" t="str">
        <f>name!D26</f>
        <v>81 Process, plant and machine operatives</v>
      </c>
      <c r="B30" s="11">
        <v>23.01767694669358</v>
      </c>
      <c r="C30" s="11">
        <v>21.737054143198129</v>
      </c>
      <c r="D30" s="11">
        <v>18.382917992462492</v>
      </c>
      <c r="E30" s="11">
        <v>18.988071519329377</v>
      </c>
      <c r="F30" s="11">
        <v>17.514325366127888</v>
      </c>
      <c r="G30" s="11"/>
      <c r="H30" s="11">
        <f t="shared" si="2"/>
        <v>-0.86859262633460332</v>
      </c>
      <c r="I30" s="11">
        <f>'RD T1'!E29</f>
        <v>7.4375734958308177</v>
      </c>
      <c r="J30" s="11">
        <f t="shared" si="5"/>
        <v>6.5689808694962144</v>
      </c>
      <c r="L30" s="10" t="str">
        <f>name!D26</f>
        <v>81 Process, plant and machine operatives</v>
      </c>
      <c r="M30" s="11">
        <v>18.516053173598369</v>
      </c>
      <c r="N30" s="11">
        <v>17.022290606392598</v>
      </c>
      <c r="O30" s="11">
        <v>14.308197019339588</v>
      </c>
      <c r="P30" s="11">
        <v>14.276562087567656</v>
      </c>
      <c r="Q30" s="11">
        <v>12.805010245650058</v>
      </c>
      <c r="R30" s="11"/>
      <c r="S30" s="11">
        <f t="shared" si="3"/>
        <v>-1.5031867736895297</v>
      </c>
      <c r="T30" s="11">
        <f>'RD T1'!T29</f>
        <v>5.040098817483825</v>
      </c>
      <c r="U30" s="11">
        <f t="shared" si="6"/>
        <v>3.5369120437942954</v>
      </c>
      <c r="W30" s="10" t="str">
        <f>name!D26</f>
        <v>81 Process, plant and machine operatives</v>
      </c>
      <c r="X30" s="11">
        <v>4.5016237730952078</v>
      </c>
      <c r="Y30" s="11">
        <v>4.7147635368055472</v>
      </c>
      <c r="Z30" s="11">
        <v>4.0747209731229184</v>
      </c>
      <c r="AA30" s="11">
        <v>4.7115094317617281</v>
      </c>
      <c r="AB30" s="11">
        <v>4.7093151204778412</v>
      </c>
      <c r="AC30" s="11"/>
      <c r="AD30" s="11">
        <f t="shared" si="4"/>
        <v>0.63459414735492281</v>
      </c>
      <c r="AE30" s="11">
        <f>'RD T1'!T58</f>
        <v>2.3974746783469936</v>
      </c>
      <c r="AF30" s="11">
        <f t="shared" si="7"/>
        <v>3.0320688257019164</v>
      </c>
    </row>
    <row r="31" spans="1:32" x14ac:dyDescent="0.25">
      <c r="A31" s="10" t="str">
        <f>name!D27</f>
        <v>82 Transport and mobile machine drivers and operatives</v>
      </c>
      <c r="B31" s="11">
        <v>24.123007113083549</v>
      </c>
      <c r="C31" s="11">
        <v>24.835414702497779</v>
      </c>
      <c r="D31" s="11">
        <v>21.975456313535553</v>
      </c>
      <c r="E31" s="11">
        <v>22.740234056496391</v>
      </c>
      <c r="F31" s="11">
        <v>22.68541236648149</v>
      </c>
      <c r="G31" s="11"/>
      <c r="H31" s="11">
        <f t="shared" si="2"/>
        <v>0.70995605294593744</v>
      </c>
      <c r="I31" s="11">
        <f>'RD T1'!E30</f>
        <v>12.030849316983822</v>
      </c>
      <c r="J31" s="11">
        <f t="shared" si="5"/>
        <v>12.74080536992976</v>
      </c>
      <c r="L31" s="10" t="str">
        <f>name!D27</f>
        <v>82 Transport and mobile machine drivers and operatives</v>
      </c>
      <c r="M31" s="11">
        <v>23.025017983339353</v>
      </c>
      <c r="N31" s="11">
        <v>23.675571046795298</v>
      </c>
      <c r="O31" s="11">
        <v>21.000512062003565</v>
      </c>
      <c r="P31" s="11">
        <v>21.436484758990787</v>
      </c>
      <c r="Q31" s="11">
        <v>21.219555916449671</v>
      </c>
      <c r="R31" s="11"/>
      <c r="S31" s="11">
        <f t="shared" si="3"/>
        <v>0.21904385444610597</v>
      </c>
      <c r="T31" s="11">
        <f>'RD T1'!T30</f>
        <v>11.179594813782906</v>
      </c>
      <c r="U31" s="11">
        <f t="shared" si="6"/>
        <v>11.398638668229012</v>
      </c>
      <c r="W31" s="10" t="str">
        <f>name!D27</f>
        <v>82 Transport and mobile machine drivers and operatives</v>
      </c>
      <c r="X31" s="11">
        <v>1.097989129744207</v>
      </c>
      <c r="Y31" s="11">
        <v>1.1598436557025105</v>
      </c>
      <c r="Z31" s="11">
        <v>0.9749442515319815</v>
      </c>
      <c r="AA31" s="11">
        <v>1.3037492975056073</v>
      </c>
      <c r="AB31" s="11">
        <v>1.4658564500317817</v>
      </c>
      <c r="AC31" s="11"/>
      <c r="AD31" s="11">
        <f t="shared" si="4"/>
        <v>0.49091219849980017</v>
      </c>
      <c r="AE31" s="11">
        <f>'RD T1'!T59</f>
        <v>0.85125450320091711</v>
      </c>
      <c r="AF31" s="11">
        <f t="shared" si="7"/>
        <v>1.3421667017007173</v>
      </c>
    </row>
    <row r="32" spans="1:32" x14ac:dyDescent="0.25">
      <c r="A32" s="10" t="str">
        <f>name!D28</f>
        <v>91 Elementary trades and related occupations</v>
      </c>
      <c r="B32" s="11">
        <v>11.487443580203085</v>
      </c>
      <c r="C32" s="11">
        <v>9.8320405541299714</v>
      </c>
      <c r="D32" s="11">
        <v>8.59789452449556</v>
      </c>
      <c r="E32" s="11">
        <v>15.010512028853473</v>
      </c>
      <c r="F32" s="11">
        <v>16.496787208058887</v>
      </c>
      <c r="G32" s="11"/>
      <c r="H32" s="11">
        <f t="shared" si="2"/>
        <v>7.8988926835633269</v>
      </c>
      <c r="I32" s="11">
        <f>'RD T1'!E31</f>
        <v>7.0499608607004038</v>
      </c>
      <c r="J32" s="11">
        <f t="shared" si="5"/>
        <v>14.948853544263731</v>
      </c>
      <c r="L32" s="10" t="str">
        <f>name!D28</f>
        <v>91 Elementary trades and related occupations</v>
      </c>
      <c r="M32" s="11">
        <v>8.6440665036647317</v>
      </c>
      <c r="N32" s="11">
        <v>7.4127368380211713</v>
      </c>
      <c r="O32" s="11">
        <v>6.6698630780719155</v>
      </c>
      <c r="P32" s="11">
        <v>8.9898182619039115</v>
      </c>
      <c r="Q32" s="11">
        <v>9.4686811693405577</v>
      </c>
      <c r="R32" s="11"/>
      <c r="S32" s="11">
        <f t="shared" si="3"/>
        <v>2.7988180912686422</v>
      </c>
      <c r="T32" s="11">
        <f>'RD T1'!T31</f>
        <v>3.0608122110648264</v>
      </c>
      <c r="U32" s="11">
        <f t="shared" si="6"/>
        <v>5.8596303023334686</v>
      </c>
      <c r="W32" s="10" t="str">
        <f>name!D28</f>
        <v>91 Elementary trades and related occupations</v>
      </c>
      <c r="X32" s="11">
        <v>2.8433770765383448</v>
      </c>
      <c r="Y32" s="11">
        <v>2.4193037161087925</v>
      </c>
      <c r="Z32" s="11">
        <v>1.9280314464236585</v>
      </c>
      <c r="AA32" s="11">
        <v>6.0206937669495684</v>
      </c>
      <c r="AB32" s="11">
        <v>7.0281060387183256</v>
      </c>
      <c r="AC32" s="11"/>
      <c r="AD32" s="11">
        <f t="shared" si="4"/>
        <v>5.1000745922946669</v>
      </c>
      <c r="AE32" s="11">
        <f>'RD T1'!T60</f>
        <v>3.9891486496355784</v>
      </c>
      <c r="AF32" s="11">
        <f t="shared" si="7"/>
        <v>9.0892232419302452</v>
      </c>
    </row>
    <row r="33" spans="1:32" x14ac:dyDescent="0.25">
      <c r="A33" s="10" t="str">
        <f>name!D29</f>
        <v>92 Elementary administration and service occupations</v>
      </c>
      <c r="B33" s="11">
        <v>45.472494733851811</v>
      </c>
      <c r="C33" s="11">
        <v>41.766910652938115</v>
      </c>
      <c r="D33" s="11">
        <v>37.688938677596269</v>
      </c>
      <c r="E33" s="11">
        <v>33.224143449787029</v>
      </c>
      <c r="F33" s="11">
        <v>29.481164863279925</v>
      </c>
      <c r="G33" s="11"/>
      <c r="H33" s="11">
        <f t="shared" ref="H33" si="8">F33-D33</f>
        <v>-8.2077738143163437</v>
      </c>
      <c r="I33" s="11">
        <f>'RD T1'!E32</f>
        <v>15.748027002635254</v>
      </c>
      <c r="J33" s="11">
        <f>SUM(H33:I33)</f>
        <v>7.5402531883189106</v>
      </c>
      <c r="L33" s="10" t="str">
        <f>name!D29</f>
        <v>92 Elementary administration and service occupations</v>
      </c>
      <c r="M33" s="11">
        <v>23.573386766069238</v>
      </c>
      <c r="N33" s="11">
        <v>19.916820189908439</v>
      </c>
      <c r="O33" s="11">
        <v>18.746991875777951</v>
      </c>
      <c r="P33" s="11">
        <v>18.26525627312952</v>
      </c>
      <c r="Q33" s="11">
        <v>16.657311828955478</v>
      </c>
      <c r="R33" s="11"/>
      <c r="S33" s="11">
        <f t="shared" ref="S33" si="9">Q33-O33</f>
        <v>-2.0896800468224725</v>
      </c>
      <c r="T33" s="11">
        <f>'RD T1'!T32</f>
        <v>7.1751543654780026</v>
      </c>
      <c r="U33" s="11">
        <f t="shared" ref="U33" si="10">SUM(S33:T33)</f>
        <v>5.08547431865553</v>
      </c>
      <c r="W33" s="10" t="str">
        <f>name!D29</f>
        <v>92 Elementary administration and service occupations</v>
      </c>
      <c r="X33" s="11">
        <v>21.899107967782559</v>
      </c>
      <c r="Y33" s="11">
        <v>21.850090463029687</v>
      </c>
      <c r="Z33" s="11">
        <v>18.941946801818354</v>
      </c>
      <c r="AA33" s="11">
        <v>14.958887176657543</v>
      </c>
      <c r="AB33" s="11">
        <v>12.823853034324475</v>
      </c>
      <c r="AC33" s="11"/>
      <c r="AD33" s="11">
        <f t="shared" ref="AD33" si="11">AB33-Z33</f>
        <v>-6.1180937674938782</v>
      </c>
      <c r="AE33" s="11">
        <f>'RD T1'!T61</f>
        <v>8.5728726371572552</v>
      </c>
      <c r="AF33" s="11">
        <f t="shared" ref="AF33" si="12">SUM(AD33:AE33)</f>
        <v>2.454778869663377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31" t="str">
        <f>name!D3</f>
        <v>All occupations</v>
      </c>
      <c r="B35" s="34">
        <f>SUM(B8:B33)</f>
        <v>505.56200000000013</v>
      </c>
      <c r="C35" s="34">
        <f>SUM(C8:C33)</f>
        <v>509.9309999999997</v>
      </c>
      <c r="D35" s="34">
        <f>SUM(D8:D33)</f>
        <v>496.19399999999962</v>
      </c>
      <c r="E35" s="34">
        <f>SUM(E8:E33)</f>
        <v>508.12800000000021</v>
      </c>
      <c r="F35" s="34">
        <f>SUM(F8:F33)</f>
        <v>521.94399999999973</v>
      </c>
      <c r="G35" s="11"/>
      <c r="H35" s="34">
        <f>F35-D35</f>
        <v>25.750000000000114</v>
      </c>
      <c r="I35" s="34">
        <f>SUM(I8:I33)</f>
        <v>245.71821360686715</v>
      </c>
      <c r="J35" s="34">
        <f>SUM(J8:J33)</f>
        <v>271.46821360686704</v>
      </c>
      <c r="L35" s="231" t="str">
        <f>name!D3</f>
        <v>All occupations</v>
      </c>
      <c r="M35" s="34">
        <f>SUM(M8:M33)</f>
        <v>278.47300247517569</v>
      </c>
      <c r="N35" s="34">
        <f>SUM(N8:N33)</f>
        <v>275.90173239601114</v>
      </c>
      <c r="O35" s="34">
        <f>SUM(O8:O33)</f>
        <v>265.0994044041413</v>
      </c>
      <c r="P35" s="34">
        <f>SUM(P8:P33)</f>
        <v>269.87496646904503</v>
      </c>
      <c r="Q35" s="34">
        <f>SUM(Q8:Q33)</f>
        <v>273.44446800613349</v>
      </c>
      <c r="R35" s="11"/>
      <c r="S35" s="34">
        <f>Q35-O35</f>
        <v>8.3450636019921944</v>
      </c>
      <c r="T35" s="34">
        <f>SUM(T8:T33)</f>
        <v>108.3397982621365</v>
      </c>
      <c r="U35" s="34">
        <f>SUM(U8:U33)</f>
        <v>116.68486186412873</v>
      </c>
      <c r="W35" s="231" t="str">
        <f>name!D3</f>
        <v>All occupations</v>
      </c>
      <c r="X35" s="34">
        <f>SUM(X8:X33)</f>
        <v>227.08899752482438</v>
      </c>
      <c r="Y35" s="34">
        <f>SUM(Y8:Y33)</f>
        <v>234.02926760398873</v>
      </c>
      <c r="Z35" s="34">
        <f>SUM(Z8:Z33)</f>
        <v>231.09459559585864</v>
      </c>
      <c r="AA35" s="34">
        <f>SUM(AA8:AA33)</f>
        <v>238.25303353095489</v>
      </c>
      <c r="AB35" s="34">
        <f>SUM(AB8:AB33)</f>
        <v>248.49953199386613</v>
      </c>
      <c r="AC35" s="11"/>
      <c r="AD35" s="34">
        <f t="shared" ref="AD35" si="13">AB35-Z35</f>
        <v>17.404936398007493</v>
      </c>
      <c r="AE35" s="34">
        <f>SUM(AE8:AE33)</f>
        <v>137.37841534473071</v>
      </c>
      <c r="AF35" s="34">
        <f>SUM(AF8:AF33)</f>
        <v>154.78335174273823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9" t="str">
        <f>CONCATENATE(A$1," (Continued)")</f>
        <v>Occupation Table 2  Employment Change by Occupation (SOC 2020) and Replacement Demand, 2015-2035, Black Country (Continued)</v>
      </c>
      <c r="L38" s="19" t="str">
        <f>CONCATENATE(L$1," (Continued)")</f>
        <v>Occupation Table 2.1  Males: Employment Change by Occupation (SOC 2020) and Replacement Demand, 2015-2035, Black Country (Continued)</v>
      </c>
      <c r="W38" s="19" t="str">
        <f>CONCATENATE(W$1," (Continued)")</f>
        <v>Occupation Table 2.2  Females: Employment Change by Occupation (SOC 2020) and Replacement Demand, 2015-2035, Black Country (Continued)</v>
      </c>
    </row>
    <row r="40" spans="1:32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ht="13" x14ac:dyDescent="0.3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173">
        <f t="shared" ref="B45:F54" si="20">B8/B$35*100</f>
        <v>5.9104097619839706</v>
      </c>
      <c r="C45" s="173">
        <f t="shared" si="20"/>
        <v>6.6030072989576656</v>
      </c>
      <c r="D45" s="173">
        <f t="shared" si="20"/>
        <v>6.9644835525859454</v>
      </c>
      <c r="E45" s="173">
        <f t="shared" si="20"/>
        <v>6.1347201436068275</v>
      </c>
      <c r="F45" s="173">
        <f t="shared" si="20"/>
        <v>6.4997342006689927</v>
      </c>
      <c r="H45" s="68">
        <f t="shared" ref="H45:H70" si="21">IF(D8&gt;0,(H8/D8)*100,0)</f>
        <v>-1.8299344463102944</v>
      </c>
      <c r="I45" s="69">
        <f t="shared" ref="I45:I70" si="22">IF(D8&gt;0,I8/D8*100,0)</f>
        <v>47.717682893408913</v>
      </c>
      <c r="J45" s="69">
        <f t="shared" ref="J45:J70" si="23">IF(D8&gt;0,(J8/D8)*100,0)</f>
        <v>45.887748447098616</v>
      </c>
      <c r="L45" t="str">
        <f t="shared" ref="L45:L70" si="24">L8</f>
        <v>11 Corporate managers and directors</v>
      </c>
      <c r="M45" s="173">
        <f t="shared" ref="M45:Q45" si="25">M8/M$35*100</f>
        <v>7.7043942740961837</v>
      </c>
      <c r="N45" s="173">
        <f t="shared" si="25"/>
        <v>8.4283528920286255</v>
      </c>
      <c r="O45" s="173">
        <f t="shared" si="25"/>
        <v>8.8804619565596106</v>
      </c>
      <c r="P45" s="173">
        <f t="shared" si="25"/>
        <v>7.5635535280342561</v>
      </c>
      <c r="Q45" s="173">
        <f t="shared" si="25"/>
        <v>7.7905765915589207</v>
      </c>
      <c r="S45" s="68">
        <f t="shared" ref="S45:S70" si="26">IF(O8&gt;0,(S8/O8)*100,0)</f>
        <v>-9.5112824619669372</v>
      </c>
      <c r="T45" s="69">
        <f t="shared" ref="T45:T70" si="27">IF(O8&gt;0,T8/O8*100,0)</f>
        <v>41.476619251849883</v>
      </c>
      <c r="U45" s="69">
        <f t="shared" ref="U45:U70" si="28">IF(O8&gt;0,(U8/O8)*100,0)</f>
        <v>31.965336789882944</v>
      </c>
      <c r="W45" t="str">
        <f t="shared" ref="W45:W70" si="29">W8</f>
        <v>11 Corporate managers and directors</v>
      </c>
      <c r="X45" s="173">
        <f t="shared" ref="X45:AB45" si="30">X8/X$35*100</f>
        <v>3.710495812268118</v>
      </c>
      <c r="Y45" s="173">
        <f t="shared" si="30"/>
        <v>4.4510712761440754</v>
      </c>
      <c r="Z45" s="173">
        <f t="shared" si="30"/>
        <v>4.7665752352799018</v>
      </c>
      <c r="AA45" s="173">
        <f t="shared" si="30"/>
        <v>4.5162460532775377</v>
      </c>
      <c r="AB45" s="173">
        <f t="shared" si="30"/>
        <v>5.0793141780454683</v>
      </c>
      <c r="AD45" s="68">
        <f t="shared" ref="AD45:AD70" si="31">IF(Z8&gt;0,(AD8/Z8)*100,0)</f>
        <v>14.586752275434989</v>
      </c>
      <c r="AE45" s="69">
        <f t="shared" ref="AE45:AE70" si="32">IF(Z8&gt;0,AE8/Z8*100,0)</f>
        <v>61.056173273627991</v>
      </c>
      <c r="AF45" s="69">
        <f t="shared" ref="AF45:AF70" si="33">IF(Z8&gt;0,(AF8/Z8)*100,0)</f>
        <v>75.64292554906298</v>
      </c>
    </row>
    <row r="46" spans="1:32" x14ac:dyDescent="0.25">
      <c r="A46" t="str">
        <f t="shared" si="19"/>
        <v>12 Other managers and proprietors</v>
      </c>
      <c r="B46" s="173">
        <f t="shared" si="20"/>
        <v>2.4748566575650321</v>
      </c>
      <c r="C46" s="173">
        <f t="shared" si="20"/>
        <v>2.4855062469097771</v>
      </c>
      <c r="D46" s="173">
        <f t="shared" si="20"/>
        <v>2.6689194092345967</v>
      </c>
      <c r="E46" s="173">
        <f t="shared" si="20"/>
        <v>2.6892030117680585</v>
      </c>
      <c r="F46" s="173">
        <f t="shared" si="20"/>
        <v>2.9315801331549864</v>
      </c>
      <c r="H46" s="68">
        <f t="shared" si="21"/>
        <v>15.541688766579497</v>
      </c>
      <c r="I46" s="69">
        <f t="shared" si="22"/>
        <v>60.947279979603778</v>
      </c>
      <c r="J46" s="69">
        <f t="shared" si="23"/>
        <v>76.488968746183275</v>
      </c>
      <c r="L46" t="str">
        <f t="shared" si="24"/>
        <v>12 Other managers and proprietors</v>
      </c>
      <c r="M46" s="173">
        <f t="shared" ref="M46:Q46" si="34">M9/M$35*100</f>
        <v>2.7218318090507476</v>
      </c>
      <c r="N46" s="173">
        <f t="shared" si="34"/>
        <v>2.8249667497613871</v>
      </c>
      <c r="O46" s="173">
        <f t="shared" si="34"/>
        <v>2.7861750867486825</v>
      </c>
      <c r="P46" s="173">
        <f t="shared" si="34"/>
        <v>3.0835472572910572</v>
      </c>
      <c r="Q46" s="173">
        <f t="shared" si="34"/>
        <v>3.3893819761420056</v>
      </c>
      <c r="S46" s="68">
        <f t="shared" si="26"/>
        <v>25.479419472752102</v>
      </c>
      <c r="T46" s="69">
        <f t="shared" si="27"/>
        <v>59.172542535236175</v>
      </c>
      <c r="U46" s="69">
        <f t="shared" si="28"/>
        <v>84.651962007988274</v>
      </c>
      <c r="W46" t="str">
        <f t="shared" si="29"/>
        <v>12 Other managers and proprietors</v>
      </c>
      <c r="X46" s="173">
        <f t="shared" ref="X46:AB46" si="35">X9/X$35*100</f>
        <v>2.1719978105023503</v>
      </c>
      <c r="Y46" s="173">
        <f t="shared" si="35"/>
        <v>2.0853095459772137</v>
      </c>
      <c r="Z46" s="173">
        <f t="shared" si="35"/>
        <v>2.5344099448663808</v>
      </c>
      <c r="AA46" s="173">
        <f t="shared" si="35"/>
        <v>2.242519758839181</v>
      </c>
      <c r="AB46" s="173">
        <f t="shared" si="35"/>
        <v>2.4278231224138054</v>
      </c>
      <c r="AD46" s="68">
        <f t="shared" si="31"/>
        <v>3.0091883599563993</v>
      </c>
      <c r="AE46" s="69">
        <f t="shared" si="32"/>
        <v>63.18540640914874</v>
      </c>
      <c r="AF46" s="69">
        <f t="shared" si="33"/>
        <v>66.194594769105137</v>
      </c>
    </row>
    <row r="47" spans="1:32" x14ac:dyDescent="0.25">
      <c r="A47" t="str">
        <f t="shared" si="19"/>
        <v>21 Science, research, engineering and technology professionals</v>
      </c>
      <c r="B47" s="173">
        <f t="shared" si="20"/>
        <v>4.6863821477954444</v>
      </c>
      <c r="C47" s="173">
        <f t="shared" si="20"/>
        <v>5.0050776417218721</v>
      </c>
      <c r="D47" s="173">
        <f t="shared" si="20"/>
        <v>5.3757506619860154</v>
      </c>
      <c r="E47" s="173">
        <f t="shared" si="20"/>
        <v>6.3628362571229005</v>
      </c>
      <c r="F47" s="173">
        <f t="shared" si="20"/>
        <v>6.9854520577399475</v>
      </c>
      <c r="H47" s="68">
        <f t="shared" si="21"/>
        <v>36.687185259210231</v>
      </c>
      <c r="I47" s="69">
        <f t="shared" si="22"/>
        <v>45.094998102622796</v>
      </c>
      <c r="J47" s="69">
        <f t="shared" si="23"/>
        <v>81.782183361833034</v>
      </c>
      <c r="L47" t="str">
        <f t="shared" si="24"/>
        <v>21 Science, research, engineering and technology professionals</v>
      </c>
      <c r="M47" s="173">
        <f t="shared" ref="M47:Q47" si="36">M10/M$35*100</f>
        <v>7.1770064339787059</v>
      </c>
      <c r="N47" s="173">
        <f t="shared" si="36"/>
        <v>7.8344279023080805</v>
      </c>
      <c r="O47" s="173">
        <f t="shared" si="36"/>
        <v>8.2258117182182655</v>
      </c>
      <c r="P47" s="173">
        <f t="shared" si="36"/>
        <v>9.5489414641123584</v>
      </c>
      <c r="Q47" s="173">
        <f t="shared" si="36"/>
        <v>10.349728403904622</v>
      </c>
      <c r="S47" s="68">
        <f t="shared" si="26"/>
        <v>29.780839248292651</v>
      </c>
      <c r="T47" s="69">
        <f t="shared" si="27"/>
        <v>39.032288204062461</v>
      </c>
      <c r="U47" s="69">
        <f t="shared" si="28"/>
        <v>68.813127452355118</v>
      </c>
      <c r="W47" t="str">
        <f t="shared" si="29"/>
        <v>21 Science, research, engineering and technology professionals</v>
      </c>
      <c r="X47" s="173">
        <f t="shared" ref="X47:AB47" si="37">X10/X$35*100</f>
        <v>1.632197970795715</v>
      </c>
      <c r="Y47" s="173">
        <f t="shared" si="37"/>
        <v>1.6695006583688121</v>
      </c>
      <c r="Z47" s="173">
        <f t="shared" si="37"/>
        <v>2.1063125058297238</v>
      </c>
      <c r="AA47" s="173">
        <f t="shared" si="37"/>
        <v>2.7538579236259739</v>
      </c>
      <c r="AB47" s="173">
        <f t="shared" si="37"/>
        <v>3.2834621653593148</v>
      </c>
      <c r="AD47" s="68">
        <f t="shared" si="31"/>
        <v>67.627395050679624</v>
      </c>
      <c r="AE47" s="69">
        <f t="shared" si="32"/>
        <v>72.255745025777003</v>
      </c>
      <c r="AF47" s="69">
        <f t="shared" si="33"/>
        <v>139.88314007645661</v>
      </c>
    </row>
    <row r="48" spans="1:32" x14ac:dyDescent="0.25">
      <c r="A48" t="str">
        <f t="shared" si="19"/>
        <v>22 Health professionals</v>
      </c>
      <c r="B48" s="173">
        <f t="shared" si="20"/>
        <v>4.287262869023424</v>
      </c>
      <c r="C48" s="173">
        <f t="shared" si="20"/>
        <v>5.3567644766047708</v>
      </c>
      <c r="D48" s="173">
        <f t="shared" si="20"/>
        <v>5.4183048960920122</v>
      </c>
      <c r="E48" s="173">
        <f t="shared" si="20"/>
        <v>5.2239070503207303</v>
      </c>
      <c r="F48" s="173">
        <f t="shared" si="20"/>
        <v>5.4756109973318567</v>
      </c>
      <c r="H48" s="68">
        <f t="shared" si="21"/>
        <v>6.3020276082721578</v>
      </c>
      <c r="I48" s="69">
        <f t="shared" si="22"/>
        <v>53.43638587735061</v>
      </c>
      <c r="J48" s="69">
        <f t="shared" si="23"/>
        <v>59.738413485622765</v>
      </c>
      <c r="L48" t="str">
        <f t="shared" si="24"/>
        <v>22 Health professionals</v>
      </c>
      <c r="M48" s="173">
        <f t="shared" ref="M48:Q48" si="38">M11/M$35*100</f>
        <v>1.8251515783956915</v>
      </c>
      <c r="N48" s="173">
        <f t="shared" si="38"/>
        <v>2.3414721307892794</v>
      </c>
      <c r="O48" s="173">
        <f t="shared" si="38"/>
        <v>2.5924583474835563</v>
      </c>
      <c r="P48" s="173">
        <f t="shared" si="38"/>
        <v>2.5079455444085883</v>
      </c>
      <c r="Q48" s="173">
        <f t="shared" si="38"/>
        <v>2.6360307369601994</v>
      </c>
      <c r="S48" s="68">
        <f t="shared" si="26"/>
        <v>4.8815440258393714</v>
      </c>
      <c r="T48" s="69">
        <f t="shared" si="27"/>
        <v>38.427724743453275</v>
      </c>
      <c r="U48" s="69">
        <f t="shared" si="28"/>
        <v>43.30926876929265</v>
      </c>
      <c r="W48" t="str">
        <f t="shared" si="29"/>
        <v>22 Health professionals</v>
      </c>
      <c r="X48" s="173">
        <f t="shared" ref="X48:AB48" si="39">X11/X$35*100</f>
        <v>7.3064823424555616</v>
      </c>
      <c r="Y48" s="173">
        <f t="shared" si="39"/>
        <v>8.9115522619456229</v>
      </c>
      <c r="Z48" s="173">
        <f t="shared" si="39"/>
        <v>8.6599654595596647</v>
      </c>
      <c r="AA48" s="173">
        <f t="shared" si="39"/>
        <v>8.3003422565235656</v>
      </c>
      <c r="AB48" s="173">
        <f t="shared" si="39"/>
        <v>8.6002346432114543</v>
      </c>
      <c r="AD48" s="68">
        <f t="shared" si="31"/>
        <v>6.7898377318858758</v>
      </c>
      <c r="AE48" s="69">
        <f t="shared" si="32"/>
        <v>58.590529813646505</v>
      </c>
      <c r="AF48" s="69">
        <f t="shared" si="33"/>
        <v>65.380367545532394</v>
      </c>
    </row>
    <row r="49" spans="1:32" x14ac:dyDescent="0.25">
      <c r="A49" t="str">
        <f t="shared" si="19"/>
        <v>23 Teaching and other educational professionals</v>
      </c>
      <c r="B49" s="173">
        <f t="shared" si="20"/>
        <v>3.8650798053792075</v>
      </c>
      <c r="C49" s="173">
        <f t="shared" si="20"/>
        <v>4.0722368036382459</v>
      </c>
      <c r="D49" s="173">
        <f t="shared" si="20"/>
        <v>4.4391141052710479</v>
      </c>
      <c r="E49" s="173">
        <f t="shared" si="20"/>
        <v>4.3236532169485624</v>
      </c>
      <c r="F49" s="173">
        <f t="shared" si="20"/>
        <v>4.6298752909662575</v>
      </c>
      <c r="H49" s="68">
        <f t="shared" si="21"/>
        <v>9.7097904924273468</v>
      </c>
      <c r="I49" s="69">
        <f t="shared" si="22"/>
        <v>52.11981484487508</v>
      </c>
      <c r="J49" s="69">
        <f t="shared" si="23"/>
        <v>61.829605337302432</v>
      </c>
      <c r="L49" t="str">
        <f t="shared" si="24"/>
        <v>23 Teaching and other educational professionals</v>
      </c>
      <c r="M49" s="173">
        <f t="shared" ref="M49:Q49" si="40">M12/M$35*100</f>
        <v>2.3601354524647897</v>
      </c>
      <c r="N49" s="173">
        <f t="shared" si="40"/>
        <v>2.4054471222736544</v>
      </c>
      <c r="O49" s="173">
        <f t="shared" si="40"/>
        <v>2.6952559021512554</v>
      </c>
      <c r="P49" s="173">
        <f t="shared" si="40"/>
        <v>2.7004376651768638</v>
      </c>
      <c r="Q49" s="173">
        <f t="shared" si="40"/>
        <v>2.860632759220469</v>
      </c>
      <c r="S49" s="68">
        <f t="shared" si="26"/>
        <v>9.4769001179459398</v>
      </c>
      <c r="T49" s="69">
        <f t="shared" si="27"/>
        <v>44.622289728236439</v>
      </c>
      <c r="U49" s="69">
        <f t="shared" si="28"/>
        <v>54.099189846182369</v>
      </c>
      <c r="W49" t="str">
        <f t="shared" si="29"/>
        <v>23 Teaching and other educational professionals</v>
      </c>
      <c r="X49" s="173">
        <f t="shared" ref="X49:AB49" si="41">X12/X$35*100</f>
        <v>5.7105517440552669</v>
      </c>
      <c r="Y49" s="173">
        <f t="shared" si="41"/>
        <v>6.0372481260958022</v>
      </c>
      <c r="Z49" s="173">
        <f t="shared" si="41"/>
        <v>6.4395753009140506</v>
      </c>
      <c r="AA49" s="173">
        <f t="shared" si="41"/>
        <v>6.1623086838452785</v>
      </c>
      <c r="AB49" s="173">
        <f t="shared" si="41"/>
        <v>6.5767183251776578</v>
      </c>
      <c r="AD49" s="68">
        <f t="shared" si="31"/>
        <v>9.8216088945332949</v>
      </c>
      <c r="AE49" s="69">
        <f t="shared" si="32"/>
        <v>55.719625614886823</v>
      </c>
      <c r="AF49" s="69">
        <f t="shared" si="33"/>
        <v>65.541234509420121</v>
      </c>
    </row>
    <row r="50" spans="1:32" x14ac:dyDescent="0.25">
      <c r="A50" t="str">
        <f t="shared" si="19"/>
        <v>24 Business, media and public service professionals</v>
      </c>
      <c r="B50" s="173">
        <f t="shared" si="20"/>
        <v>4.5110577256912778</v>
      </c>
      <c r="C50" s="173">
        <f t="shared" si="20"/>
        <v>4.9921133568973239</v>
      </c>
      <c r="D50" s="173">
        <f t="shared" si="20"/>
        <v>5.6344412387756044</v>
      </c>
      <c r="E50" s="173">
        <f t="shared" si="20"/>
        <v>5.7302900848732152</v>
      </c>
      <c r="F50" s="173">
        <f t="shared" si="20"/>
        <v>6.2332530420324375</v>
      </c>
      <c r="H50" s="68">
        <f t="shared" si="21"/>
        <v>16.368732695614419</v>
      </c>
      <c r="I50" s="69">
        <f t="shared" si="22"/>
        <v>50.876422099688035</v>
      </c>
      <c r="J50" s="69">
        <f t="shared" si="23"/>
        <v>67.245154795302454</v>
      </c>
      <c r="L50" t="str">
        <f t="shared" si="24"/>
        <v>24 Business, media and public service professionals</v>
      </c>
      <c r="M50" s="173">
        <f t="shared" ref="M50:Q50" si="42">M13/M$35*100</f>
        <v>4.9891879221064306</v>
      </c>
      <c r="N50" s="173">
        <f t="shared" si="42"/>
        <v>5.3455505929470473</v>
      </c>
      <c r="O50" s="173">
        <f t="shared" si="42"/>
        <v>6.116675068016673</v>
      </c>
      <c r="P50" s="173">
        <f t="shared" si="42"/>
        <v>6.3271445369391106</v>
      </c>
      <c r="Q50" s="173">
        <f t="shared" si="42"/>
        <v>6.7416840562258553</v>
      </c>
      <c r="S50" s="68">
        <f t="shared" si="26"/>
        <v>13.68767242558202</v>
      </c>
      <c r="T50" s="69">
        <f t="shared" si="27"/>
        <v>45.112915106021852</v>
      </c>
      <c r="U50" s="69">
        <f t="shared" si="28"/>
        <v>58.800587531603867</v>
      </c>
      <c r="W50" t="str">
        <f t="shared" si="29"/>
        <v>24 Business, media and public service professionals</v>
      </c>
      <c r="X50" s="173">
        <f t="shared" ref="X50:AB50" si="43">X13/X$35*100</f>
        <v>3.924739793862722</v>
      </c>
      <c r="Y50" s="173">
        <f t="shared" si="43"/>
        <v>4.575439208754525</v>
      </c>
      <c r="Z50" s="173">
        <f t="shared" si="43"/>
        <v>5.0812482894307367</v>
      </c>
      <c r="AA50" s="173">
        <f t="shared" si="43"/>
        <v>5.0542186290306379</v>
      </c>
      <c r="AB50" s="173">
        <f t="shared" si="43"/>
        <v>5.6737845912130878</v>
      </c>
      <c r="AD50" s="68">
        <f t="shared" si="31"/>
        <v>20.071023544026875</v>
      </c>
      <c r="AE50" s="69">
        <f t="shared" si="32"/>
        <v>58.835280554279244</v>
      </c>
      <c r="AF50" s="69">
        <f t="shared" si="33"/>
        <v>78.906304098306123</v>
      </c>
    </row>
    <row r="51" spans="1:32" x14ac:dyDescent="0.25">
      <c r="A51" t="str">
        <f t="shared" si="19"/>
        <v>31 Science, engineering and technology associate professionals</v>
      </c>
      <c r="B51" s="173">
        <f t="shared" si="20"/>
        <v>1.511117087036709</v>
      </c>
      <c r="C51" s="173">
        <f t="shared" si="20"/>
        <v>1.5841001516090514</v>
      </c>
      <c r="D51" s="173">
        <f t="shared" si="20"/>
        <v>1.7557448829615236</v>
      </c>
      <c r="E51" s="173">
        <f t="shared" si="20"/>
        <v>1.5772828263645349</v>
      </c>
      <c r="F51" s="173">
        <f t="shared" si="20"/>
        <v>1.6147931717855848</v>
      </c>
      <c r="H51" s="68">
        <f t="shared" si="21"/>
        <v>-3.2551414402136247</v>
      </c>
      <c r="I51" s="69">
        <f t="shared" si="22"/>
        <v>37.315004345905734</v>
      </c>
      <c r="J51" s="69">
        <f t="shared" si="23"/>
        <v>34.059862905692107</v>
      </c>
      <c r="L51" t="str">
        <f t="shared" si="24"/>
        <v>31 Science, engineering and technology associate professionals</v>
      </c>
      <c r="M51" s="173">
        <f t="shared" ref="M51:Q51" si="44">M14/M$35*100</f>
        <v>2.1493160245658598</v>
      </c>
      <c r="N51" s="173">
        <f t="shared" si="44"/>
        <v>2.3400632112244595</v>
      </c>
      <c r="O51" s="173">
        <f t="shared" si="44"/>
        <v>2.5352211581234769</v>
      </c>
      <c r="P51" s="173">
        <f t="shared" si="44"/>
        <v>2.1931247339033186</v>
      </c>
      <c r="Q51" s="173">
        <f t="shared" si="44"/>
        <v>2.1830192379912057</v>
      </c>
      <c r="S51" s="68">
        <f t="shared" si="26"/>
        <v>-11.181772491685074</v>
      </c>
      <c r="T51" s="69">
        <f t="shared" si="27"/>
        <v>31.891972533205422</v>
      </c>
      <c r="U51" s="69">
        <f t="shared" si="28"/>
        <v>20.710200041520345</v>
      </c>
      <c r="W51" t="str">
        <f t="shared" si="29"/>
        <v>31 Science, engineering and technology associate professionals</v>
      </c>
      <c r="X51" s="173">
        <f t="shared" ref="X51:AB51" si="45">X14/X$35*100</f>
        <v>0.72851125299236241</v>
      </c>
      <c r="Y51" s="173">
        <f t="shared" si="45"/>
        <v>0.69288034858760694</v>
      </c>
      <c r="Z51" s="173">
        <f t="shared" si="45"/>
        <v>0.86157124051959144</v>
      </c>
      <c r="AA51" s="173">
        <f t="shared" si="45"/>
        <v>0.87970382103502687</v>
      </c>
      <c r="AB51" s="173">
        <f t="shared" si="45"/>
        <v>0.98952730857000104</v>
      </c>
      <c r="AD51" s="68">
        <f t="shared" si="31"/>
        <v>23.501540989984417</v>
      </c>
      <c r="AE51" s="69">
        <f t="shared" si="32"/>
        <v>55.620680373850107</v>
      </c>
      <c r="AF51" s="69">
        <f t="shared" si="33"/>
        <v>79.122221363834527</v>
      </c>
    </row>
    <row r="52" spans="1:32" x14ac:dyDescent="0.25">
      <c r="A52" t="str">
        <f t="shared" si="19"/>
        <v>32 Health and social care associate professionals</v>
      </c>
      <c r="B52" s="173">
        <f t="shared" si="20"/>
        <v>1.7867026710835934</v>
      </c>
      <c r="C52" s="173">
        <f t="shared" si="20"/>
        <v>2.1486690886469613</v>
      </c>
      <c r="D52" s="173">
        <f t="shared" si="20"/>
        <v>2.2172544822101985</v>
      </c>
      <c r="E52" s="173">
        <f t="shared" si="20"/>
        <v>3.4794675944149769</v>
      </c>
      <c r="F52" s="173">
        <f t="shared" si="20"/>
        <v>4.0341150723063137</v>
      </c>
      <c r="H52" s="68">
        <f t="shared" si="21"/>
        <v>91.383786056133303</v>
      </c>
      <c r="I52" s="69">
        <f t="shared" si="22"/>
        <v>95.216533277559961</v>
      </c>
      <c r="J52" s="69">
        <f t="shared" si="23"/>
        <v>186.60031933369328</v>
      </c>
      <c r="L52" t="str">
        <f t="shared" si="24"/>
        <v>32 Health and social care associate professionals</v>
      </c>
      <c r="M52" s="173">
        <f t="shared" ref="M52:Q52" si="46">M15/M$35*100</f>
        <v>0.75045308827908319</v>
      </c>
      <c r="N52" s="173">
        <f t="shared" si="46"/>
        <v>0.84660591018147824</v>
      </c>
      <c r="O52" s="173">
        <f t="shared" si="46"/>
        <v>0.92824853515549088</v>
      </c>
      <c r="P52" s="173">
        <f t="shared" si="46"/>
        <v>1.2170093362404659</v>
      </c>
      <c r="Q52" s="173">
        <f t="shared" si="46"/>
        <v>1.3367250231455912</v>
      </c>
      <c r="S52" s="68">
        <f t="shared" si="26"/>
        <v>48.538213114307396</v>
      </c>
      <c r="T52" s="69">
        <f t="shared" si="27"/>
        <v>65.238769181303255</v>
      </c>
      <c r="U52" s="69">
        <f t="shared" si="28"/>
        <v>113.77698229561067</v>
      </c>
      <c r="W52" t="str">
        <f t="shared" si="29"/>
        <v>32 Health and social care associate professionals</v>
      </c>
      <c r="X52" s="173">
        <f t="shared" ref="X52:AB52" si="47">X15/X$35*100</f>
        <v>3.0574270821404399</v>
      </c>
      <c r="Y52" s="173">
        <f t="shared" si="47"/>
        <v>3.6836971229848281</v>
      </c>
      <c r="Z52" s="173">
        <f t="shared" si="47"/>
        <v>3.6959334100168584</v>
      </c>
      <c r="AA52" s="173">
        <f t="shared" si="47"/>
        <v>6.042208716798771</v>
      </c>
      <c r="AB52" s="173">
        <f t="shared" si="47"/>
        <v>7.002275137155042</v>
      </c>
      <c r="AD52" s="68">
        <f t="shared" si="31"/>
        <v>103.72804582261172</v>
      </c>
      <c r="AE52" s="69">
        <f t="shared" si="32"/>
        <v>103.85344210650354</v>
      </c>
      <c r="AF52" s="69">
        <f t="shared" si="33"/>
        <v>207.5814879291153</v>
      </c>
    </row>
    <row r="53" spans="1:32" x14ac:dyDescent="0.25">
      <c r="A53" t="str">
        <f t="shared" si="19"/>
        <v>33 Protective service occupations</v>
      </c>
      <c r="B53" s="173">
        <f t="shared" si="20"/>
        <v>0.87910548936650024</v>
      </c>
      <c r="C53" s="173">
        <f t="shared" si="20"/>
        <v>0.86815835658454088</v>
      </c>
      <c r="D53" s="173">
        <f t="shared" si="20"/>
        <v>0.9446550424104222</v>
      </c>
      <c r="E53" s="173">
        <f t="shared" si="20"/>
        <v>0.79864942585635201</v>
      </c>
      <c r="F53" s="173">
        <f t="shared" si="20"/>
        <v>0.85295076429892458</v>
      </c>
      <c r="H53" s="68">
        <f t="shared" si="21"/>
        <v>-5.0219789028269401</v>
      </c>
      <c r="I53" s="69">
        <f t="shared" si="22"/>
        <v>30.917970183878229</v>
      </c>
      <c r="J53" s="69">
        <f t="shared" si="23"/>
        <v>25.895991281051288</v>
      </c>
      <c r="L53" t="str">
        <f t="shared" si="24"/>
        <v>33 Protective service occupations</v>
      </c>
      <c r="M53" s="173">
        <f t="shared" ref="M53:Q53" si="48">M16/M$35*100</f>
        <v>1.2314120818043772</v>
      </c>
      <c r="N53" s="173">
        <f t="shared" si="48"/>
        <v>1.1869003875658115</v>
      </c>
      <c r="O53" s="173">
        <f t="shared" si="48"/>
        <v>1.2881602130704373</v>
      </c>
      <c r="P53" s="173">
        <f t="shared" si="48"/>
        <v>1.0850186022279318</v>
      </c>
      <c r="Q53" s="173">
        <f t="shared" si="48"/>
        <v>1.0754108217150296</v>
      </c>
      <c r="S53" s="68">
        <f t="shared" si="26"/>
        <v>-13.887755149673003</v>
      </c>
      <c r="T53" s="69">
        <f t="shared" si="27"/>
        <v>24.355954272605061</v>
      </c>
      <c r="U53" s="69">
        <f t="shared" si="28"/>
        <v>10.468199122932056</v>
      </c>
      <c r="W53" t="str">
        <f t="shared" si="29"/>
        <v>33 Protective service occupations</v>
      </c>
      <c r="X53" s="173">
        <f t="shared" ref="X53:AB53" si="49">X16/X$35*100</f>
        <v>0.44708158835276324</v>
      </c>
      <c r="Y53" s="173">
        <f t="shared" si="49"/>
        <v>0.49238707192639536</v>
      </c>
      <c r="Z53" s="173">
        <f t="shared" si="49"/>
        <v>0.5506042169598524</v>
      </c>
      <c r="AA53" s="173">
        <f t="shared" si="49"/>
        <v>0.47427214206824586</v>
      </c>
      <c r="AB53" s="173">
        <f t="shared" si="49"/>
        <v>0.60815967127480097</v>
      </c>
      <c r="AD53" s="68">
        <f t="shared" si="31"/>
        <v>18.771945487960576</v>
      </c>
      <c r="AE53" s="69">
        <f t="shared" si="32"/>
        <v>48.52907451323982</v>
      </c>
      <c r="AF53" s="69">
        <f t="shared" si="33"/>
        <v>67.301020001200399</v>
      </c>
    </row>
    <row r="54" spans="1:32" x14ac:dyDescent="0.25">
      <c r="A54" t="str">
        <f t="shared" si="19"/>
        <v>34 Culture, media and sports occupations</v>
      </c>
      <c r="B54" s="173">
        <f t="shared" si="20"/>
        <v>1.4888376728998831</v>
      </c>
      <c r="C54" s="173">
        <f t="shared" si="20"/>
        <v>1.4650437268087124</v>
      </c>
      <c r="D54" s="173">
        <f t="shared" si="20"/>
        <v>1.5509264204041293</v>
      </c>
      <c r="E54" s="173">
        <f t="shared" si="20"/>
        <v>1.3035644153073389</v>
      </c>
      <c r="F54" s="173">
        <f t="shared" si="20"/>
        <v>1.3874758770500211</v>
      </c>
      <c r="H54" s="68">
        <f t="shared" si="21"/>
        <v>-5.896311193236369</v>
      </c>
      <c r="I54" s="69">
        <f t="shared" si="22"/>
        <v>41.44187228513703</v>
      </c>
      <c r="J54" s="69">
        <f t="shared" si="23"/>
        <v>35.545561091900666</v>
      </c>
      <c r="L54" t="str">
        <f t="shared" si="24"/>
        <v>34 Culture, media and sports occupations</v>
      </c>
      <c r="M54" s="173">
        <f t="shared" ref="M54:Q54" si="50">M17/M$35*100</f>
        <v>1.6220553690431669</v>
      </c>
      <c r="N54" s="173">
        <f t="shared" si="50"/>
        <v>1.6300861248066005</v>
      </c>
      <c r="O54" s="173">
        <f t="shared" si="50"/>
        <v>1.7139838317853362</v>
      </c>
      <c r="P54" s="173">
        <f t="shared" si="50"/>
        <v>1.4374549271582664</v>
      </c>
      <c r="Q54" s="173">
        <f t="shared" si="50"/>
        <v>1.5130366172527694</v>
      </c>
      <c r="S54" s="68">
        <f t="shared" si="26"/>
        <v>-8.9451449395032245</v>
      </c>
      <c r="T54" s="69">
        <f t="shared" si="27"/>
        <v>35.467230518656436</v>
      </c>
      <c r="U54" s="69">
        <f t="shared" si="28"/>
        <v>26.52208557915321</v>
      </c>
      <c r="W54" t="str">
        <f t="shared" si="29"/>
        <v>34 Culture, media and sports occupations</v>
      </c>
      <c r="X54" s="173">
        <f t="shared" ref="X54:AB54" si="51">X17/X$35*100</f>
        <v>1.3254764698817103</v>
      </c>
      <c r="Y54" s="173">
        <f t="shared" si="51"/>
        <v>1.270471979468712</v>
      </c>
      <c r="Z54" s="173">
        <f t="shared" si="51"/>
        <v>1.3638756478432952</v>
      </c>
      <c r="AA54" s="173">
        <f t="shared" si="51"/>
        <v>1.1519033981912796</v>
      </c>
      <c r="AB54" s="173">
        <f t="shared" si="51"/>
        <v>1.2493110703330252</v>
      </c>
      <c r="AD54" s="68">
        <f t="shared" si="31"/>
        <v>-1.5010503758416993</v>
      </c>
      <c r="AE54" s="69">
        <f t="shared" si="32"/>
        <v>50.055037527858616</v>
      </c>
      <c r="AF54" s="69">
        <f t="shared" si="33"/>
        <v>48.553987152016916</v>
      </c>
    </row>
    <row r="55" spans="1:32" x14ac:dyDescent="0.25">
      <c r="A55" t="str">
        <f t="shared" si="19"/>
        <v>35 Business and public service associate professionals</v>
      </c>
      <c r="B55" s="173">
        <f t="shared" ref="B55:F64" si="52">B18/B$35*100</f>
        <v>5.4362157417430685</v>
      </c>
      <c r="C55" s="173">
        <f t="shared" si="52"/>
        <v>5.4486026151568963</v>
      </c>
      <c r="D55" s="173">
        <f t="shared" si="52"/>
        <v>5.787835414582287</v>
      </c>
      <c r="E55" s="173">
        <f t="shared" si="52"/>
        <v>5.6643894535705694</v>
      </c>
      <c r="F55" s="173">
        <f t="shared" si="52"/>
        <v>5.8113580341825504</v>
      </c>
      <c r="H55" s="68">
        <f t="shared" si="21"/>
        <v>5.6170081968964194</v>
      </c>
      <c r="I55" s="69">
        <f t="shared" si="22"/>
        <v>46.538633281183614</v>
      </c>
      <c r="J55" s="69">
        <f t="shared" si="23"/>
        <v>52.155641478080028</v>
      </c>
      <c r="L55" t="str">
        <f t="shared" si="24"/>
        <v>35 Business and public service associate professionals</v>
      </c>
      <c r="M55" s="173">
        <f t="shared" ref="M55:Q55" si="53">M18/M$35*100</f>
        <v>5.5387763380022799</v>
      </c>
      <c r="N55" s="173">
        <f t="shared" si="53"/>
        <v>5.4633520735614542</v>
      </c>
      <c r="O55" s="173">
        <f t="shared" si="53"/>
        <v>5.9226004688219174</v>
      </c>
      <c r="P55" s="173">
        <f t="shared" si="53"/>
        <v>5.7796580247189384</v>
      </c>
      <c r="Q55" s="173">
        <f t="shared" si="53"/>
        <v>5.761097383203527</v>
      </c>
      <c r="S55" s="68">
        <f t="shared" si="26"/>
        <v>0.33516505251115897</v>
      </c>
      <c r="T55" s="69">
        <f t="shared" si="27"/>
        <v>38.222246673559788</v>
      </c>
      <c r="U55" s="69">
        <f t="shared" si="28"/>
        <v>38.557411726070939</v>
      </c>
      <c r="W55" t="str">
        <f t="shared" si="29"/>
        <v>35 Business and public service associate professionals</v>
      </c>
      <c r="X55" s="173">
        <f t="shared" ref="X55:AB55" si="54">X18/X$35*100</f>
        <v>5.3104484985597944</v>
      </c>
      <c r="Y55" s="173">
        <f t="shared" si="54"/>
        <v>5.4312141869171899</v>
      </c>
      <c r="Z55" s="173">
        <f t="shared" si="54"/>
        <v>5.6332401263571219</v>
      </c>
      <c r="AA55" s="173">
        <f t="shared" si="54"/>
        <v>5.533821958531485</v>
      </c>
      <c r="AB55" s="173">
        <f t="shared" si="54"/>
        <v>5.8666639611528284</v>
      </c>
      <c r="AD55" s="68">
        <f t="shared" si="31"/>
        <v>11.987289859576974</v>
      </c>
      <c r="AE55" s="69">
        <f t="shared" si="32"/>
        <v>56.568792007617063</v>
      </c>
      <c r="AF55" s="69">
        <f t="shared" si="33"/>
        <v>68.556081867194024</v>
      </c>
    </row>
    <row r="56" spans="1:32" x14ac:dyDescent="0.25">
      <c r="A56" t="str">
        <f t="shared" si="19"/>
        <v>41 Administrative occupations</v>
      </c>
      <c r="B56" s="173">
        <f t="shared" si="52"/>
        <v>9.7195595113275992</v>
      </c>
      <c r="C56" s="173">
        <f t="shared" si="52"/>
        <v>8.8571104416570883</v>
      </c>
      <c r="D56" s="173">
        <f t="shared" si="52"/>
        <v>9.5120188897385738</v>
      </c>
      <c r="E56" s="173">
        <f t="shared" si="52"/>
        <v>9.6303186195559434</v>
      </c>
      <c r="F56" s="173">
        <f t="shared" si="52"/>
        <v>9.2193428109587501</v>
      </c>
      <c r="H56" s="68">
        <f t="shared" si="21"/>
        <v>1.9529181805067009</v>
      </c>
      <c r="I56" s="69">
        <f t="shared" si="22"/>
        <v>51.352580102855072</v>
      </c>
      <c r="J56" s="69">
        <f t="shared" si="23"/>
        <v>53.305498283361771</v>
      </c>
      <c r="L56" t="str">
        <f t="shared" si="24"/>
        <v>41 Administrative occupations</v>
      </c>
      <c r="M56" s="173">
        <f t="shared" ref="M56:Q56" si="55">M19/M$35*100</f>
        <v>5.6070154753216253</v>
      </c>
      <c r="N56" s="173">
        <f t="shared" si="55"/>
        <v>4.9302560287983184</v>
      </c>
      <c r="O56" s="173">
        <f t="shared" si="55"/>
        <v>6.1222735824864971</v>
      </c>
      <c r="P56" s="173">
        <f t="shared" si="55"/>
        <v>6.5052151855667466</v>
      </c>
      <c r="Q56" s="173">
        <f t="shared" si="55"/>
        <v>7.1867297261397063</v>
      </c>
      <c r="S56" s="68">
        <f t="shared" si="26"/>
        <v>21.081828121904131</v>
      </c>
      <c r="T56" s="69">
        <f t="shared" si="27"/>
        <v>42.520771269829929</v>
      </c>
      <c r="U56" s="69">
        <f t="shared" si="28"/>
        <v>63.60259939173406</v>
      </c>
      <c r="W56" t="str">
        <f t="shared" si="29"/>
        <v>41 Administrative occupations</v>
      </c>
      <c r="X56" s="173">
        <f t="shared" ref="X56:AB56" si="56">X19/X$35*100</f>
        <v>14.762659344435015</v>
      </c>
      <c r="Y56" s="173">
        <f t="shared" si="56"/>
        <v>13.486556777437475</v>
      </c>
      <c r="Z56" s="173">
        <f t="shared" si="56"/>
        <v>13.400554057414112</v>
      </c>
      <c r="AA56" s="173">
        <f t="shared" si="56"/>
        <v>13.170198771178701</v>
      </c>
      <c r="AB56" s="173">
        <f t="shared" si="56"/>
        <v>11.455994120444384</v>
      </c>
      <c r="AD56" s="68">
        <f t="shared" si="31"/>
        <v>-8.0724230406423949</v>
      </c>
      <c r="AE56" s="69">
        <f t="shared" si="32"/>
        <v>55.981275487081852</v>
      </c>
      <c r="AF56" s="69">
        <f t="shared" si="33"/>
        <v>47.908852446439454</v>
      </c>
    </row>
    <row r="57" spans="1:32" x14ac:dyDescent="0.25">
      <c r="A57" t="str">
        <f t="shared" si="19"/>
        <v>42 Secretarial and related occupations</v>
      </c>
      <c r="B57" s="173">
        <f t="shared" si="52"/>
        <v>2.1757080791684795</v>
      </c>
      <c r="C57" s="173">
        <f t="shared" si="52"/>
        <v>1.8619897729300874</v>
      </c>
      <c r="D57" s="173">
        <f t="shared" si="52"/>
        <v>1.8703034042058586</v>
      </c>
      <c r="E57" s="173">
        <f t="shared" si="52"/>
        <v>1.6862580955091164</v>
      </c>
      <c r="F57" s="173">
        <f t="shared" si="52"/>
        <v>1.036023836807539</v>
      </c>
      <c r="H57" s="68">
        <f t="shared" si="21"/>
        <v>-41.73200363129169</v>
      </c>
      <c r="I57" s="69">
        <f t="shared" si="22"/>
        <v>43.056639153148438</v>
      </c>
      <c r="J57" s="69">
        <f t="shared" si="23"/>
        <v>1.3246355218567505</v>
      </c>
      <c r="L57" t="str">
        <f t="shared" si="24"/>
        <v>42 Secretarial and related occupations</v>
      </c>
      <c r="M57" s="173">
        <f t="shared" ref="M57:Q57" si="57">M20/M$35*100</f>
        <v>0.35332839377072089</v>
      </c>
      <c r="N57" s="173">
        <f t="shared" si="57"/>
        <v>0.25314886257071834</v>
      </c>
      <c r="O57" s="173">
        <f t="shared" si="57"/>
        <v>0.2703632479027786</v>
      </c>
      <c r="P57" s="173">
        <f t="shared" si="57"/>
        <v>0.23270122486532077</v>
      </c>
      <c r="Q57" s="173">
        <f t="shared" si="57"/>
        <v>0.26389121458647824</v>
      </c>
      <c r="S57" s="68">
        <f t="shared" si="26"/>
        <v>0.67871565205659978</v>
      </c>
      <c r="T57" s="69">
        <f t="shared" si="27"/>
        <v>30.670222079902242</v>
      </c>
      <c r="U57" s="69">
        <f t="shared" si="28"/>
        <v>31.348937731958841</v>
      </c>
      <c r="W57" t="str">
        <f t="shared" si="29"/>
        <v>42 Secretarial and related occupations</v>
      </c>
      <c r="X57" s="173">
        <f t="shared" ref="X57:AB57" si="58">X20/X$35*100</f>
        <v>4.4104422502372662</v>
      </c>
      <c r="Y57" s="173">
        <f t="shared" si="58"/>
        <v>3.7586841430925331</v>
      </c>
      <c r="Z57" s="173">
        <f t="shared" si="58"/>
        <v>3.7056694863273183</v>
      </c>
      <c r="AA57" s="173">
        <f t="shared" si="58"/>
        <v>3.3327370759115946</v>
      </c>
      <c r="AB57" s="173">
        <f t="shared" si="58"/>
        <v>1.8856648498885218</v>
      </c>
      <c r="AD57" s="68">
        <f t="shared" si="31"/>
        <v>-45.281572237343575</v>
      </c>
      <c r="AE57" s="69">
        <f t="shared" si="32"/>
        <v>44.093321339341003</v>
      </c>
      <c r="AF57" s="69">
        <f t="shared" si="33"/>
        <v>-1.1882508980025732</v>
      </c>
    </row>
    <row r="58" spans="1:32" x14ac:dyDescent="0.25">
      <c r="A58" t="str">
        <f t="shared" si="19"/>
        <v>51 Skilled agricultural and related trades</v>
      </c>
      <c r="B58" s="173">
        <f t="shared" si="52"/>
        <v>0.85673288157009675</v>
      </c>
      <c r="C58" s="173">
        <f t="shared" si="52"/>
        <v>0.74649144217236851</v>
      </c>
      <c r="D58" s="173">
        <f t="shared" si="52"/>
        <v>0.6435275486736789</v>
      </c>
      <c r="E58" s="173">
        <f t="shared" si="52"/>
        <v>0.62549796118944345</v>
      </c>
      <c r="F58" s="173">
        <f t="shared" si="52"/>
        <v>0.6772790089103351</v>
      </c>
      <c r="H58" s="68">
        <f t="shared" si="21"/>
        <v>10.706436955258068</v>
      </c>
      <c r="I58" s="69">
        <f t="shared" si="22"/>
        <v>56.216017894975366</v>
      </c>
      <c r="J58" s="69">
        <f t="shared" si="23"/>
        <v>66.922454850233436</v>
      </c>
      <c r="L58" t="str">
        <f t="shared" si="24"/>
        <v>51 Skilled agricultural and related trades</v>
      </c>
      <c r="M58" s="173">
        <f t="shared" ref="M58:Q58" si="59">M21/M$35*100</f>
        <v>1.3360610048582688</v>
      </c>
      <c r="N58" s="173">
        <f t="shared" si="59"/>
        <v>1.172491237924759</v>
      </c>
      <c r="O58" s="173">
        <f t="shared" si="59"/>
        <v>0.98829116228499481</v>
      </c>
      <c r="P58" s="173">
        <f t="shared" si="59"/>
        <v>0.94636002135907293</v>
      </c>
      <c r="Q58" s="173">
        <f t="shared" si="59"/>
        <v>1.0218373915325825</v>
      </c>
      <c r="S58" s="68">
        <f t="shared" si="26"/>
        <v>6.6491180824300482</v>
      </c>
      <c r="T58" s="69">
        <f t="shared" si="27"/>
        <v>51.358110963136284</v>
      </c>
      <c r="U58" s="69">
        <f t="shared" si="28"/>
        <v>58.007229045566334</v>
      </c>
      <c r="W58" t="str">
        <f t="shared" si="29"/>
        <v>51 Skilled agricultural and related trades</v>
      </c>
      <c r="X58" s="173">
        <f t="shared" ref="X58:AB58" si="60">X21/X$35*100</f>
        <v>0.26894596490867945</v>
      </c>
      <c r="Y58" s="173">
        <f t="shared" si="60"/>
        <v>0.24427185719585828</v>
      </c>
      <c r="Z58" s="173">
        <f t="shared" si="60"/>
        <v>0.24803310453524741</v>
      </c>
      <c r="AA58" s="173">
        <f t="shared" si="60"/>
        <v>0.26204975469171904</v>
      </c>
      <c r="AB58" s="173">
        <f t="shared" si="60"/>
        <v>0.29813308908815972</v>
      </c>
      <c r="AD58" s="68">
        <f t="shared" si="31"/>
        <v>29.25171574916267</v>
      </c>
      <c r="AE58" s="69">
        <f t="shared" si="32"/>
        <v>78.420641497311081</v>
      </c>
      <c r="AF58" s="69">
        <f t="shared" si="33"/>
        <v>107.67235724647375</v>
      </c>
    </row>
    <row r="59" spans="1:32" x14ac:dyDescent="0.25">
      <c r="A59" t="str">
        <f t="shared" si="19"/>
        <v>52 Skilled metal, electrical and electronic trades</v>
      </c>
      <c r="B59" s="173">
        <f t="shared" si="52"/>
        <v>5.6615564138363759</v>
      </c>
      <c r="C59" s="173">
        <f t="shared" si="52"/>
        <v>5.5583279280649833</v>
      </c>
      <c r="D59" s="173">
        <f t="shared" si="52"/>
        <v>4.6830123464305675</v>
      </c>
      <c r="E59" s="173">
        <f t="shared" si="52"/>
        <v>4.4524112628022383</v>
      </c>
      <c r="F59" s="173">
        <f t="shared" si="52"/>
        <v>3.9929828376659935</v>
      </c>
      <c r="H59" s="68">
        <f t="shared" si="21"/>
        <v>-10.309893059064343</v>
      </c>
      <c r="I59" s="69">
        <f t="shared" si="22"/>
        <v>35.671787205888364</v>
      </c>
      <c r="J59" s="69">
        <f t="shared" si="23"/>
        <v>25.361894146824021</v>
      </c>
      <c r="L59" t="str">
        <f t="shared" si="24"/>
        <v>52 Skilled metal, electrical and electronic trades</v>
      </c>
      <c r="M59" s="173">
        <f t="shared" ref="M59:Q59" si="61">M22/M$35*100</f>
        <v>10.147420847399466</v>
      </c>
      <c r="N59" s="173">
        <f t="shared" si="61"/>
        <v>10.060348561081717</v>
      </c>
      <c r="O59" s="173">
        <f t="shared" si="61"/>
        <v>8.5950774999393413</v>
      </c>
      <c r="P59" s="173">
        <f t="shared" si="61"/>
        <v>8.1096646390155112</v>
      </c>
      <c r="Q59" s="173">
        <f t="shared" si="61"/>
        <v>7.3030336282312831</v>
      </c>
      <c r="S59" s="68">
        <f t="shared" si="26"/>
        <v>-12.357674392851493</v>
      </c>
      <c r="T59" s="69">
        <f t="shared" si="27"/>
        <v>34.522806598043765</v>
      </c>
      <c r="U59" s="69">
        <f t="shared" si="28"/>
        <v>22.165132205192275</v>
      </c>
      <c r="W59" t="str">
        <f t="shared" si="29"/>
        <v>52 Skilled metal, electrical and electronic trades</v>
      </c>
      <c r="X59" s="173">
        <f t="shared" ref="X59:AB59" si="62">X22/X$35*100</f>
        <v>0.16066402747423775</v>
      </c>
      <c r="Y59" s="173">
        <f t="shared" si="62"/>
        <v>0.25080675924374285</v>
      </c>
      <c r="Z59" s="173">
        <f t="shared" si="62"/>
        <v>0.19529968698334305</v>
      </c>
      <c r="AA59" s="173">
        <f t="shared" si="62"/>
        <v>0.30975201667715452</v>
      </c>
      <c r="AB59" s="173">
        <f t="shared" si="62"/>
        <v>0.35066178282494576</v>
      </c>
      <c r="AD59" s="68">
        <f t="shared" si="31"/>
        <v>93.073502592446118</v>
      </c>
      <c r="AE59" s="69">
        <f t="shared" si="32"/>
        <v>93.678721255349117</v>
      </c>
      <c r="AF59" s="69">
        <f t="shared" si="33"/>
        <v>186.75222384779525</v>
      </c>
    </row>
    <row r="60" spans="1:32" x14ac:dyDescent="0.25">
      <c r="A60" t="str">
        <f t="shared" si="19"/>
        <v>53 Skilled construction and building trades</v>
      </c>
      <c r="B60" s="173">
        <f t="shared" si="52"/>
        <v>3.6940336830815816</v>
      </c>
      <c r="C60" s="173">
        <f t="shared" si="52"/>
        <v>4.1847930323972165</v>
      </c>
      <c r="D60" s="173">
        <f t="shared" si="52"/>
        <v>3.5215003411202326</v>
      </c>
      <c r="E60" s="173">
        <f t="shared" si="52"/>
        <v>3.30884551025121</v>
      </c>
      <c r="F60" s="173">
        <f t="shared" si="52"/>
        <v>2.7592196150446848</v>
      </c>
      <c r="H60" s="68">
        <f t="shared" si="21"/>
        <v>-17.580317915549731</v>
      </c>
      <c r="I60" s="69">
        <f t="shared" si="22"/>
        <v>38.777119328497903</v>
      </c>
      <c r="J60" s="69">
        <f t="shared" si="23"/>
        <v>21.196801412948169</v>
      </c>
      <c r="L60" t="str">
        <f t="shared" si="24"/>
        <v>53 Skilled construction and building trades</v>
      </c>
      <c r="M60" s="173">
        <f t="shared" ref="M60:Q60" si="63">M23/M$35*100</f>
        <v>6.6187799752490966</v>
      </c>
      <c r="N60" s="173">
        <f t="shared" si="63"/>
        <v>7.6505010736356711</v>
      </c>
      <c r="O60" s="173">
        <f t="shared" si="63"/>
        <v>6.4836083140088654</v>
      </c>
      <c r="P60" s="173">
        <f t="shared" si="63"/>
        <v>6.1685516153826985</v>
      </c>
      <c r="Q60" s="173">
        <f t="shared" si="63"/>
        <v>5.2023813806072488</v>
      </c>
      <c r="S60" s="68">
        <f t="shared" si="26"/>
        <v>-17.235174097201007</v>
      </c>
      <c r="T60" s="69">
        <f t="shared" si="27"/>
        <v>38.887058768912986</v>
      </c>
      <c r="U60" s="69">
        <f t="shared" si="28"/>
        <v>21.651884671711979</v>
      </c>
      <c r="W60" t="str">
        <f t="shared" si="29"/>
        <v>53 Skilled construction and building trades</v>
      </c>
      <c r="X60" s="173">
        <f t="shared" ref="X60:AB60" si="64">X23/X$35*100</f>
        <v>0.10749760984451492</v>
      </c>
      <c r="Y60" s="173">
        <f t="shared" si="64"/>
        <v>9.9001275041062722E-2</v>
      </c>
      <c r="Z60" s="173">
        <f t="shared" si="64"/>
        <v>0.12352793346256269</v>
      </c>
      <c r="AA60" s="173">
        <f t="shared" si="64"/>
        <v>6.9587324128631473E-2</v>
      </c>
      <c r="AB60" s="173">
        <f t="shared" si="64"/>
        <v>7.0807834640725417E-2</v>
      </c>
      <c r="AD60" s="68">
        <f t="shared" si="31"/>
        <v>-38.36151957530555</v>
      </c>
      <c r="AE60" s="69">
        <f t="shared" si="32"/>
        <v>32.157636202427128</v>
      </c>
      <c r="AF60" s="69">
        <f t="shared" si="33"/>
        <v>-6.2038833728784253</v>
      </c>
    </row>
    <row r="61" spans="1:32" x14ac:dyDescent="0.25">
      <c r="A61" t="str">
        <f t="shared" si="19"/>
        <v>54 Textiles, printing and other skilled trades</v>
      </c>
      <c r="B61" s="173">
        <f t="shared" si="52"/>
        <v>1.9125455430642653</v>
      </c>
      <c r="C61" s="173">
        <f t="shared" si="52"/>
        <v>1.6563231646615328</v>
      </c>
      <c r="D61" s="173">
        <f t="shared" si="52"/>
        <v>1.678658413709418</v>
      </c>
      <c r="E61" s="173">
        <f t="shared" si="52"/>
        <v>1.6567933081965154</v>
      </c>
      <c r="F61" s="173">
        <f t="shared" si="52"/>
        <v>1.5298942046867838</v>
      </c>
      <c r="H61" s="68">
        <f t="shared" si="21"/>
        <v>-4.1324852372567147</v>
      </c>
      <c r="I61" s="69">
        <f t="shared" si="22"/>
        <v>42.042231842441112</v>
      </c>
      <c r="J61" s="69">
        <f t="shared" si="23"/>
        <v>37.909746605184395</v>
      </c>
      <c r="L61" t="str">
        <f t="shared" si="24"/>
        <v>54 Textiles, printing and other skilled trades</v>
      </c>
      <c r="M61" s="173">
        <f t="shared" ref="M61:Q61" si="65">M24/M$35*100</f>
        <v>2.2783527095403477</v>
      </c>
      <c r="N61" s="173">
        <f t="shared" si="65"/>
        <v>1.9964391414541156</v>
      </c>
      <c r="O61" s="173">
        <f t="shared" si="65"/>
        <v>1.8687488609861465</v>
      </c>
      <c r="P61" s="173">
        <f t="shared" si="65"/>
        <v>1.8768722470358965</v>
      </c>
      <c r="Q61" s="173">
        <f t="shared" si="65"/>
        <v>1.7151866803806606</v>
      </c>
      <c r="S61" s="68">
        <f t="shared" si="26"/>
        <v>-5.3281542922170066</v>
      </c>
      <c r="T61" s="69">
        <f t="shared" si="27"/>
        <v>31.788797594707578</v>
      </c>
      <c r="U61" s="69">
        <f t="shared" si="28"/>
        <v>26.460643302490571</v>
      </c>
      <c r="W61" t="str">
        <f t="shared" si="29"/>
        <v>54 Textiles, printing and other skilled trades</v>
      </c>
      <c r="X61" s="173">
        <f t="shared" ref="X61:AB61" si="66">X24/X$35*100</f>
        <v>1.4639662587931483</v>
      </c>
      <c r="Y61" s="173">
        <f t="shared" si="66"/>
        <v>1.255353712535465</v>
      </c>
      <c r="Z61" s="173">
        <f t="shared" si="66"/>
        <v>1.4605967830336983</v>
      </c>
      <c r="AA61" s="173">
        <f t="shared" si="66"/>
        <v>1.4075045778093613</v>
      </c>
      <c r="AB61" s="173">
        <f t="shared" si="66"/>
        <v>1.326001657947893</v>
      </c>
      <c r="AD61" s="68">
        <f t="shared" si="31"/>
        <v>-2.3775925934075062</v>
      </c>
      <c r="AE61" s="69">
        <f t="shared" si="32"/>
        <v>57.091275941132722</v>
      </c>
      <c r="AF61" s="69">
        <f t="shared" si="33"/>
        <v>54.713683347725215</v>
      </c>
    </row>
    <row r="62" spans="1:32" x14ac:dyDescent="0.25">
      <c r="A62" t="str">
        <f t="shared" si="19"/>
        <v>61 Caring personal service occupations</v>
      </c>
      <c r="B62" s="173">
        <f t="shared" si="52"/>
        <v>7.6250244918932619</v>
      </c>
      <c r="C62" s="173">
        <f t="shared" si="52"/>
        <v>8.0524363833958024</v>
      </c>
      <c r="D62" s="173">
        <f t="shared" si="52"/>
        <v>8.0027194968238895</v>
      </c>
      <c r="E62" s="173">
        <f t="shared" si="52"/>
        <v>8.1623589419664704</v>
      </c>
      <c r="F62" s="173">
        <f t="shared" si="52"/>
        <v>8.646796377509105</v>
      </c>
      <c r="H62" s="68">
        <f t="shared" si="21"/>
        <v>13.655390454362021</v>
      </c>
      <c r="I62" s="69">
        <f t="shared" si="22"/>
        <v>60.737882933645494</v>
      </c>
      <c r="J62" s="69">
        <f t="shared" si="23"/>
        <v>74.393273388007515</v>
      </c>
      <c r="L62" t="str">
        <f t="shared" si="24"/>
        <v>61 Caring personal service occupations</v>
      </c>
      <c r="M62" s="173">
        <f t="shared" ref="M62:Q62" si="67">M25/M$35*100</f>
        <v>1.5236836543171939</v>
      </c>
      <c r="N62" s="173">
        <f t="shared" si="67"/>
        <v>1.6092590767983812</v>
      </c>
      <c r="O62" s="173">
        <f t="shared" si="67"/>
        <v>1.6014732303665478</v>
      </c>
      <c r="P62" s="173">
        <f t="shared" si="67"/>
        <v>1.8661106157001197</v>
      </c>
      <c r="Q62" s="173">
        <f t="shared" si="67"/>
        <v>2.0933342103423498</v>
      </c>
      <c r="S62" s="68">
        <f t="shared" si="26"/>
        <v>34.827746893929486</v>
      </c>
      <c r="T62" s="69">
        <f t="shared" si="27"/>
        <v>53.499050787143119</v>
      </c>
      <c r="U62" s="69">
        <f t="shared" si="28"/>
        <v>88.326797681072605</v>
      </c>
      <c r="W62" t="str">
        <f t="shared" si="29"/>
        <v>61 Caring personal service occupations</v>
      </c>
      <c r="X62" s="173">
        <f t="shared" ref="X62:AB62" si="68">X25/X$35*100</f>
        <v>15.106931236311722</v>
      </c>
      <c r="Y62" s="173">
        <f t="shared" si="68"/>
        <v>15.648425548447541</v>
      </c>
      <c r="Z62" s="173">
        <f t="shared" si="68"/>
        <v>15.345888073772135</v>
      </c>
      <c r="AA62" s="173">
        <f t="shared" si="68"/>
        <v>15.294271517220828</v>
      </c>
      <c r="AB62" s="173">
        <f t="shared" si="68"/>
        <v>15.858109660559757</v>
      </c>
      <c r="AD62" s="68">
        <f t="shared" si="31"/>
        <v>11.120753182446009</v>
      </c>
      <c r="AE62" s="69">
        <f t="shared" si="32"/>
        <v>61.604475833497688</v>
      </c>
      <c r="AF62" s="69">
        <f t="shared" si="33"/>
        <v>72.725229015943697</v>
      </c>
    </row>
    <row r="63" spans="1:32" x14ac:dyDescent="0.25">
      <c r="A63" t="str">
        <f t="shared" si="19"/>
        <v>62 Leisure, travel and related personal service occupations</v>
      </c>
      <c r="B63" s="173">
        <f t="shared" si="52"/>
        <v>2.2711943313888474</v>
      </c>
      <c r="C63" s="173">
        <f t="shared" si="52"/>
        <v>1.9666146777892504</v>
      </c>
      <c r="D63" s="173">
        <f t="shared" si="52"/>
        <v>1.8504874887308156</v>
      </c>
      <c r="E63" s="173">
        <f t="shared" si="52"/>
        <v>1.6691503810020598</v>
      </c>
      <c r="F63" s="173">
        <f t="shared" si="52"/>
        <v>1.6118991095586381</v>
      </c>
      <c r="H63" s="68">
        <f t="shared" si="21"/>
        <v>-8.3728658335124351</v>
      </c>
      <c r="I63" s="69">
        <f t="shared" si="22"/>
        <v>47.451666391785444</v>
      </c>
      <c r="J63" s="69">
        <f t="shared" si="23"/>
        <v>39.078800558273016</v>
      </c>
      <c r="L63" t="str">
        <f t="shared" si="24"/>
        <v>62 Leisure, travel and related personal service occupations</v>
      </c>
      <c r="M63" s="173">
        <f t="shared" ref="M63:Q63" si="69">M26/M$35*100</f>
        <v>1.0983081236987779</v>
      </c>
      <c r="N63" s="173">
        <f t="shared" si="69"/>
        <v>1.0389726814746507</v>
      </c>
      <c r="O63" s="173">
        <f t="shared" si="69"/>
        <v>1.0406223026911774</v>
      </c>
      <c r="P63" s="173">
        <f t="shared" si="69"/>
        <v>0.97862595131061603</v>
      </c>
      <c r="Q63" s="173">
        <f t="shared" si="69"/>
        <v>0.99096464848494692</v>
      </c>
      <c r="S63" s="68">
        <f t="shared" si="26"/>
        <v>-1.7742345173607694</v>
      </c>
      <c r="T63" s="69">
        <f t="shared" si="27"/>
        <v>42.04681283264307</v>
      </c>
      <c r="U63" s="69">
        <f t="shared" si="28"/>
        <v>40.272578315282303</v>
      </c>
      <c r="W63" t="str">
        <f t="shared" si="29"/>
        <v>62 Leisure, travel and related personal service occupations</v>
      </c>
      <c r="X63" s="173">
        <f t="shared" ref="X63:AB63" si="70">X26/X$35*100</f>
        <v>3.7094724839068798</v>
      </c>
      <c r="Y63" s="173">
        <f t="shared" si="70"/>
        <v>3.0602301748884289</v>
      </c>
      <c r="Z63" s="173">
        <f t="shared" si="70"/>
        <v>2.7795216702233922</v>
      </c>
      <c r="AA63" s="173">
        <f t="shared" si="70"/>
        <v>2.4513240832513699</v>
      </c>
      <c r="AB63" s="173">
        <f t="shared" si="70"/>
        <v>2.2951643536121438</v>
      </c>
      <c r="AD63" s="68">
        <f t="shared" si="31"/>
        <v>-11.206840031284575</v>
      </c>
      <c r="AE63" s="69">
        <f t="shared" si="32"/>
        <v>49.772938000316458</v>
      </c>
      <c r="AF63" s="69">
        <f t="shared" si="33"/>
        <v>38.566097969031887</v>
      </c>
    </row>
    <row r="64" spans="1:32" x14ac:dyDescent="0.25">
      <c r="A64" t="str">
        <f t="shared" si="19"/>
        <v>63 Community and civil enforcement occupations</v>
      </c>
      <c r="B64" s="173">
        <f t="shared" si="52"/>
        <v>8.8351343915292396E-2</v>
      </c>
      <c r="C64" s="173">
        <f t="shared" si="52"/>
        <v>7.2061366072347144E-2</v>
      </c>
      <c r="D64" s="173">
        <f t="shared" si="52"/>
        <v>9.0072543446933023E-2</v>
      </c>
      <c r="E64" s="173">
        <f t="shared" si="52"/>
        <v>6.708573524998529E-2</v>
      </c>
      <c r="F64" s="173">
        <f t="shared" si="52"/>
        <v>7.1855554949622202E-2</v>
      </c>
      <c r="H64" s="68">
        <f t="shared" si="21"/>
        <v>-16.084860188714195</v>
      </c>
      <c r="I64" s="69">
        <f t="shared" si="22"/>
        <v>40.218969821913497</v>
      </c>
      <c r="J64" s="69">
        <f t="shared" si="23"/>
        <v>24.134109633199301</v>
      </c>
      <c r="L64" t="str">
        <f t="shared" si="24"/>
        <v>63 Community and civil enforcement occupations</v>
      </c>
      <c r="M64" s="173">
        <f t="shared" ref="M64:Q64" si="71">M27/M$35*100</f>
        <v>0.12477103189498089</v>
      </c>
      <c r="N64" s="173">
        <f t="shared" si="71"/>
        <v>8.8847305903687765E-2</v>
      </c>
      <c r="O64" s="173">
        <f t="shared" si="71"/>
        <v>0.13018600402912223</v>
      </c>
      <c r="P64" s="173">
        <f t="shared" si="71"/>
        <v>7.5398293952907577E-2</v>
      </c>
      <c r="Q64" s="173">
        <f t="shared" si="71"/>
        <v>8.6293674182761751E-2</v>
      </c>
      <c r="S64" s="68">
        <f t="shared" si="26"/>
        <v>-31.628508580951447</v>
      </c>
      <c r="T64" s="69">
        <f t="shared" si="27"/>
        <v>26.573436591525141</v>
      </c>
      <c r="U64" s="69">
        <f t="shared" si="28"/>
        <v>-5.0550719894263079</v>
      </c>
      <c r="W64" t="str">
        <f t="shared" si="29"/>
        <v>63 Community and civil enforcement occupations</v>
      </c>
      <c r="X64" s="173">
        <f t="shared" ref="X64:AB64" si="72">X27/X$35*100</f>
        <v>4.3690880522281678E-2</v>
      </c>
      <c r="Y64" s="173">
        <f t="shared" si="72"/>
        <v>5.227208959946212E-2</v>
      </c>
      <c r="Z64" s="173">
        <f t="shared" si="72"/>
        <v>4.4056519223137039E-2</v>
      </c>
      <c r="AA64" s="173">
        <f t="shared" si="72"/>
        <v>5.7669899203844827E-2</v>
      </c>
      <c r="AB64" s="173">
        <f t="shared" si="72"/>
        <v>5.5968105178439656E-2</v>
      </c>
      <c r="AD64" s="68">
        <f t="shared" si="31"/>
        <v>36.604878113825045</v>
      </c>
      <c r="AE64" s="69">
        <f t="shared" si="32"/>
        <v>86.474492126884726</v>
      </c>
      <c r="AF64" s="69">
        <f t="shared" si="33"/>
        <v>123.07937024070976</v>
      </c>
    </row>
    <row r="65" spans="1:32" x14ac:dyDescent="0.25">
      <c r="A65" t="str">
        <f t="shared" si="19"/>
        <v>71 Sales occupations</v>
      </c>
      <c r="B65" s="173">
        <f t="shared" ref="B65:F70" si="73">B28/B$35*100</f>
        <v>6.769456604403115</v>
      </c>
      <c r="C65" s="173">
        <f t="shared" si="73"/>
        <v>6.0275322571167145</v>
      </c>
      <c r="D65" s="173">
        <f t="shared" si="73"/>
        <v>6.096595108922398</v>
      </c>
      <c r="E65" s="173">
        <f t="shared" si="73"/>
        <v>5.7493059035743839</v>
      </c>
      <c r="F65" s="173">
        <f t="shared" si="73"/>
        <v>5.328799440607467</v>
      </c>
      <c r="H65" s="68">
        <f t="shared" si="21"/>
        <v>-8.0578991998324909</v>
      </c>
      <c r="I65" s="69">
        <f t="shared" si="22"/>
        <v>43.351025064280826</v>
      </c>
      <c r="J65" s="69">
        <f t="shared" si="23"/>
        <v>35.293125864448335</v>
      </c>
      <c r="L65" t="str">
        <f t="shared" si="24"/>
        <v>71 Sales occupations</v>
      </c>
      <c r="M65" s="173">
        <f t="shared" ref="M65:Q65" si="74">M28/M$35*100</f>
        <v>4.9484940425874386</v>
      </c>
      <c r="N65" s="173">
        <f t="shared" si="74"/>
        <v>4.7323425887355492</v>
      </c>
      <c r="O65" s="173">
        <f t="shared" si="74"/>
        <v>4.9045381111561817</v>
      </c>
      <c r="P65" s="173">
        <f t="shared" si="74"/>
        <v>4.7273546284730452</v>
      </c>
      <c r="Q65" s="173">
        <f t="shared" si="74"/>
        <v>4.5454058830235029</v>
      </c>
      <c r="S65" s="68">
        <f t="shared" si="26"/>
        <v>-4.4050510132022058</v>
      </c>
      <c r="T65" s="69">
        <f t="shared" si="27"/>
        <v>31.791795415705987</v>
      </c>
      <c r="U65" s="69">
        <f t="shared" si="28"/>
        <v>27.386744402503783</v>
      </c>
      <c r="W65" t="str">
        <f t="shared" si="29"/>
        <v>71 Sales occupations</v>
      </c>
      <c r="X65" s="173">
        <f t="shared" ref="X65:AB65" si="75">X28/X$35*100</f>
        <v>9.0024529957332184</v>
      </c>
      <c r="Y65" s="173">
        <f t="shared" si="75"/>
        <v>7.5544569744664063</v>
      </c>
      <c r="Z65" s="173">
        <f t="shared" si="75"/>
        <v>7.4640593687801156</v>
      </c>
      <c r="AA65" s="173">
        <f t="shared" si="75"/>
        <v>6.9068947997725711</v>
      </c>
      <c r="AB65" s="173">
        <f t="shared" si="75"/>
        <v>6.1908317868022626</v>
      </c>
      <c r="AD65" s="68">
        <f t="shared" si="31"/>
        <v>-10.811326502782174</v>
      </c>
      <c r="AE65" s="69">
        <f t="shared" si="32"/>
        <v>52.064088649004759</v>
      </c>
      <c r="AF65" s="69">
        <f t="shared" si="33"/>
        <v>41.252762146222587</v>
      </c>
    </row>
    <row r="66" spans="1:32" x14ac:dyDescent="0.25">
      <c r="A66" t="str">
        <f t="shared" si="19"/>
        <v>72 Customer service occupations</v>
      </c>
      <c r="B66" s="173">
        <f t="shared" si="73"/>
        <v>1.7977400682285729</v>
      </c>
      <c r="C66" s="173">
        <f t="shared" si="73"/>
        <v>1.7351370514538562</v>
      </c>
      <c r="D66" s="173">
        <f t="shared" si="73"/>
        <v>1.8317123556566086</v>
      </c>
      <c r="E66" s="173">
        <f t="shared" si="73"/>
        <v>1.9992275462373847</v>
      </c>
      <c r="F66" s="173">
        <f t="shared" si="73"/>
        <v>2.158801298944975</v>
      </c>
      <c r="H66" s="68">
        <f t="shared" si="21"/>
        <v>23.973195854657881</v>
      </c>
      <c r="I66" s="69">
        <f t="shared" si="22"/>
        <v>51.676551174662457</v>
      </c>
      <c r="J66" s="69">
        <f t="shared" si="23"/>
        <v>75.649747029320338</v>
      </c>
      <c r="L66" t="str">
        <f t="shared" si="24"/>
        <v>72 Customer service occupations</v>
      </c>
      <c r="M66" s="173">
        <f t="shared" ref="M66:Q66" si="76">M29/M$35*100</f>
        <v>1.4072869185912196</v>
      </c>
      <c r="N66" s="173">
        <f t="shared" si="76"/>
        <v>1.1637741670348938</v>
      </c>
      <c r="O66" s="173">
        <f t="shared" si="76"/>
        <v>1.4030507746123717</v>
      </c>
      <c r="P66" s="173">
        <f t="shared" si="76"/>
        <v>1.7369786166376546</v>
      </c>
      <c r="Q66" s="173">
        <f t="shared" si="76"/>
        <v>1.9562597350536959</v>
      </c>
      <c r="S66" s="68">
        <f t="shared" si="26"/>
        <v>43.818090386490617</v>
      </c>
      <c r="T66" s="69">
        <f t="shared" si="27"/>
        <v>44.409748028060712</v>
      </c>
      <c r="U66" s="69">
        <f t="shared" si="28"/>
        <v>88.227838414551329</v>
      </c>
      <c r="W66" t="str">
        <f t="shared" si="29"/>
        <v>72 Customer service occupations</v>
      </c>
      <c r="X66" s="173">
        <f t="shared" ref="X66:AB66" si="77">X29/X$35*100</f>
        <v>2.2765420449448412</v>
      </c>
      <c r="Y66" s="173">
        <f t="shared" si="77"/>
        <v>2.4087280567665887</v>
      </c>
      <c r="Z66" s="173">
        <f t="shared" si="77"/>
        <v>2.3234500768817967</v>
      </c>
      <c r="AA66" s="173">
        <f t="shared" si="77"/>
        <v>2.2962832438433205</v>
      </c>
      <c r="AB66" s="173">
        <f t="shared" si="77"/>
        <v>2.381674435739245</v>
      </c>
      <c r="AD66" s="68">
        <f t="shared" si="31"/>
        <v>10.226200038462673</v>
      </c>
      <c r="AE66" s="69">
        <f t="shared" si="32"/>
        <v>56.71042587191554</v>
      </c>
      <c r="AF66" s="69">
        <f t="shared" si="33"/>
        <v>66.936625910378211</v>
      </c>
    </row>
    <row r="67" spans="1:32" x14ac:dyDescent="0.25">
      <c r="A67" t="str">
        <f t="shared" si="19"/>
        <v>81 Process, plant and machine operatives</v>
      </c>
      <c r="B67" s="173">
        <f t="shared" si="73"/>
        <v>4.5528890515295011</v>
      </c>
      <c r="C67" s="173">
        <f t="shared" si="73"/>
        <v>4.2627442032741962</v>
      </c>
      <c r="D67" s="173">
        <f t="shared" si="73"/>
        <v>3.7047844174783462</v>
      </c>
      <c r="E67" s="173">
        <f t="shared" si="73"/>
        <v>3.7368677812144515</v>
      </c>
      <c r="F67" s="173">
        <f t="shared" si="73"/>
        <v>3.3555947316432215</v>
      </c>
      <c r="H67" s="68">
        <f t="shared" si="21"/>
        <v>-4.7249986465192881</v>
      </c>
      <c r="I67" s="69">
        <f t="shared" si="22"/>
        <v>40.459156151816757</v>
      </c>
      <c r="J67" s="69">
        <f t="shared" si="23"/>
        <v>35.734157505297468</v>
      </c>
      <c r="L67" t="str">
        <f t="shared" si="24"/>
        <v>81 Process, plant and machine operatives</v>
      </c>
      <c r="M67" s="173">
        <f t="shared" ref="M67:Q67" si="78">M30/M$35*100</f>
        <v>6.6491376216080313</v>
      </c>
      <c r="N67" s="173">
        <f t="shared" si="78"/>
        <v>6.1696932667171245</v>
      </c>
      <c r="O67" s="173">
        <f t="shared" si="78"/>
        <v>5.3972950454188453</v>
      </c>
      <c r="P67" s="173">
        <f t="shared" si="78"/>
        <v>5.2900653492828482</v>
      </c>
      <c r="Q67" s="173">
        <f t="shared" si="78"/>
        <v>4.6828558423653446</v>
      </c>
      <c r="S67" s="68">
        <f t="shared" si="26"/>
        <v>-10.505773520295788</v>
      </c>
      <c r="T67" s="69">
        <f t="shared" si="27"/>
        <v>35.225254521386631</v>
      </c>
      <c r="U67" s="69">
        <f t="shared" si="28"/>
        <v>24.719481001090841</v>
      </c>
      <c r="W67" t="str">
        <f t="shared" si="29"/>
        <v>81 Process, plant and machine operatives</v>
      </c>
      <c r="X67" s="173">
        <f t="shared" ref="X67:AB67" si="79">X30/X$35*100</f>
        <v>1.9823169868029868</v>
      </c>
      <c r="Y67" s="173">
        <f t="shared" si="79"/>
        <v>2.0146042352205309</v>
      </c>
      <c r="Z67" s="173">
        <f t="shared" si="79"/>
        <v>1.7632264236282038</v>
      </c>
      <c r="AA67" s="173">
        <f t="shared" si="79"/>
        <v>1.9775233758564454</v>
      </c>
      <c r="AB67" s="173">
        <f t="shared" si="79"/>
        <v>1.8951001970474877</v>
      </c>
      <c r="AD67" s="68">
        <f t="shared" si="31"/>
        <v>15.573928903125891</v>
      </c>
      <c r="AE67" s="69">
        <f t="shared" si="32"/>
        <v>58.837763227491337</v>
      </c>
      <c r="AF67" s="69">
        <f t="shared" si="33"/>
        <v>74.411692130617226</v>
      </c>
    </row>
    <row r="68" spans="1:32" x14ac:dyDescent="0.25">
      <c r="A68" t="str">
        <f t="shared" si="19"/>
        <v>82 Transport and mobile machine drivers and operatives</v>
      </c>
      <c r="B68" s="173">
        <f t="shared" si="73"/>
        <v>4.7715230007562957</v>
      </c>
      <c r="C68" s="173">
        <f t="shared" si="73"/>
        <v>4.8703480867995461</v>
      </c>
      <c r="D68" s="173">
        <f t="shared" si="73"/>
        <v>4.428803313529702</v>
      </c>
      <c r="E68" s="173">
        <f t="shared" si="73"/>
        <v>4.4752963931325143</v>
      </c>
      <c r="F68" s="173">
        <f t="shared" si="73"/>
        <v>4.3463307110497489</v>
      </c>
      <c r="H68" s="68">
        <f t="shared" si="21"/>
        <v>3.2306771828380527</v>
      </c>
      <c r="I68" s="69">
        <f t="shared" si="22"/>
        <v>54.74675540445341</v>
      </c>
      <c r="J68" s="69">
        <f t="shared" si="23"/>
        <v>57.977432587291453</v>
      </c>
      <c r="L68" t="str">
        <f t="shared" si="24"/>
        <v>82 Transport and mobile machine drivers and operatives</v>
      </c>
      <c r="M68" s="173">
        <f t="shared" ref="M68:Q68" si="80">M31/M$35*100</f>
        <v>8.2683124678816604</v>
      </c>
      <c r="N68" s="173">
        <f t="shared" si="80"/>
        <v>8.5811607057301629</v>
      </c>
      <c r="O68" s="173">
        <f t="shared" si="80"/>
        <v>7.9217499975927907</v>
      </c>
      <c r="P68" s="173">
        <f t="shared" si="80"/>
        <v>7.9431171551250843</v>
      </c>
      <c r="Q68" s="173">
        <f t="shared" si="80"/>
        <v>7.7600969846549264</v>
      </c>
      <c r="S68" s="68">
        <f t="shared" si="26"/>
        <v>1.0430405401515146</v>
      </c>
      <c r="T68" s="69">
        <f t="shared" si="27"/>
        <v>53.234867705965407</v>
      </c>
      <c r="U68" s="69">
        <f t="shared" si="28"/>
        <v>54.277908246116922</v>
      </c>
      <c r="W68" t="str">
        <f t="shared" si="29"/>
        <v>82 Transport and mobile machine drivers and operatives</v>
      </c>
      <c r="X68" s="173">
        <f t="shared" ref="X68:AB68" si="81">X31/X$35*100</f>
        <v>0.4835060886752911</v>
      </c>
      <c r="Y68" s="173">
        <f t="shared" si="81"/>
        <v>0.49559769492811179</v>
      </c>
      <c r="Z68" s="173">
        <f t="shared" si="81"/>
        <v>0.42188102626033591</v>
      </c>
      <c r="AA68" s="173">
        <f t="shared" si="81"/>
        <v>0.5472120451873359</v>
      </c>
      <c r="AB68" s="173">
        <f t="shared" si="81"/>
        <v>0.58988298218121571</v>
      </c>
      <c r="AD68" s="68">
        <f t="shared" si="31"/>
        <v>50.352848147820126</v>
      </c>
      <c r="AE68" s="69">
        <f t="shared" si="32"/>
        <v>87.313146558205332</v>
      </c>
      <c r="AF68" s="69">
        <f t="shared" si="33"/>
        <v>137.66599470602549</v>
      </c>
    </row>
    <row r="69" spans="1:32" x14ac:dyDescent="0.25">
      <c r="A69" t="str">
        <f t="shared" si="19"/>
        <v>91 Elementary trades and related occupations</v>
      </c>
      <c r="B69" s="173">
        <f t="shared" si="73"/>
        <v>2.2722126228243189</v>
      </c>
      <c r="C69" s="173">
        <f t="shared" si="73"/>
        <v>1.9281119512502627</v>
      </c>
      <c r="D69" s="173">
        <f t="shared" si="73"/>
        <v>1.7327687405521968</v>
      </c>
      <c r="E69" s="173">
        <f t="shared" si="73"/>
        <v>2.9540808671935941</v>
      </c>
      <c r="F69" s="173">
        <f t="shared" si="73"/>
        <v>3.1606431356733475</v>
      </c>
      <c r="H69" s="68">
        <f t="shared" si="21"/>
        <v>91.870081228133657</v>
      </c>
      <c r="I69" s="69">
        <f t="shared" si="22"/>
        <v>81.996363651763062</v>
      </c>
      <c r="J69" s="69">
        <f t="shared" si="23"/>
        <v>173.8664448798967</v>
      </c>
      <c r="L69" t="str">
        <f t="shared" si="24"/>
        <v>91 Elementary trades and related occupations</v>
      </c>
      <c r="M69" s="173">
        <f t="shared" ref="M69:Q70" si="82">M32/M$35*100</f>
        <v>3.1040949847320665</v>
      </c>
      <c r="N69" s="173">
        <f t="shared" si="82"/>
        <v>2.6867308058006021</v>
      </c>
      <c r="O69" s="173">
        <f t="shared" si="82"/>
        <v>2.5159856896184416</v>
      </c>
      <c r="P69" s="173">
        <f t="shared" si="82"/>
        <v>3.3311049111089202</v>
      </c>
      <c r="Q69" s="173">
        <f t="shared" si="82"/>
        <v>3.4627437294244952</v>
      </c>
      <c r="S69" s="68">
        <f t="shared" si="26"/>
        <v>41.962152123784044</v>
      </c>
      <c r="T69" s="69">
        <f t="shared" si="27"/>
        <v>45.890180581482461</v>
      </c>
      <c r="U69" s="69">
        <f t="shared" si="28"/>
        <v>87.852332705266505</v>
      </c>
      <c r="W69" t="str">
        <f t="shared" si="29"/>
        <v>91 Elementary trades and related occupations</v>
      </c>
      <c r="X69" s="173">
        <f t="shared" ref="X69:AB70" si="83">X32/X$35*100</f>
        <v>1.2520981234361737</v>
      </c>
      <c r="Y69" s="173">
        <f t="shared" si="83"/>
        <v>1.033761179051589</v>
      </c>
      <c r="Z69" s="173">
        <f t="shared" si="83"/>
        <v>0.83430399635802222</v>
      </c>
      <c r="AA69" s="173">
        <f t="shared" si="83"/>
        <v>2.5270166250233004</v>
      </c>
      <c r="AB69" s="173">
        <f t="shared" si="83"/>
        <v>2.828217012051276</v>
      </c>
      <c r="AD69" s="68">
        <f t="shared" si="31"/>
        <v>264.52237600973211</v>
      </c>
      <c r="AE69" s="69">
        <f t="shared" si="32"/>
        <v>206.90267562985679</v>
      </c>
      <c r="AF69" s="69">
        <f t="shared" si="33"/>
        <v>471.42505163958896</v>
      </c>
    </row>
    <row r="70" spans="1:32" x14ac:dyDescent="0.25">
      <c r="A70" t="str">
        <f t="shared" si="19"/>
        <v>92 Elementary administration and service occupations</v>
      </c>
      <c r="B70" s="173">
        <f t="shared" si="73"/>
        <v>8.9944447434442854</v>
      </c>
      <c r="C70" s="173">
        <f t="shared" si="73"/>
        <v>8.1906984774289349</v>
      </c>
      <c r="D70" s="173">
        <f t="shared" si="73"/>
        <v>7.5956054844670229</v>
      </c>
      <c r="E70" s="173">
        <f t="shared" si="73"/>
        <v>6.5385382127706047</v>
      </c>
      <c r="F70" s="173">
        <f t="shared" si="73"/>
        <v>5.6483386844718861</v>
      </c>
      <c r="H70" s="68">
        <f t="shared" si="21"/>
        <v>-21.777672978611506</v>
      </c>
      <c r="I70" s="69">
        <f t="shared" si="22"/>
        <v>41.784214560534913</v>
      </c>
      <c r="J70" s="69">
        <f t="shared" si="23"/>
        <v>20.006541581923404</v>
      </c>
      <c r="L70" t="str">
        <f t="shared" si="24"/>
        <v>92 Elementary administration and service occupations</v>
      </c>
      <c r="M70" s="173">
        <f t="shared" si="82"/>
        <v>8.4652323767617919</v>
      </c>
      <c r="N70" s="173">
        <f t="shared" si="82"/>
        <v>7.2188093988917581</v>
      </c>
      <c r="O70" s="173">
        <f t="shared" si="82"/>
        <v>7.0716838907711601</v>
      </c>
      <c r="P70" s="173">
        <f t="shared" si="82"/>
        <v>6.7680439249724058</v>
      </c>
      <c r="Q70" s="173">
        <f t="shared" si="82"/>
        <v>6.0916616636698047</v>
      </c>
      <c r="S70" s="68">
        <f t="shared" si="26"/>
        <v>-11.146748559284561</v>
      </c>
      <c r="T70" s="69">
        <f t="shared" si="27"/>
        <v>38.273630313718009</v>
      </c>
      <c r="U70" s="69">
        <f t="shared" si="28"/>
        <v>27.126881754433452</v>
      </c>
      <c r="W70" t="str">
        <f t="shared" si="29"/>
        <v>92 Elementary administration and service occupations</v>
      </c>
      <c r="X70" s="173">
        <f t="shared" si="83"/>
        <v>9.6434033381069657</v>
      </c>
      <c r="Y70" s="173">
        <f t="shared" si="83"/>
        <v>9.3364777349144177</v>
      </c>
      <c r="Z70" s="173">
        <f t="shared" si="83"/>
        <v>8.1966204155393942</v>
      </c>
      <c r="AA70" s="173">
        <f t="shared" si="83"/>
        <v>6.2785715484768492</v>
      </c>
      <c r="AB70" s="173">
        <f t="shared" si="83"/>
        <v>5.1605139580870576</v>
      </c>
      <c r="AD70" s="68">
        <f t="shared" si="31"/>
        <v>-32.299181449008003</v>
      </c>
      <c r="AE70" s="69">
        <f t="shared" si="32"/>
        <v>45.258667057043432</v>
      </c>
      <c r="AF70" s="69">
        <f t="shared" si="33"/>
        <v>12.959485608035431</v>
      </c>
    </row>
    <row r="71" spans="1:32" x14ac:dyDescent="0.25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5.1895024929765645</v>
      </c>
      <c r="I72" s="67">
        <f>IF(D35&gt;0,I35/D35*100,0)</f>
        <v>49.520593478935119</v>
      </c>
      <c r="J72" s="67">
        <f>IF(D35&gt;0,(J35/D35)*100,0)</f>
        <v>54.710095971911642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3.1478997928151626</v>
      </c>
      <c r="T72" s="67">
        <f t="shared" ref="T72" si="85">IF(O35&gt;0,T35/O35*100,0)</f>
        <v>40.86761285097932</v>
      </c>
      <c r="U72" s="67">
        <f t="shared" ref="U72" si="86">IF(O35&gt;0,(U35/O35)*100,0)</f>
        <v>44.015512643794501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7.531520308006459</v>
      </c>
      <c r="AE72" s="67">
        <f t="shared" ref="AE72" si="88">IF(Z35&gt;0,AE35/Z35*100,0)</f>
        <v>59.446831714308004</v>
      </c>
      <c r="AF72" s="67">
        <f t="shared" ref="AF72" si="89">IF(Z35&gt;0,(AF35/Z35)*100,0)</f>
        <v>66.978352022314468</v>
      </c>
    </row>
    <row r="73" spans="1:32" x14ac:dyDescent="0.25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5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5" x14ac:dyDescent="0.35">
      <c r="A75" s="19" t="str">
        <f>CONCATENATE(A$1," (Continued)")</f>
        <v>Occupation Table 2  Employment Change by Occupation (SOC 2020) and Replacement Demand, 2015-2035, Black Country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Black Country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Black Country (Continued)</v>
      </c>
      <c r="X75" s="18"/>
      <c r="Y75" s="18"/>
      <c r="Z75" s="18"/>
      <c r="AA75" s="18"/>
      <c r="AB75" s="18"/>
    </row>
    <row r="77" spans="1:32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ht="13" x14ac:dyDescent="0.3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3.0303782938927437</v>
      </c>
      <c r="C82" s="18">
        <f t="shared" ref="B82:E107" si="96">IF(AND(D$6-C$6 &lt;&gt; 0,C8&lt;&gt;0,D8&lt;&gt;0),(EXP(LN(D8/C8)/(D$6-C$6))-1)*100,0)</f>
        <v>2.6330496026515826</v>
      </c>
      <c r="D82" s="18">
        <f t="shared" si="96"/>
        <v>-2.040740970542354</v>
      </c>
      <c r="E82" s="18">
        <f t="shared" si="96"/>
        <v>0.8498281222134807</v>
      </c>
      <c r="F82" s="18">
        <f t="shared" ref="F82:F107" si="97">IF(AND(F$6-D$6 &lt;&gt; 0,D8&lt;&gt;0,F8&lt;&gt;0),(EXP(LN(F8/D8)/(F$6-D$6))-1)*100,0)</f>
        <v>-0.12304988831006725</v>
      </c>
      <c r="H82" s="18">
        <f t="shared" ref="H82:H107" si="98">IF($F$6-$D$6 &lt;&gt; 0,(EXP(LN(1+(H45/100))/($F$6-$D$6))-1)*100,0)</f>
        <v>-0.12304988831006725</v>
      </c>
      <c r="I82" s="18">
        <f t="shared" ref="I82:I107" si="99">IF(D8&gt;0,((1+(I8/D8))^(1/($F$6-$D$6))-1)*100,0)</f>
        <v>2.6350029446394529</v>
      </c>
      <c r="J82" s="18">
        <f t="shared" ref="J82:J107" si="100">IF($F$6-$D$6 &lt;&gt; 0,(EXP(LN(1+(J45/100))/($F$6-$D$6))-1)*100,0)</f>
        <v>2.5497457843286941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2.0337586830210475</v>
      </c>
      <c r="N82" s="18">
        <f t="shared" si="102"/>
        <v>1.2388426289502208</v>
      </c>
      <c r="O82" s="18">
        <f t="shared" si="102"/>
        <v>-2.8128525681442751</v>
      </c>
      <c r="P82" s="18">
        <f t="shared" si="102"/>
        <v>0.42804897886026261</v>
      </c>
      <c r="Q82" s="18">
        <f t="shared" ref="Q82:Q107" si="103">IF(AND(Q$6-O$6 &lt;&gt; 0,O8&lt;&gt;0,Q8&lt;&gt;0),(EXP(LN(Q8/O8)/(Q$6-O$6))-1)*100,0)</f>
        <v>-0.66408521726293301</v>
      </c>
      <c r="S82" s="18">
        <f t="shared" ref="S82:S107" si="104">IF($F$6-$D$6 &lt;&gt; 0,(EXP(LN(1+(S45/100))/($F$6-$D$6))-1)*100,0)</f>
        <v>-0.66408521726293301</v>
      </c>
      <c r="T82" s="18">
        <f t="shared" ref="T82:T107" si="105">IF(O8&gt;0,((1+(T8/O8))^(1/($F$6-$D$6))-1)*100,0)</f>
        <v>2.3400547289927021</v>
      </c>
      <c r="U82" s="18">
        <f t="shared" ref="U82:U107" si="106">IF($F$6-$D$6 &lt;&gt; 0,(EXP(LN(1+(U45/100))/($F$6-$D$6))-1)*100,0)</f>
        <v>1.8663295734040686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5.4451650280111119</v>
      </c>
      <c r="Y82" s="18">
        <f t="shared" si="108"/>
        <v>5.7454084687452056</v>
      </c>
      <c r="Z82" s="18">
        <f t="shared" si="108"/>
        <v>-0.46771865075052599</v>
      </c>
      <c r="AA82" s="18">
        <f t="shared" si="108"/>
        <v>1.6088326162791988</v>
      </c>
      <c r="AB82" s="18">
        <f t="shared" ref="AB82:AB107" si="109">IF(AND(AB$6-Z$6 &lt;&gt; 0,Z8&lt;&gt;0,AB8&lt;&gt;0),(EXP(LN(AB8/Z8)/(AB$6-Z$6))-1)*100,0)</f>
        <v>0.91187926170008815</v>
      </c>
      <c r="AD82" s="18">
        <f t="shared" ref="AD82:AD107" si="110">IF($F$6-$D$6 &lt;&gt; 0,(EXP(LN(1+(AD45/100))/($F$6-$D$6))-1)*100,0)</f>
        <v>0.91187926170008815</v>
      </c>
      <c r="AE82" s="18">
        <f t="shared" ref="AE82:AE107" si="111">IF(Z8&gt;0,((1+(AE8/Z8))^(1/($F$6-$D$6))-1)*100,0)</f>
        <v>3.228232601387071</v>
      </c>
      <c r="AF82" s="18">
        <f t="shared" ref="AF82:AF107" si="112">IF($F$6-$D$6 &lt;&gt; 0,(EXP(LN(1+(AF45/100))/($F$6-$D$6))-1)*100,0)</f>
        <v>3.826618735345777</v>
      </c>
    </row>
    <row r="83" spans="1:32" x14ac:dyDescent="0.25">
      <c r="A83" t="str">
        <f t="shared" si="95"/>
        <v>12 Other managers and proprietors</v>
      </c>
      <c r="B83" s="18">
        <f t="shared" si="96"/>
        <v>0.3229860382378158</v>
      </c>
      <c r="C83" s="18">
        <f t="shared" si="96"/>
        <v>4.4866234330475985</v>
      </c>
      <c r="D83" s="18">
        <f t="shared" si="96"/>
        <v>0.62872023571027835</v>
      </c>
      <c r="E83" s="18">
        <f t="shared" si="96"/>
        <v>1.1376588600769955</v>
      </c>
      <c r="F83" s="18">
        <f t="shared" si="97"/>
        <v>0.96772729272256441</v>
      </c>
      <c r="H83" s="18">
        <f t="shared" si="98"/>
        <v>0.96772729272256441</v>
      </c>
      <c r="I83" s="18">
        <f t="shared" si="99"/>
        <v>3.2235781547020004</v>
      </c>
      <c r="J83" s="18">
        <f t="shared" si="100"/>
        <v>3.8598850754368419</v>
      </c>
      <c r="L83" t="str">
        <f t="shared" si="101"/>
        <v>12 Other managers and proprietors</v>
      </c>
      <c r="M83" s="18">
        <f t="shared" si="102"/>
        <v>0.70031900291744886</v>
      </c>
      <c r="N83" s="18">
        <f t="shared" si="102"/>
        <v>-5.2346897767568512</v>
      </c>
      <c r="O83" s="18">
        <f t="shared" si="102"/>
        <v>2.4139721530451075</v>
      </c>
      <c r="P83" s="18">
        <f t="shared" si="102"/>
        <v>1.0828887557584155</v>
      </c>
      <c r="Q83" s="18">
        <f t="shared" si="103"/>
        <v>1.5246497874580989</v>
      </c>
      <c r="S83" s="18">
        <f t="shared" si="104"/>
        <v>1.5246497874580989</v>
      </c>
      <c r="T83" s="18">
        <f t="shared" si="105"/>
        <v>3.1473029935089158</v>
      </c>
      <c r="U83" s="18">
        <f t="shared" si="106"/>
        <v>4.1734214898447197</v>
      </c>
      <c r="W83" t="str">
        <f t="shared" si="107"/>
        <v>12 Other managers and proprietors</v>
      </c>
      <c r="X83" s="18">
        <f t="shared" si="108"/>
        <v>-0.26529506763048882</v>
      </c>
      <c r="Y83" s="18">
        <f t="shared" si="108"/>
        <v>20.012352347799279</v>
      </c>
      <c r="Z83" s="18">
        <f t="shared" si="108"/>
        <v>-1.8203198745968763</v>
      </c>
      <c r="AA83" s="18">
        <f t="shared" si="108"/>
        <v>1.2224372519926474</v>
      </c>
      <c r="AB83" s="18">
        <f t="shared" si="109"/>
        <v>0.19784883397389041</v>
      </c>
      <c r="AD83" s="18">
        <f t="shared" si="110"/>
        <v>0.19784883397389041</v>
      </c>
      <c r="AE83" s="18">
        <f t="shared" si="111"/>
        <v>3.3186575198731916</v>
      </c>
      <c r="AF83" s="18">
        <f t="shared" si="112"/>
        <v>3.4445924677907191</v>
      </c>
    </row>
    <row r="84" spans="1:32" x14ac:dyDescent="0.25">
      <c r="A84" t="str">
        <f t="shared" si="95"/>
        <v>21 Science, research, engineering and technology professionals</v>
      </c>
      <c r="B84" s="18">
        <f t="shared" si="96"/>
        <v>1.8773236967932538</v>
      </c>
      <c r="C84" s="18">
        <f t="shared" si="96"/>
        <v>4.5125374341252522</v>
      </c>
      <c r="D84" s="18">
        <f t="shared" si="96"/>
        <v>3.9217974408579437</v>
      </c>
      <c r="E84" s="18">
        <f t="shared" si="96"/>
        <v>1.2090748903252235</v>
      </c>
      <c r="F84" s="18">
        <f t="shared" si="97"/>
        <v>2.1053550953749944</v>
      </c>
      <c r="H84" s="18">
        <f t="shared" si="98"/>
        <v>2.1053550953749944</v>
      </c>
      <c r="I84" s="18">
        <f t="shared" si="99"/>
        <v>2.5125010635409728</v>
      </c>
      <c r="J84" s="18">
        <f t="shared" si="100"/>
        <v>4.0646962750226168</v>
      </c>
      <c r="L84" t="str">
        <f t="shared" si="101"/>
        <v>21 Science, research, engineering and technology professionals</v>
      </c>
      <c r="M84" s="18">
        <f t="shared" si="102"/>
        <v>1.9785472060704912</v>
      </c>
      <c r="N84" s="18">
        <f t="shared" si="102"/>
        <v>0.88481478051813944</v>
      </c>
      <c r="O84" s="18">
        <f t="shared" si="102"/>
        <v>3.3965536013646602</v>
      </c>
      <c r="P84" s="18">
        <f t="shared" si="102"/>
        <v>0.9410984017006685</v>
      </c>
      <c r="Q84" s="18">
        <f t="shared" si="103"/>
        <v>1.75303500942805</v>
      </c>
      <c r="S84" s="18">
        <f t="shared" si="104"/>
        <v>1.75303500942805</v>
      </c>
      <c r="T84" s="18">
        <f t="shared" si="105"/>
        <v>2.2212164192738637</v>
      </c>
      <c r="U84" s="18">
        <f t="shared" si="106"/>
        <v>3.5524585451436552</v>
      </c>
      <c r="W84" t="str">
        <f t="shared" si="107"/>
        <v>21 Science, research, engineering and technology professionals</v>
      </c>
      <c r="X84" s="18">
        <f t="shared" si="108"/>
        <v>1.3262477330534095</v>
      </c>
      <c r="Y84" s="18">
        <f t="shared" si="108"/>
        <v>24.582151654791385</v>
      </c>
      <c r="Z84" s="18">
        <f t="shared" si="108"/>
        <v>6.1532939196052849</v>
      </c>
      <c r="AA84" s="18">
        <f t="shared" si="108"/>
        <v>2.2039691513932924</v>
      </c>
      <c r="AB84" s="18">
        <f t="shared" si="109"/>
        <v>3.5038091660962278</v>
      </c>
      <c r="AD84" s="18">
        <f t="shared" si="110"/>
        <v>3.5038091660962278</v>
      </c>
      <c r="AE84" s="18">
        <f t="shared" si="111"/>
        <v>3.6919195785664272</v>
      </c>
      <c r="AF84" s="18">
        <f t="shared" si="112"/>
        <v>6.0066999810534316</v>
      </c>
    </row>
    <row r="85" spans="1:32" x14ac:dyDescent="0.25">
      <c r="A85" t="str">
        <f t="shared" si="95"/>
        <v>22 Health professionals</v>
      </c>
      <c r="B85" s="18">
        <f t="shared" si="96"/>
        <v>5.9533902611244471</v>
      </c>
      <c r="C85" s="18">
        <f t="shared" si="96"/>
        <v>-1.5760066522252481</v>
      </c>
      <c r="D85" s="18">
        <f t="shared" si="96"/>
        <v>-0.25509433363543055</v>
      </c>
      <c r="E85" s="18">
        <f t="shared" si="96"/>
        <v>0.74158810770108552</v>
      </c>
      <c r="F85" s="18">
        <f t="shared" si="97"/>
        <v>0.40825893933129631</v>
      </c>
      <c r="H85" s="18">
        <f t="shared" si="98"/>
        <v>0.40825893933129631</v>
      </c>
      <c r="I85" s="18">
        <f t="shared" si="99"/>
        <v>2.8952256750052863</v>
      </c>
      <c r="J85" s="18">
        <f t="shared" si="100"/>
        <v>3.1717089821122979</v>
      </c>
      <c r="L85" t="str">
        <f t="shared" si="101"/>
        <v>22 Health professionals</v>
      </c>
      <c r="M85" s="18">
        <f t="shared" si="102"/>
        <v>6.1794193834907585</v>
      </c>
      <c r="N85" s="18">
        <f t="shared" si="102"/>
        <v>6.3841967922703136</v>
      </c>
      <c r="O85" s="18">
        <f t="shared" si="102"/>
        <v>-0.30530871591032405</v>
      </c>
      <c r="P85" s="18">
        <f t="shared" si="102"/>
        <v>0.63148714436682685</v>
      </c>
      <c r="Q85" s="18">
        <f t="shared" si="103"/>
        <v>0.3182478378464193</v>
      </c>
      <c r="S85" s="18">
        <f t="shared" si="104"/>
        <v>0.3182478378464193</v>
      </c>
      <c r="T85" s="18">
        <f t="shared" si="105"/>
        <v>2.1915230911953909</v>
      </c>
      <c r="U85" s="18">
        <f t="shared" si="106"/>
        <v>2.4279038988670232</v>
      </c>
      <c r="W85" t="str">
        <f t="shared" si="107"/>
        <v>22 Health professionals</v>
      </c>
      <c r="X85" s="18">
        <f t="shared" si="108"/>
        <v>5.8838623831299453</v>
      </c>
      <c r="Y85" s="18">
        <f t="shared" si="108"/>
        <v>-4.0417283450983383</v>
      </c>
      <c r="Z85" s="18">
        <f t="shared" si="108"/>
        <v>-0.23787344803747335</v>
      </c>
      <c r="AA85" s="18">
        <f t="shared" si="108"/>
        <v>0.77902296141361127</v>
      </c>
      <c r="AB85" s="18">
        <f t="shared" si="109"/>
        <v>0.43891096289416787</v>
      </c>
      <c r="AD85" s="18">
        <f t="shared" si="110"/>
        <v>0.43891096289416787</v>
      </c>
      <c r="AE85" s="18">
        <f t="shared" si="111"/>
        <v>3.1221161860760516</v>
      </c>
      <c r="AF85" s="18">
        <f t="shared" si="112"/>
        <v>3.410728316450462</v>
      </c>
    </row>
    <row r="86" spans="1:32" x14ac:dyDescent="0.25">
      <c r="A86" t="str">
        <f t="shared" si="95"/>
        <v>23 Teaching and other educational professionals</v>
      </c>
      <c r="B86" s="18">
        <f t="shared" si="96"/>
        <v>1.5319874948684697</v>
      </c>
      <c r="C86" s="18">
        <f t="shared" si="96"/>
        <v>6.0726399362236227</v>
      </c>
      <c r="D86" s="18">
        <f t="shared" si="96"/>
        <v>-5.1741183103570787E-2</v>
      </c>
      <c r="E86" s="18">
        <f t="shared" si="96"/>
        <v>0.95711284592294721</v>
      </c>
      <c r="F86" s="18">
        <f t="shared" si="97"/>
        <v>0.61970175648629056</v>
      </c>
      <c r="H86" s="18">
        <f t="shared" si="98"/>
        <v>0.61970175648629056</v>
      </c>
      <c r="I86" s="18">
        <f t="shared" si="99"/>
        <v>2.8361287211412511</v>
      </c>
      <c r="J86" s="18">
        <f t="shared" si="100"/>
        <v>3.2612072874415698</v>
      </c>
      <c r="L86" t="str">
        <f t="shared" si="101"/>
        <v>23 Teaching and other educational professionals</v>
      </c>
      <c r="M86" s="18">
        <f t="shared" si="102"/>
        <v>0.24380752979935583</v>
      </c>
      <c r="N86" s="18">
        <f t="shared" si="102"/>
        <v>7.6610263871226936</v>
      </c>
      <c r="O86" s="18">
        <f t="shared" si="102"/>
        <v>0.39627513774693757</v>
      </c>
      <c r="P86" s="18">
        <f t="shared" si="102"/>
        <v>0.71019784165400335</v>
      </c>
      <c r="Q86" s="18">
        <f t="shared" si="103"/>
        <v>0.60544802665907227</v>
      </c>
      <c r="S86" s="18">
        <f t="shared" si="104"/>
        <v>0.60544802665907227</v>
      </c>
      <c r="T86" s="18">
        <f t="shared" si="105"/>
        <v>2.4902019500789851</v>
      </c>
      <c r="U86" s="18">
        <f t="shared" si="106"/>
        <v>2.9247980886627944</v>
      </c>
      <c r="W86" t="str">
        <f t="shared" si="107"/>
        <v>23 Teaching and other educational professionals</v>
      </c>
      <c r="X86" s="18">
        <f t="shared" si="108"/>
        <v>2.1665571655984373</v>
      </c>
      <c r="Y86" s="18">
        <f t="shared" si="108"/>
        <v>5.3265396323644465</v>
      </c>
      <c r="Z86" s="18">
        <f t="shared" si="108"/>
        <v>-0.26973463352405469</v>
      </c>
      <c r="AA86" s="18">
        <f t="shared" si="108"/>
        <v>1.0776864505032124</v>
      </c>
      <c r="AB86" s="18">
        <f t="shared" si="109"/>
        <v>0.62653541359121157</v>
      </c>
      <c r="AD86" s="18">
        <f t="shared" si="110"/>
        <v>0.62653541359121157</v>
      </c>
      <c r="AE86" s="18">
        <f t="shared" si="111"/>
        <v>2.9966003619425807</v>
      </c>
      <c r="AF86" s="18">
        <f t="shared" si="112"/>
        <v>3.417431177081065</v>
      </c>
    </row>
    <row r="87" spans="1:32" x14ac:dyDescent="0.25">
      <c r="A87" t="str">
        <f t="shared" si="95"/>
        <v>24 Business, media and public service professionals</v>
      </c>
      <c r="B87" s="18">
        <f t="shared" si="96"/>
        <v>2.7864250271628199</v>
      </c>
      <c r="C87" s="18">
        <f t="shared" si="96"/>
        <v>9.826339650530258</v>
      </c>
      <c r="D87" s="18">
        <f t="shared" si="96"/>
        <v>0.81600283389537953</v>
      </c>
      <c r="E87" s="18">
        <f t="shared" si="96"/>
        <v>1.1157699664662291</v>
      </c>
      <c r="F87" s="18">
        <f t="shared" si="97"/>
        <v>1.015748682921247</v>
      </c>
      <c r="H87" s="18">
        <f t="shared" si="98"/>
        <v>1.015748682921247</v>
      </c>
      <c r="I87" s="18">
        <f t="shared" si="99"/>
        <v>2.7798765642181866</v>
      </c>
      <c r="J87" s="18">
        <f t="shared" si="100"/>
        <v>3.4880577688708003</v>
      </c>
      <c r="L87" t="str">
        <f t="shared" si="101"/>
        <v>24 Business, media and public service professionals</v>
      </c>
      <c r="M87" s="18">
        <f t="shared" si="102"/>
        <v>1.5040750336225095</v>
      </c>
      <c r="N87" s="18">
        <f t="shared" si="102"/>
        <v>9.9454574718177646</v>
      </c>
      <c r="O87" s="18">
        <f t="shared" si="102"/>
        <v>1.0390464441532465</v>
      </c>
      <c r="P87" s="18">
        <f t="shared" si="102"/>
        <v>0.76894646431242553</v>
      </c>
      <c r="Q87" s="18">
        <f t="shared" si="103"/>
        <v>0.85889946905082226</v>
      </c>
      <c r="S87" s="18">
        <f t="shared" si="104"/>
        <v>0.85889946905082226</v>
      </c>
      <c r="T87" s="18">
        <f t="shared" si="105"/>
        <v>2.5133449295227983</v>
      </c>
      <c r="U87" s="18">
        <f t="shared" si="106"/>
        <v>3.1312164429942113</v>
      </c>
      <c r="W87" t="str">
        <f t="shared" si="107"/>
        <v>24 Business, media and public service professionals</v>
      </c>
      <c r="X87" s="18">
        <f t="shared" si="108"/>
        <v>4.694532094727899</v>
      </c>
      <c r="Y87" s="18">
        <f t="shared" si="108"/>
        <v>9.6622728722420614</v>
      </c>
      <c r="Z87" s="18">
        <f t="shared" si="108"/>
        <v>0.50471848492701366</v>
      </c>
      <c r="AA87" s="18">
        <f t="shared" si="108"/>
        <v>1.5899146734469349</v>
      </c>
      <c r="AB87" s="18">
        <f t="shared" si="109"/>
        <v>1.2268868895596308</v>
      </c>
      <c r="AD87" s="18">
        <f t="shared" si="110"/>
        <v>1.2268868895596308</v>
      </c>
      <c r="AE87" s="18">
        <f t="shared" si="111"/>
        <v>3.1327183555329263</v>
      </c>
      <c r="AF87" s="18">
        <f t="shared" si="112"/>
        <v>3.9541207794202782</v>
      </c>
    </row>
    <row r="88" spans="1:32" x14ac:dyDescent="0.25">
      <c r="A88" t="str">
        <f t="shared" si="95"/>
        <v>31 Science, engineering and technology associate professionals</v>
      </c>
      <c r="B88" s="18">
        <f t="shared" si="96"/>
        <v>1.4040679544263135</v>
      </c>
      <c r="C88" s="18">
        <f t="shared" si="96"/>
        <v>7.8496821858051735</v>
      </c>
      <c r="D88" s="18">
        <f t="shared" si="96"/>
        <v>-1.6546214430430584</v>
      </c>
      <c r="E88" s="18">
        <f t="shared" si="96"/>
        <v>0.50457032122892542</v>
      </c>
      <c r="F88" s="18">
        <f t="shared" si="97"/>
        <v>-0.22037679293600565</v>
      </c>
      <c r="H88" s="18">
        <f t="shared" si="98"/>
        <v>-0.22037679293600565</v>
      </c>
      <c r="I88" s="18">
        <f t="shared" si="99"/>
        <v>2.1365536762369963</v>
      </c>
      <c r="J88" s="18">
        <f t="shared" si="100"/>
        <v>1.973326019838173</v>
      </c>
      <c r="L88" t="str">
        <f t="shared" si="101"/>
        <v>31 Science, engineering and technology associate professionals</v>
      </c>
      <c r="M88" s="18">
        <f t="shared" si="102"/>
        <v>1.9118441845405121</v>
      </c>
      <c r="N88" s="18">
        <f t="shared" si="102"/>
        <v>4.0980480863311186</v>
      </c>
      <c r="O88" s="18">
        <f t="shared" si="102"/>
        <v>-2.5099560195878223</v>
      </c>
      <c r="P88" s="18">
        <f t="shared" si="102"/>
        <v>8.5249704695677941E-2</v>
      </c>
      <c r="Q88" s="18">
        <f t="shared" si="103"/>
        <v>-0.78740554141478736</v>
      </c>
      <c r="S88" s="18">
        <f t="shared" si="104"/>
        <v>-0.78740554141478736</v>
      </c>
      <c r="T88" s="18">
        <f t="shared" si="105"/>
        <v>1.8625531841960585</v>
      </c>
      <c r="U88" s="18">
        <f t="shared" si="106"/>
        <v>1.2627221593897842</v>
      </c>
      <c r="W88" t="str">
        <f t="shared" si="107"/>
        <v>31 Science, engineering and technology associate professionals</v>
      </c>
      <c r="X88" s="18">
        <f t="shared" si="108"/>
        <v>-0.4997859592824283</v>
      </c>
      <c r="Y88" s="18">
        <f t="shared" si="108"/>
        <v>22.787049943978666</v>
      </c>
      <c r="Z88" s="18">
        <f t="shared" si="108"/>
        <v>1.0319620013121478</v>
      </c>
      <c r="AA88" s="18">
        <f t="shared" si="108"/>
        <v>1.6103258770589823</v>
      </c>
      <c r="AB88" s="18">
        <f t="shared" si="109"/>
        <v>1.4171709756978013</v>
      </c>
      <c r="AD88" s="18">
        <f t="shared" si="110"/>
        <v>1.4171709756978013</v>
      </c>
      <c r="AE88" s="18">
        <f t="shared" si="111"/>
        <v>2.9922360880029863</v>
      </c>
      <c r="AF88" s="18">
        <f t="shared" si="112"/>
        <v>3.9624800368782465</v>
      </c>
    </row>
    <row r="89" spans="1:32" x14ac:dyDescent="0.25">
      <c r="A89" t="str">
        <f t="shared" si="95"/>
        <v>32 Health and social care associate professionals</v>
      </c>
      <c r="B89" s="18">
        <f t="shared" si="96"/>
        <v>4.9454369661249942</v>
      </c>
      <c r="C89" s="18">
        <f t="shared" si="96"/>
        <v>0.41211142353445585</v>
      </c>
      <c r="D89" s="18">
        <f t="shared" si="96"/>
        <v>9.9521623238132193</v>
      </c>
      <c r="E89" s="18">
        <f t="shared" si="96"/>
        <v>1.7627013040600659</v>
      </c>
      <c r="F89" s="18">
        <f t="shared" si="97"/>
        <v>4.422401319894731</v>
      </c>
      <c r="H89" s="18">
        <f t="shared" si="98"/>
        <v>4.422401319894731</v>
      </c>
      <c r="I89" s="18">
        <f t="shared" si="99"/>
        <v>4.5605293095293709</v>
      </c>
      <c r="J89" s="18">
        <f t="shared" si="100"/>
        <v>7.2716871865827315</v>
      </c>
      <c r="L89" t="str">
        <f t="shared" si="101"/>
        <v>32 Health and social care associate professionals</v>
      </c>
      <c r="M89" s="18">
        <f t="shared" si="102"/>
        <v>2.8211055628101889</v>
      </c>
      <c r="N89" s="18">
        <f t="shared" si="102"/>
        <v>5.3506698084005988</v>
      </c>
      <c r="O89" s="18">
        <f t="shared" si="102"/>
        <v>5.9440808202783746</v>
      </c>
      <c r="P89" s="18">
        <f t="shared" si="102"/>
        <v>1.0754004969319775</v>
      </c>
      <c r="Q89" s="18">
        <f>IF(AND(Q$6-O$6 &lt;&gt; 0,O15&lt;&gt;0,Q15&lt;&gt;0),(EXP(LN(Q15/O15)/(Q$6-O$6))-1)*100,0)</f>
        <v>2.6729120135512208</v>
      </c>
      <c r="S89" s="18">
        <f t="shared" si="104"/>
        <v>2.6729120135512208</v>
      </c>
      <c r="T89" s="18">
        <f t="shared" si="105"/>
        <v>3.4048232850848903</v>
      </c>
      <c r="U89" s="18">
        <f t="shared" si="106"/>
        <v>5.1955566709054324</v>
      </c>
      <c r="W89" t="str">
        <f t="shared" si="107"/>
        <v>32 Health and social care associate professionals</v>
      </c>
      <c r="X89" s="18">
        <f t="shared" si="108"/>
        <v>5.5602649914905378</v>
      </c>
      <c r="Y89" s="18">
        <f t="shared" si="108"/>
        <v>-0.92596780019424951</v>
      </c>
      <c r="Z89" s="18">
        <f t="shared" si="108"/>
        <v>11.005384891311355</v>
      </c>
      <c r="AA89" s="18">
        <f t="shared" si="108"/>
        <v>1.9138148463047733</v>
      </c>
      <c r="AB89" s="18">
        <f t="shared" si="109"/>
        <v>4.8584389427574814</v>
      </c>
      <c r="AD89" s="18">
        <f t="shared" si="110"/>
        <v>4.8584389427574814</v>
      </c>
      <c r="AE89" s="18">
        <f t="shared" si="111"/>
        <v>4.8627404559771215</v>
      </c>
      <c r="AF89" s="18">
        <f t="shared" si="112"/>
        <v>7.7781387976566974</v>
      </c>
    </row>
    <row r="90" spans="1:32" x14ac:dyDescent="0.25">
      <c r="A90" t="str">
        <f t="shared" si="95"/>
        <v>33 Protective service occupations</v>
      </c>
      <c r="B90" s="18">
        <f t="shared" si="96"/>
        <v>-9.8102447829739869E-2</v>
      </c>
      <c r="C90" s="18">
        <f t="shared" si="96"/>
        <v>5.8801117407166981</v>
      </c>
      <c r="D90" s="18">
        <f t="shared" si="96"/>
        <v>-2.8414754351979266</v>
      </c>
      <c r="E90" s="18">
        <f t="shared" si="96"/>
        <v>0.93036786339304456</v>
      </c>
      <c r="F90" s="18">
        <f t="shared" si="97"/>
        <v>-0.34290857454674084</v>
      </c>
      <c r="H90" s="18">
        <f t="shared" si="98"/>
        <v>-0.34290857454674084</v>
      </c>
      <c r="I90" s="18">
        <f t="shared" si="99"/>
        <v>1.8122302221039277</v>
      </c>
      <c r="J90" s="18">
        <f t="shared" si="100"/>
        <v>1.5470847680098876</v>
      </c>
      <c r="L90" t="str">
        <f t="shared" si="101"/>
        <v>33 Protective service occupations</v>
      </c>
      <c r="M90" s="18">
        <f t="shared" si="102"/>
        <v>-1.1457039382147371</v>
      </c>
      <c r="N90" s="18">
        <f t="shared" si="102"/>
        <v>4.2821398074769812</v>
      </c>
      <c r="O90" s="18">
        <f t="shared" si="102"/>
        <v>-3.0284738912398357</v>
      </c>
      <c r="P90" s="18">
        <f t="shared" si="102"/>
        <v>4.2463124898550753E-2</v>
      </c>
      <c r="Q90" s="18">
        <f t="shared" si="103"/>
        <v>-0.99183896330080623</v>
      </c>
      <c r="S90" s="18">
        <f t="shared" si="104"/>
        <v>-0.99183896330080623</v>
      </c>
      <c r="T90" s="18">
        <f t="shared" si="105"/>
        <v>1.4637958521531713</v>
      </c>
      <c r="U90" s="18">
        <f t="shared" si="106"/>
        <v>0.66592416567698987</v>
      </c>
      <c r="W90" t="str">
        <f t="shared" si="107"/>
        <v>33 Protective service occupations</v>
      </c>
      <c r="X90" s="18">
        <f t="shared" si="108"/>
        <v>3.2163469053001714</v>
      </c>
      <c r="Y90" s="18">
        <f t="shared" si="108"/>
        <v>10.421211379352435</v>
      </c>
      <c r="Z90" s="18">
        <f t="shared" si="108"/>
        <v>-2.3466050080138467</v>
      </c>
      <c r="AA90" s="18">
        <f t="shared" si="108"/>
        <v>2.9503230652070833</v>
      </c>
      <c r="AB90" s="18">
        <f t="shared" si="109"/>
        <v>1.1535024102477198</v>
      </c>
      <c r="AD90" s="18">
        <f t="shared" si="110"/>
        <v>1.1535024102477198</v>
      </c>
      <c r="AE90" s="18">
        <f t="shared" si="111"/>
        <v>2.6724908811912362</v>
      </c>
      <c r="AF90" s="18">
        <f t="shared" si="112"/>
        <v>3.4903619634310434</v>
      </c>
    </row>
    <row r="91" spans="1:32" x14ac:dyDescent="0.25">
      <c r="A91" t="str">
        <f t="shared" si="95"/>
        <v>34 Culture, media and sports occupations</v>
      </c>
      <c r="B91" s="18">
        <f t="shared" si="96"/>
        <v>-0.18747154936609167</v>
      </c>
      <c r="C91" s="18">
        <f t="shared" si="96"/>
        <v>3.0103116288981768</v>
      </c>
      <c r="D91" s="18">
        <f t="shared" si="96"/>
        <v>-2.9551296495780921</v>
      </c>
      <c r="E91" s="18">
        <f t="shared" si="96"/>
        <v>0.89609841967528414</v>
      </c>
      <c r="F91" s="18">
        <f t="shared" si="97"/>
        <v>-0.40433329111217997</v>
      </c>
      <c r="H91" s="18">
        <f t="shared" si="98"/>
        <v>-0.40433329111217997</v>
      </c>
      <c r="I91" s="18">
        <f t="shared" si="99"/>
        <v>2.3383788741752287</v>
      </c>
      <c r="J91" s="18">
        <f t="shared" si="100"/>
        <v>2.048279404007447</v>
      </c>
      <c r="L91" t="str">
        <f t="shared" si="101"/>
        <v>34 Culture, media and sports occupations</v>
      </c>
      <c r="M91" s="18">
        <f t="shared" si="102"/>
        <v>-0.10838112534133915</v>
      </c>
      <c r="N91" s="18">
        <f t="shared" si="102"/>
        <v>1.030032961482652</v>
      </c>
      <c r="O91" s="18">
        <f t="shared" si="102"/>
        <v>-3.1123833287891478</v>
      </c>
      <c r="P91" s="18">
        <f t="shared" si="102"/>
        <v>0.64592005120325258</v>
      </c>
      <c r="Q91" s="18">
        <f t="shared" si="103"/>
        <v>-0.62277306753838468</v>
      </c>
      <c r="S91" s="18">
        <f t="shared" si="104"/>
        <v>-0.62277306753838468</v>
      </c>
      <c r="T91" s="18">
        <f t="shared" si="105"/>
        <v>2.0443468238622975</v>
      </c>
      <c r="U91" s="18">
        <f t="shared" si="106"/>
        <v>1.5806738549974053</v>
      </c>
      <c r="W91" t="str">
        <f t="shared" si="107"/>
        <v>34 Culture, media and sports occupations</v>
      </c>
      <c r="X91" s="18">
        <f t="shared" si="108"/>
        <v>-0.30651287120598836</v>
      </c>
      <c r="Y91" s="18">
        <f t="shared" si="108"/>
        <v>6.0057198865526296</v>
      </c>
      <c r="Z91" s="18">
        <f>IF(AND(AA$6-Z$6 &lt;&gt; 0,Z17&lt;&gt;0,AA17&lt;&gt;0),(EXP(LN(AA17/Z17)/(AA$6-Z$6))-1)*100,0)</f>
        <v>-2.7302080773271009</v>
      </c>
      <c r="AA91" s="18">
        <f t="shared" si="108"/>
        <v>1.240473226622707</v>
      </c>
      <c r="AB91" s="18">
        <f t="shared" si="109"/>
        <v>-0.10077786217630447</v>
      </c>
      <c r="AD91" s="18">
        <f t="shared" si="110"/>
        <v>-0.10077786217630447</v>
      </c>
      <c r="AE91" s="18">
        <f t="shared" si="111"/>
        <v>2.7424786111483135</v>
      </c>
      <c r="AF91" s="18">
        <f t="shared" si="112"/>
        <v>2.6736388685449031</v>
      </c>
    </row>
    <row r="92" spans="1:32" x14ac:dyDescent="0.25">
      <c r="A92" t="str">
        <f t="shared" si="95"/>
        <v>35 Business and public service associate professionals</v>
      </c>
      <c r="B92" s="18">
        <f t="shared" si="96"/>
        <v>0.27238861763787536</v>
      </c>
      <c r="C92" s="18">
        <f t="shared" si="96"/>
        <v>3.364434303052688</v>
      </c>
      <c r="D92" s="18">
        <f t="shared" si="96"/>
        <v>4.4152660554086509E-2</v>
      </c>
      <c r="E92" s="18">
        <f t="shared" si="96"/>
        <v>0.52579838303723481</v>
      </c>
      <c r="F92" s="18">
        <f t="shared" si="97"/>
        <v>0.36499271392635979</v>
      </c>
      <c r="H92" s="18">
        <f t="shared" si="98"/>
        <v>0.36499271392635979</v>
      </c>
      <c r="I92" s="18">
        <f t="shared" si="99"/>
        <v>2.5801844835433796</v>
      </c>
      <c r="J92" s="18">
        <f t="shared" si="100"/>
        <v>2.8377431798494612</v>
      </c>
      <c r="L92" t="str">
        <f t="shared" si="101"/>
        <v>35 Business and public service associate professionals</v>
      </c>
      <c r="M92" s="18">
        <f t="shared" si="102"/>
        <v>-0.57303733731663975</v>
      </c>
      <c r="N92" s="18">
        <f t="shared" si="102"/>
        <v>4.1615832882918813</v>
      </c>
      <c r="O92" s="18">
        <f t="shared" si="102"/>
        <v>-0.13145766236517531</v>
      </c>
      <c r="P92" s="18">
        <f t="shared" si="102"/>
        <v>9.9281786277649609E-2</v>
      </c>
      <c r="Q92" s="18">
        <f t="shared" si="103"/>
        <v>2.2309463279701625E-2</v>
      </c>
      <c r="S92" s="18">
        <f t="shared" si="104"/>
        <v>2.2309463279701625E-2</v>
      </c>
      <c r="T92" s="18">
        <f t="shared" si="105"/>
        <v>2.1814034053103226</v>
      </c>
      <c r="U92" s="18">
        <f t="shared" si="106"/>
        <v>2.1979028919796306</v>
      </c>
      <c r="W92" t="str">
        <f t="shared" si="107"/>
        <v>35 Business and public service associate professionals</v>
      </c>
      <c r="X92" s="18">
        <f t="shared" si="108"/>
        <v>1.3234461388077712</v>
      </c>
      <c r="Y92" s="18">
        <f t="shared" si="108"/>
        <v>2.4190987098611005</v>
      </c>
      <c r="Z92" s="18">
        <f t="shared" si="108"/>
        <v>0.2543241488362602</v>
      </c>
      <c r="AA92" s="18">
        <f t="shared" si="108"/>
        <v>1.0102199225215269</v>
      </c>
      <c r="AB92" s="18">
        <f t="shared" si="109"/>
        <v>0.75762352299144631</v>
      </c>
      <c r="AD92" s="18">
        <f t="shared" si="110"/>
        <v>0.75762352299144631</v>
      </c>
      <c r="AE92" s="18">
        <f t="shared" si="111"/>
        <v>3.0339493077815805</v>
      </c>
      <c r="AF92" s="18">
        <f t="shared" si="112"/>
        <v>3.5419393652701192</v>
      </c>
    </row>
    <row r="93" spans="1:32" x14ac:dyDescent="0.25">
      <c r="A93" t="str">
        <f t="shared" si="95"/>
        <v>41 Administrative occupations</v>
      </c>
      <c r="B93" s="18">
        <f t="shared" si="96"/>
        <v>-2.0858141688019138</v>
      </c>
      <c r="C93" s="18">
        <f t="shared" si="96"/>
        <v>4.5010701401460018</v>
      </c>
      <c r="D93" s="18">
        <f t="shared" si="96"/>
        <v>0.72514798014069459</v>
      </c>
      <c r="E93" s="18">
        <f t="shared" si="96"/>
        <v>-0.16771556923627085</v>
      </c>
      <c r="F93" s="18">
        <f t="shared" si="97"/>
        <v>0.12902272457058217</v>
      </c>
      <c r="H93" s="18">
        <f t="shared" si="98"/>
        <v>0.12902272457058217</v>
      </c>
      <c r="I93" s="18">
        <f t="shared" si="99"/>
        <v>2.8014693041727767</v>
      </c>
      <c r="J93" s="18">
        <f t="shared" si="100"/>
        <v>2.8893717515916295</v>
      </c>
      <c r="L93" t="str">
        <f t="shared" si="101"/>
        <v>41 Administrative occupations</v>
      </c>
      <c r="M93" s="18">
        <f t="shared" si="102"/>
        <v>-3.3888477044755394</v>
      </c>
      <c r="N93" s="18">
        <f t="shared" si="102"/>
        <v>19.31569752850617</v>
      </c>
      <c r="O93" s="18">
        <f t="shared" si="102"/>
        <v>1.5828882561924162</v>
      </c>
      <c r="P93" s="18">
        <f t="shared" si="102"/>
        <v>1.1341010641637617</v>
      </c>
      <c r="Q93" s="18">
        <f t="shared" si="103"/>
        <v>1.283476059456401</v>
      </c>
      <c r="S93" s="18">
        <f t="shared" si="104"/>
        <v>1.283476059456401</v>
      </c>
      <c r="T93" s="18">
        <f t="shared" si="105"/>
        <v>2.3902360598418104</v>
      </c>
      <c r="U93" s="18">
        <f t="shared" si="106"/>
        <v>3.3362458892174596</v>
      </c>
      <c r="W93" t="str">
        <f t="shared" si="107"/>
        <v>41 Administrative occupations</v>
      </c>
      <c r="X93" s="18">
        <f t="shared" si="108"/>
        <v>-1.4962777747819067</v>
      </c>
      <c r="Y93" s="18">
        <f t="shared" si="108"/>
        <v>-1.8836721807512391</v>
      </c>
      <c r="Z93" s="18">
        <f t="shared" si="108"/>
        <v>0.26368099364975084</v>
      </c>
      <c r="AA93" s="18">
        <f t="shared" si="108"/>
        <v>-0.9686364428255434</v>
      </c>
      <c r="AB93" s="18">
        <f t="shared" si="109"/>
        <v>-0.55955612621606532</v>
      </c>
      <c r="AD93" s="18">
        <f t="shared" si="110"/>
        <v>-0.55955612621606532</v>
      </c>
      <c r="AE93" s="18">
        <f t="shared" si="111"/>
        <v>3.0081287477458751</v>
      </c>
      <c r="AF93" s="18">
        <f t="shared" si="112"/>
        <v>2.6438526401896034</v>
      </c>
    </row>
    <row r="94" spans="1:32" x14ac:dyDescent="0.25">
      <c r="A94" t="str">
        <f t="shared" si="95"/>
        <v>42 Secretarial and related occupations</v>
      </c>
      <c r="B94" s="18">
        <f t="shared" si="96"/>
        <v>-3.6107913934231406</v>
      </c>
      <c r="C94" s="18">
        <f t="shared" si="96"/>
        <v>-2.2594301147462414</v>
      </c>
      <c r="D94" s="18">
        <f t="shared" si="96"/>
        <v>-1.5837709631233654</v>
      </c>
      <c r="E94" s="18">
        <f t="shared" si="96"/>
        <v>-4.4986197690612295</v>
      </c>
      <c r="F94" s="18">
        <f t="shared" si="97"/>
        <v>-3.5367242946928501</v>
      </c>
      <c r="H94" s="18">
        <f t="shared" si="98"/>
        <v>-3.5367242946928501</v>
      </c>
      <c r="I94" s="18">
        <f t="shared" si="99"/>
        <v>2.4158564652668968</v>
      </c>
      <c r="J94" s="18">
        <f t="shared" si="100"/>
        <v>8.7767756041556844E-2</v>
      </c>
      <c r="L94" t="str">
        <f t="shared" si="101"/>
        <v>42 Secretarial and related occupations</v>
      </c>
      <c r="M94" s="18">
        <f t="shared" si="102"/>
        <v>-8.2106714749163423</v>
      </c>
      <c r="N94" s="18">
        <f t="shared" si="102"/>
        <v>2.6185796379296411</v>
      </c>
      <c r="O94" s="18">
        <f t="shared" si="102"/>
        <v>-2.6085184015272489</v>
      </c>
      <c r="P94" s="18">
        <f t="shared" si="102"/>
        <v>1.3989085484579888</v>
      </c>
      <c r="Q94" s="18">
        <f t="shared" si="103"/>
        <v>4.5105019016000725E-2</v>
      </c>
      <c r="S94" s="18">
        <f t="shared" si="104"/>
        <v>4.5105019016000725E-2</v>
      </c>
      <c r="T94" s="18">
        <f t="shared" si="105"/>
        <v>1.7993742891343256</v>
      </c>
      <c r="U94" s="18">
        <f t="shared" si="106"/>
        <v>1.8345396138130132</v>
      </c>
      <c r="W94" t="str">
        <f t="shared" si="107"/>
        <v>42 Secretarial and related occupations</v>
      </c>
      <c r="X94" s="18">
        <f t="shared" si="108"/>
        <v>-3.1929595855257675</v>
      </c>
      <c r="Y94" s="18">
        <f t="shared" si="108"/>
        <v>-2.6467475673394358</v>
      </c>
      <c r="Z94" s="18">
        <f t="shared" si="108"/>
        <v>-1.4999152264003168</v>
      </c>
      <c r="AA94" s="18">
        <f t="shared" si="108"/>
        <v>-5.1373923033953384</v>
      </c>
      <c r="AB94" s="18">
        <f t="shared" si="109"/>
        <v>-3.940075562194234</v>
      </c>
      <c r="AD94" s="18">
        <f t="shared" si="110"/>
        <v>-3.940075562194234</v>
      </c>
      <c r="AE94" s="18">
        <f t="shared" si="111"/>
        <v>2.465168080879665</v>
      </c>
      <c r="AF94" s="18">
        <f t="shared" si="112"/>
        <v>-7.9659390168429489E-2</v>
      </c>
    </row>
    <row r="95" spans="1:32" x14ac:dyDescent="0.25">
      <c r="A95" t="str">
        <f t="shared" si="95"/>
        <v>51 Skilled agricultural and related trades</v>
      </c>
      <c r="B95" s="18">
        <f t="shared" si="96"/>
        <v>-3.1768746082801003</v>
      </c>
      <c r="C95" s="18">
        <f t="shared" si="96"/>
        <v>-16.115367966831041</v>
      </c>
      <c r="D95" s="18">
        <f t="shared" si="96"/>
        <v>-9.2963988318128798E-2</v>
      </c>
      <c r="E95" s="18">
        <f t="shared" si="96"/>
        <v>1.0692981736385443</v>
      </c>
      <c r="F95" s="18">
        <f t="shared" si="97"/>
        <v>0.6803828236388032</v>
      </c>
      <c r="H95" s="18">
        <f t="shared" si="98"/>
        <v>0.6803828236388032</v>
      </c>
      <c r="I95" s="18">
        <f t="shared" si="99"/>
        <v>3.018456231198785</v>
      </c>
      <c r="J95" s="18">
        <f t="shared" si="100"/>
        <v>3.4747337362216024</v>
      </c>
      <c r="L95" t="str">
        <f t="shared" si="101"/>
        <v>51 Skilled agricultural and related trades</v>
      </c>
      <c r="M95" s="18">
        <f t="shared" si="102"/>
        <v>-3.4363525368120262</v>
      </c>
      <c r="N95" s="18">
        <f t="shared" si="102"/>
        <v>-19.010329810471028</v>
      </c>
      <c r="O95" s="18">
        <f t="shared" si="102"/>
        <v>-0.50870939091031131</v>
      </c>
      <c r="P95" s="18">
        <f t="shared" si="102"/>
        <v>0.90279458547157798</v>
      </c>
      <c r="Q95" s="18">
        <f t="shared" si="103"/>
        <v>0.43008214084976348</v>
      </c>
      <c r="S95" s="18">
        <f t="shared" si="104"/>
        <v>0.43008214084976348</v>
      </c>
      <c r="T95" s="18">
        <f t="shared" si="105"/>
        <v>2.8017197440692865</v>
      </c>
      <c r="U95" s="18">
        <f t="shared" si="106"/>
        <v>3.0967869311642415</v>
      </c>
      <c r="W95" t="str">
        <f t="shared" si="107"/>
        <v>51 Skilled agricultural and related trades</v>
      </c>
      <c r="X95" s="18">
        <f t="shared" si="108"/>
        <v>-1.6395242923796682</v>
      </c>
      <c r="Y95" s="18">
        <f t="shared" si="108"/>
        <v>0.2664942720617125</v>
      </c>
      <c r="Z95" s="18">
        <f t="shared" si="108"/>
        <v>1.7242629016258615</v>
      </c>
      <c r="AA95" s="18">
        <f t="shared" si="108"/>
        <v>1.7258566660028229</v>
      </c>
      <c r="AB95" s="18">
        <f t="shared" si="109"/>
        <v>1.7253254084360403</v>
      </c>
      <c r="AD95" s="18">
        <f t="shared" si="110"/>
        <v>1.7253254084360403</v>
      </c>
      <c r="AE95" s="18">
        <f t="shared" si="111"/>
        <v>3.935283843647186</v>
      </c>
      <c r="AF95" s="18">
        <f t="shared" si="112"/>
        <v>4.9925731484673053</v>
      </c>
    </row>
    <row r="96" spans="1:32" x14ac:dyDescent="0.25">
      <c r="A96" t="str">
        <f t="shared" si="95"/>
        <v>52 Skilled metal, electrical and electronic trades</v>
      </c>
      <c r="B96" s="18">
        <f t="shared" si="96"/>
        <v>-0.24461951394744164</v>
      </c>
      <c r="C96" s="18">
        <f t="shared" si="96"/>
        <v>-18.017486150227302</v>
      </c>
      <c r="D96" s="18">
        <f t="shared" si="96"/>
        <v>-0.5331607328017407</v>
      </c>
      <c r="E96" s="18">
        <f t="shared" si="96"/>
        <v>-0.81744418681882758</v>
      </c>
      <c r="F96" s="18">
        <f t="shared" si="97"/>
        <v>-0.72277342843283243</v>
      </c>
      <c r="H96" s="18">
        <f t="shared" si="98"/>
        <v>-0.72277342843283243</v>
      </c>
      <c r="I96" s="18">
        <f t="shared" si="99"/>
        <v>2.0546121151125529</v>
      </c>
      <c r="J96" s="18">
        <f t="shared" si="100"/>
        <v>1.5183077456427885</v>
      </c>
      <c r="L96" t="str">
        <f t="shared" si="101"/>
        <v>52 Skilled metal, electrical and electronic trades</v>
      </c>
      <c r="M96" s="18">
        <f t="shared" si="102"/>
        <v>-0.44635368144233523</v>
      </c>
      <c r="N96" s="18">
        <f t="shared" si="102"/>
        <v>-17.909841621303379</v>
      </c>
      <c r="O96" s="18">
        <f t="shared" si="102"/>
        <v>-0.80234870000438496</v>
      </c>
      <c r="P96" s="18">
        <f t="shared" si="102"/>
        <v>-0.91208398531460455</v>
      </c>
      <c r="Q96" s="18">
        <f t="shared" si="103"/>
        <v>-0.87551905154897858</v>
      </c>
      <c r="S96" s="18">
        <f t="shared" si="104"/>
        <v>-0.87551905154897858</v>
      </c>
      <c r="T96" s="18">
        <f t="shared" si="105"/>
        <v>1.996764305467158</v>
      </c>
      <c r="U96" s="18">
        <f t="shared" si="106"/>
        <v>1.343636653193836</v>
      </c>
      <c r="W96" t="str">
        <f t="shared" si="107"/>
        <v>52 Skilled metal, electrical and electronic trades</v>
      </c>
      <c r="X96" s="18">
        <f t="shared" si="108"/>
        <v>12.622111858112461</v>
      </c>
      <c r="Y96" s="18">
        <f t="shared" si="108"/>
        <v>-23.107863841282295</v>
      </c>
      <c r="Z96" s="18">
        <f t="shared" si="108"/>
        <v>10.334733162761033</v>
      </c>
      <c r="AA96" s="18">
        <f t="shared" si="108"/>
        <v>1.6754593201871115</v>
      </c>
      <c r="AB96" s="18">
        <f t="shared" si="109"/>
        <v>4.4836121433426301</v>
      </c>
      <c r="AD96" s="18">
        <f t="shared" si="110"/>
        <v>4.4836121433426301</v>
      </c>
      <c r="AE96" s="18">
        <f t="shared" si="111"/>
        <v>4.5054149332628635</v>
      </c>
      <c r="AF96" s="18">
        <f t="shared" si="112"/>
        <v>7.2754766739670629</v>
      </c>
    </row>
    <row r="97" spans="1:32" x14ac:dyDescent="0.25">
      <c r="A97" t="str">
        <f t="shared" si="95"/>
        <v>53 Skilled construction and building trades</v>
      </c>
      <c r="B97" s="18">
        <f t="shared" si="96"/>
        <v>3.3897609176739563</v>
      </c>
      <c r="C97" s="18">
        <f t="shared" si="96"/>
        <v>-18.11698135541614</v>
      </c>
      <c r="D97" s="18">
        <f t="shared" si="96"/>
        <v>-0.76746755060049798</v>
      </c>
      <c r="E97" s="18">
        <f t="shared" si="96"/>
        <v>-1.5363216021304082</v>
      </c>
      <c r="F97" s="18">
        <f t="shared" si="97"/>
        <v>-1.2807011061727547</v>
      </c>
      <c r="H97" s="18">
        <f t="shared" si="98"/>
        <v>-1.2807011061727547</v>
      </c>
      <c r="I97" s="18">
        <f t="shared" si="99"/>
        <v>2.2086984447926783</v>
      </c>
      <c r="J97" s="18">
        <f t="shared" si="100"/>
        <v>1.2898848040112654</v>
      </c>
      <c r="L97" t="str">
        <f t="shared" si="101"/>
        <v>53 Skilled construction and building trades</v>
      </c>
      <c r="M97" s="18">
        <f t="shared" si="102"/>
        <v>3.4476945948675342</v>
      </c>
      <c r="N97" s="18">
        <f t="shared" si="102"/>
        <v>-18.570603777131232</v>
      </c>
      <c r="O97" s="18">
        <f t="shared" si="102"/>
        <v>-0.63714619883237233</v>
      </c>
      <c r="P97" s="18">
        <f t="shared" si="102"/>
        <v>-1.5597852648980615</v>
      </c>
      <c r="Q97" s="18">
        <f t="shared" si="103"/>
        <v>-1.2531947720970216</v>
      </c>
      <c r="S97" s="18">
        <f t="shared" si="104"/>
        <v>-1.2531947720970216</v>
      </c>
      <c r="T97" s="18">
        <f t="shared" si="105"/>
        <v>2.214094442404213</v>
      </c>
      <c r="U97" s="18">
        <f t="shared" si="106"/>
        <v>1.3151961173786919</v>
      </c>
      <c r="W97" t="str">
        <f t="shared" si="107"/>
        <v>53 Skilled construction and building trades</v>
      </c>
      <c r="X97" s="18">
        <f t="shared" si="108"/>
        <v>-1.2973040547697101</v>
      </c>
      <c r="Y97" s="18">
        <f t="shared" si="108"/>
        <v>23.209445697629082</v>
      </c>
      <c r="Z97" s="18">
        <f t="shared" si="108"/>
        <v>-10.297876919908122</v>
      </c>
      <c r="AA97" s="18">
        <f t="shared" si="108"/>
        <v>0.59672248132343064</v>
      </c>
      <c r="AB97" s="18">
        <f t="shared" si="109"/>
        <v>-3.1744153008046005</v>
      </c>
      <c r="AD97" s="18">
        <f t="shared" si="110"/>
        <v>-3.1744153008046005</v>
      </c>
      <c r="AE97" s="18">
        <f t="shared" si="111"/>
        <v>1.8762188000802205</v>
      </c>
      <c r="AF97" s="18">
        <f t="shared" si="112"/>
        <v>-0.42606795334740877</v>
      </c>
    </row>
    <row r="98" spans="1:32" x14ac:dyDescent="0.25">
      <c r="A98" t="str">
        <f t="shared" si="95"/>
        <v>54 Textiles, printing and other skilled trades</v>
      </c>
      <c r="B98" s="18">
        <f t="shared" si="96"/>
        <v>-3.3242454604982097</v>
      </c>
      <c r="C98" s="18">
        <f t="shared" si="96"/>
        <v>-1.3817368318814527</v>
      </c>
      <c r="D98" s="18">
        <f t="shared" si="96"/>
        <v>0.21333696076419884</v>
      </c>
      <c r="E98" s="18">
        <f t="shared" si="96"/>
        <v>-0.52719033089673184</v>
      </c>
      <c r="F98" s="18">
        <f t="shared" si="97"/>
        <v>-0.28095792058610014</v>
      </c>
      <c r="H98" s="18">
        <f t="shared" si="98"/>
        <v>-0.28095792058610014</v>
      </c>
      <c r="I98" s="18">
        <f t="shared" si="99"/>
        <v>2.3672804786869728</v>
      </c>
      <c r="J98" s="18">
        <f t="shared" si="100"/>
        <v>2.1659859957970262</v>
      </c>
      <c r="L98" t="str">
        <f t="shared" si="101"/>
        <v>54 Textiles, printing and other skilled trades</v>
      </c>
      <c r="M98" s="18">
        <f t="shared" si="102"/>
        <v>-3.4723769356015177</v>
      </c>
      <c r="N98" s="18">
        <f t="shared" si="102"/>
        <v>-10.060764919315934</v>
      </c>
      <c r="O98" s="18">
        <f t="shared" si="102"/>
        <v>0.44481522501538251</v>
      </c>
      <c r="P98" s="18">
        <f t="shared" si="102"/>
        <v>-0.76649703476574516</v>
      </c>
      <c r="Q98" s="18">
        <f t="shared" si="103"/>
        <v>-0.36435813104567227</v>
      </c>
      <c r="S98" s="18">
        <f t="shared" si="104"/>
        <v>-0.36435813104567227</v>
      </c>
      <c r="T98" s="18">
        <f t="shared" si="105"/>
        <v>1.8572389859995875</v>
      </c>
      <c r="U98" s="18">
        <f t="shared" si="106"/>
        <v>1.5773844357490852</v>
      </c>
      <c r="W98" t="str">
        <f t="shared" si="107"/>
        <v>54 Textiles, printing and other skilled trades</v>
      </c>
      <c r="X98" s="18">
        <f t="shared" si="108"/>
        <v>-3.0434215431579759</v>
      </c>
      <c r="Y98" s="18">
        <f t="shared" si="108"/>
        <v>14.890427158474729</v>
      </c>
      <c r="Z98" s="18">
        <f t="shared" si="108"/>
        <v>-0.13032761316614794</v>
      </c>
      <c r="AA98" s="18">
        <f t="shared" si="108"/>
        <v>-0.17527126183447539</v>
      </c>
      <c r="AB98" s="18">
        <f t="shared" si="109"/>
        <v>-0.16029229335854378</v>
      </c>
      <c r="AD98" s="18">
        <f t="shared" si="110"/>
        <v>-0.16029229335854378</v>
      </c>
      <c r="AE98" s="18">
        <f t="shared" si="111"/>
        <v>3.0568359153503977</v>
      </c>
      <c r="AF98" s="18">
        <f t="shared" si="112"/>
        <v>2.9521091668462951</v>
      </c>
    </row>
    <row r="99" spans="1:32" x14ac:dyDescent="0.25">
      <c r="A99" t="str">
        <f t="shared" si="95"/>
        <v>61 Caring personal service occupations</v>
      </c>
      <c r="B99" s="18">
        <f t="shared" si="96"/>
        <v>1.5911233789775325</v>
      </c>
      <c r="C99" s="18">
        <f t="shared" si="96"/>
        <v>-3.2946756072271932</v>
      </c>
      <c r="D99" s="18">
        <f t="shared" si="96"/>
        <v>0.87416262505255471</v>
      </c>
      <c r="E99" s="18">
        <f t="shared" si="96"/>
        <v>0.84840468771609778</v>
      </c>
      <c r="F99" s="18">
        <f t="shared" si="97"/>
        <v>0.85698993594331974</v>
      </c>
      <c r="H99" s="18">
        <f t="shared" si="98"/>
        <v>0.85698993594331974</v>
      </c>
      <c r="I99" s="18">
        <f t="shared" si="99"/>
        <v>3.2146195911036068</v>
      </c>
      <c r="J99" s="18">
        <f t="shared" si="100"/>
        <v>3.7772079089427146</v>
      </c>
      <c r="L99" t="str">
        <f t="shared" si="101"/>
        <v>61 Caring personal service occupations</v>
      </c>
      <c r="M99" s="18">
        <f t="shared" si="102"/>
        <v>1.1406224810681209</v>
      </c>
      <c r="N99" s="18">
        <f t="shared" si="102"/>
        <v>-4.3801538165890381</v>
      </c>
      <c r="O99" s="18">
        <f t="shared" si="102"/>
        <v>3.474731905306272</v>
      </c>
      <c r="P99" s="18">
        <f t="shared" si="102"/>
        <v>1.2886476663975799</v>
      </c>
      <c r="Q99" s="18">
        <f t="shared" si="103"/>
        <v>2.012161976642779</v>
      </c>
      <c r="S99" s="18">
        <f t="shared" si="104"/>
        <v>2.012161976642779</v>
      </c>
      <c r="T99" s="18">
        <f t="shared" si="105"/>
        <v>2.8980267018085426</v>
      </c>
      <c r="U99" s="18">
        <f t="shared" si="106"/>
        <v>4.3103673304876189</v>
      </c>
      <c r="W99" t="str">
        <f t="shared" si="107"/>
        <v>61 Caring personal service occupations</v>
      </c>
      <c r="X99" s="18">
        <f t="shared" si="108"/>
        <v>1.6464274061344764</v>
      </c>
      <c r="Y99" s="18">
        <f t="shared" si="108"/>
        <v>-3.163074154647294</v>
      </c>
      <c r="Z99" s="18">
        <f t="shared" si="108"/>
        <v>0.54421411416385457</v>
      </c>
      <c r="AA99" s="18">
        <f t="shared" si="108"/>
        <v>0.78617787125294658</v>
      </c>
      <c r="AB99" s="18">
        <f t="shared" si="109"/>
        <v>0.70545865514246575</v>
      </c>
      <c r="AD99" s="18">
        <f t="shared" si="110"/>
        <v>0.70545865514246575</v>
      </c>
      <c r="AE99" s="18">
        <f t="shared" si="111"/>
        <v>3.2516242654331506</v>
      </c>
      <c r="AF99" s="18">
        <f t="shared" si="112"/>
        <v>3.710736517031088</v>
      </c>
    </row>
    <row r="100" spans="1:32" x14ac:dyDescent="0.25">
      <c r="A100" t="str">
        <f t="shared" si="95"/>
        <v>62 Leisure, travel and related personal service occupations</v>
      </c>
      <c r="B100" s="18">
        <f t="shared" si="96"/>
        <v>-3.3280468770378491</v>
      </c>
      <c r="C100" s="18">
        <f t="shared" si="96"/>
        <v>-8.43974979631823</v>
      </c>
      <c r="D100" s="18">
        <f t="shared" si="96"/>
        <v>-1.5748271236748157</v>
      </c>
      <c r="E100" s="18">
        <f t="shared" si="96"/>
        <v>-8.0715107663675845E-2</v>
      </c>
      <c r="F100" s="18">
        <f t="shared" si="97"/>
        <v>-0.58125569202476246</v>
      </c>
      <c r="H100" s="18">
        <f t="shared" si="98"/>
        <v>-0.58125569202476246</v>
      </c>
      <c r="I100" s="18">
        <f t="shared" si="99"/>
        <v>2.6226706020711976</v>
      </c>
      <c r="J100" s="18">
        <f t="shared" si="100"/>
        <v>2.2234958932797699</v>
      </c>
      <c r="L100" t="str">
        <f t="shared" si="101"/>
        <v>62 Leisure, travel and related personal service occupations</v>
      </c>
      <c r="M100" s="18">
        <f t="shared" si="102"/>
        <v>-1.6073141776444144</v>
      </c>
      <c r="N100" s="18">
        <f t="shared" si="102"/>
        <v>-3.7627231538109429</v>
      </c>
      <c r="O100" s="18">
        <f t="shared" si="102"/>
        <v>-0.86762989517630285</v>
      </c>
      <c r="P100" s="18">
        <f t="shared" si="102"/>
        <v>0.25702131933413863</v>
      </c>
      <c r="Q100" s="18">
        <f t="shared" si="103"/>
        <v>-0.11927299594571839</v>
      </c>
      <c r="S100" s="18">
        <f t="shared" si="104"/>
        <v>-0.11927299594571839</v>
      </c>
      <c r="T100" s="18">
        <f t="shared" si="105"/>
        <v>2.3675005711881747</v>
      </c>
      <c r="U100" s="18">
        <f t="shared" si="106"/>
        <v>2.281758311545623</v>
      </c>
      <c r="W100" t="str">
        <f t="shared" si="107"/>
        <v>62 Leisure, travel and related personal service occupations</v>
      </c>
      <c r="X100" s="18">
        <f t="shared" si="108"/>
        <v>-3.9761742737010275</v>
      </c>
      <c r="Y100" s="18">
        <f t="shared" si="108"/>
        <v>-10.311742420026349</v>
      </c>
      <c r="Z100" s="18">
        <f t="shared" si="108"/>
        <v>-1.8848971364603173</v>
      </c>
      <c r="AA100" s="18">
        <f t="shared" si="108"/>
        <v>-0.23688078149982639</v>
      </c>
      <c r="AB100" s="18">
        <f t="shared" si="109"/>
        <v>-0.78927253300933309</v>
      </c>
      <c r="AD100" s="18">
        <f t="shared" si="110"/>
        <v>-0.78927253300933309</v>
      </c>
      <c r="AE100" s="18">
        <f t="shared" si="111"/>
        <v>2.7295904229523105</v>
      </c>
      <c r="AF100" s="18">
        <f t="shared" si="112"/>
        <v>2.1983300024623009</v>
      </c>
    </row>
    <row r="101" spans="1:32" x14ac:dyDescent="0.25">
      <c r="A101" t="str">
        <f t="shared" si="95"/>
        <v>63 Community and civil enforcement occupations</v>
      </c>
      <c r="B101" s="18">
        <f t="shared" si="96"/>
        <v>-4.7628083290662921</v>
      </c>
      <c r="C101" s="18">
        <f t="shared" si="96"/>
        <v>21.627009712358291</v>
      </c>
      <c r="D101" s="18">
        <f t="shared" si="96"/>
        <v>-5.2734162135968372</v>
      </c>
      <c r="E101" s="18">
        <f t="shared" si="96"/>
        <v>0.95971005104840135</v>
      </c>
      <c r="F101" s="18">
        <f t="shared" si="97"/>
        <v>-1.1622869012287262</v>
      </c>
      <c r="H101" s="18">
        <f t="shared" si="98"/>
        <v>-1.1622869012287262</v>
      </c>
      <c r="I101" s="18">
        <f t="shared" si="99"/>
        <v>2.2791518866453142</v>
      </c>
      <c r="J101" s="18">
        <f t="shared" si="100"/>
        <v>1.4517187143774146</v>
      </c>
      <c r="L101" t="str">
        <f t="shared" si="101"/>
        <v>63 Community and civil enforcement occupations</v>
      </c>
      <c r="M101" s="18">
        <f t="shared" si="102"/>
        <v>-8.3514798837400761</v>
      </c>
      <c r="N101" s="18">
        <f t="shared" si="102"/>
        <v>40.790826385569346</v>
      </c>
      <c r="O101" s="18">
        <f t="shared" si="102"/>
        <v>-10.027411690448284</v>
      </c>
      <c r="P101" s="18">
        <f t="shared" si="102"/>
        <v>1.4921372684905787</v>
      </c>
      <c r="Q101" s="18">
        <f t="shared" si="103"/>
        <v>-2.502906240561642</v>
      </c>
      <c r="S101" s="18">
        <f t="shared" si="104"/>
        <v>-2.502906240561642</v>
      </c>
      <c r="T101" s="18">
        <f t="shared" si="105"/>
        <v>1.5834218773109976</v>
      </c>
      <c r="U101" s="18">
        <f t="shared" si="106"/>
        <v>-0.3452238450258438</v>
      </c>
      <c r="W101" t="str">
        <f t="shared" si="107"/>
        <v>63 Community and civil enforcement occupations</v>
      </c>
      <c r="X101" s="18">
        <f t="shared" si="108"/>
        <v>5.3751694836777775</v>
      </c>
      <c r="Y101" s="18">
        <f t="shared" si="108"/>
        <v>-16.773824882960998</v>
      </c>
      <c r="Z101" s="18">
        <f t="shared" si="108"/>
        <v>6.1787313716602288</v>
      </c>
      <c r="AA101" s="18">
        <f t="shared" si="108"/>
        <v>0.12161694831946956</v>
      </c>
      <c r="AB101" s="18">
        <f t="shared" si="109"/>
        <v>2.1012550461583013</v>
      </c>
      <c r="AD101" s="18">
        <f t="shared" si="110"/>
        <v>2.1012550461583013</v>
      </c>
      <c r="AE101" s="18">
        <f t="shared" si="111"/>
        <v>4.2416544400583289</v>
      </c>
      <c r="AF101" s="18">
        <f t="shared" si="112"/>
        <v>5.4946965680466864</v>
      </c>
    </row>
    <row r="102" spans="1:32" x14ac:dyDescent="0.25">
      <c r="A102" t="str">
        <f t="shared" si="95"/>
        <v>71 Sales occupations</v>
      </c>
      <c r="B102" s="18">
        <f t="shared" si="96"/>
        <v>-2.651182269893948</v>
      </c>
      <c r="C102" s="18">
        <f t="shared" si="96"/>
        <v>-1.578970408577518</v>
      </c>
      <c r="D102" s="18">
        <f t="shared" si="96"/>
        <v>-0.69526966492304831</v>
      </c>
      <c r="E102" s="18">
        <f t="shared" si="96"/>
        <v>-0.49005777806445661</v>
      </c>
      <c r="F102" s="18">
        <f t="shared" si="97"/>
        <v>-0.55850881574924793</v>
      </c>
      <c r="H102" s="18">
        <f t="shared" si="98"/>
        <v>-0.55850881574924793</v>
      </c>
      <c r="I102" s="18">
        <f t="shared" si="99"/>
        <v>2.4298932692945474</v>
      </c>
      <c r="J102" s="18">
        <f t="shared" si="100"/>
        <v>2.0355983069996864</v>
      </c>
      <c r="L102" t="str">
        <f t="shared" si="101"/>
        <v>71 Sales occupations</v>
      </c>
      <c r="M102" s="18">
        <f t="shared" si="102"/>
        <v>-1.3394314527234941</v>
      </c>
      <c r="N102" s="18">
        <f t="shared" si="102"/>
        <v>-0.41905090262850386</v>
      </c>
      <c r="O102" s="18">
        <f t="shared" si="102"/>
        <v>-0.37810841862183642</v>
      </c>
      <c r="P102" s="18">
        <f t="shared" si="102"/>
        <v>-0.26074895198656689</v>
      </c>
      <c r="Q102" s="18">
        <f t="shared" si="103"/>
        <v>-0.29988412784954788</v>
      </c>
      <c r="S102" s="18">
        <f t="shared" si="104"/>
        <v>-0.29988412784954788</v>
      </c>
      <c r="T102" s="18">
        <f t="shared" si="105"/>
        <v>1.8573934485609511</v>
      </c>
      <c r="U102" s="18">
        <f t="shared" si="106"/>
        <v>1.6268074266049481</v>
      </c>
      <c r="W102" t="str">
        <f t="shared" si="107"/>
        <v>71 Sales occupations</v>
      </c>
      <c r="X102" s="18">
        <f t="shared" si="108"/>
        <v>-3.5662362165876371</v>
      </c>
      <c r="Y102" s="18">
        <f t="shared" si="108"/>
        <v>-2.4355841378937426</v>
      </c>
      <c r="Z102" s="18">
        <f t="shared" si="108"/>
        <v>-0.93704441743529543</v>
      </c>
      <c r="AA102" s="18">
        <f t="shared" si="108"/>
        <v>-0.67116772312547646</v>
      </c>
      <c r="AB102" s="18">
        <f t="shared" si="109"/>
        <v>-0.75987248133441154</v>
      </c>
      <c r="AD102" s="18">
        <f t="shared" si="110"/>
        <v>-0.75987248133441154</v>
      </c>
      <c r="AE102" s="18">
        <f t="shared" si="111"/>
        <v>2.8336168212629742</v>
      </c>
      <c r="AF102" s="18">
        <f t="shared" si="112"/>
        <v>2.3292513032894702</v>
      </c>
    </row>
    <row r="103" spans="1:32" x14ac:dyDescent="0.25">
      <c r="A103" t="str">
        <f t="shared" si="95"/>
        <v>72 Customer service occupations</v>
      </c>
      <c r="B103" s="18">
        <f t="shared" si="96"/>
        <v>-0.66873433519801795</v>
      </c>
      <c r="C103" s="18">
        <f t="shared" si="96"/>
        <v>2.7220280449508527</v>
      </c>
      <c r="D103" s="18">
        <f t="shared" si="96"/>
        <v>2.2504702823146205</v>
      </c>
      <c r="E103" s="18">
        <f t="shared" si="96"/>
        <v>1.0415785798042476</v>
      </c>
      <c r="F103" s="18">
        <f t="shared" si="97"/>
        <v>1.4429460177838527</v>
      </c>
      <c r="H103" s="18">
        <f t="shared" si="98"/>
        <v>1.4429460177838527</v>
      </c>
      <c r="I103" s="18">
        <f t="shared" si="99"/>
        <v>2.8161244798928786</v>
      </c>
      <c r="J103" s="18">
        <f t="shared" si="100"/>
        <v>3.8268875528502333</v>
      </c>
      <c r="L103" t="str">
        <f t="shared" si="101"/>
        <v>72 Customer service occupations</v>
      </c>
      <c r="M103" s="18">
        <f t="shared" si="102"/>
        <v>-4.8597369156670123</v>
      </c>
      <c r="N103" s="18">
        <f t="shared" si="102"/>
        <v>15.84012027305539</v>
      </c>
      <c r="O103" s="18">
        <f t="shared" si="102"/>
        <v>4.7357595787961504</v>
      </c>
      <c r="P103" s="18">
        <f t="shared" si="102"/>
        <v>1.3290237400153115</v>
      </c>
      <c r="Q103" s="18">
        <f t="shared" si="103"/>
        <v>2.4521086021363159</v>
      </c>
      <c r="S103" s="18">
        <f t="shared" si="104"/>
        <v>2.4521086021363159</v>
      </c>
      <c r="T103" s="18">
        <f t="shared" si="105"/>
        <v>2.4801535240766004</v>
      </c>
      <c r="U103" s="18">
        <f t="shared" si="106"/>
        <v>4.3067123330128743</v>
      </c>
      <c r="W103" t="str">
        <f t="shared" si="107"/>
        <v>72 Customer service occupations</v>
      </c>
      <c r="X103" s="18">
        <f t="shared" si="108"/>
        <v>2.1872105106589546</v>
      </c>
      <c r="Y103" s="18">
        <f t="shared" si="108"/>
        <v>-4.7499549569335775</v>
      </c>
      <c r="Z103" s="18">
        <f t="shared" si="108"/>
        <v>0.37559952002639285</v>
      </c>
      <c r="AA103" s="18">
        <f t="shared" si="108"/>
        <v>0.78929500932136687</v>
      </c>
      <c r="AB103" s="18">
        <f t="shared" si="109"/>
        <v>0.65120741069693011</v>
      </c>
      <c r="AD103" s="18">
        <f t="shared" si="110"/>
        <v>0.65120741069693011</v>
      </c>
      <c r="AE103" s="18">
        <f t="shared" si="111"/>
        <v>3.0401603963363</v>
      </c>
      <c r="AF103" s="18">
        <f t="shared" si="112"/>
        <v>3.4753193528924253</v>
      </c>
    </row>
    <row r="104" spans="1:32" x14ac:dyDescent="0.25">
      <c r="A104" t="str">
        <f t="shared" si="95"/>
        <v>81 Process, plant and machine operatives</v>
      </c>
      <c r="B104" s="18">
        <f t="shared" si="96"/>
        <v>-1.4209112760451226</v>
      </c>
      <c r="C104" s="18">
        <f t="shared" si="96"/>
        <v>-15.430500051384378</v>
      </c>
      <c r="D104" s="18">
        <f t="shared" si="96"/>
        <v>0.64988472179161594</v>
      </c>
      <c r="E104" s="18">
        <f t="shared" si="96"/>
        <v>-0.80466339991328573</v>
      </c>
      <c r="F104" s="18">
        <f t="shared" si="97"/>
        <v>-0.32216476551590878</v>
      </c>
      <c r="H104" s="18">
        <f t="shared" si="98"/>
        <v>-0.32216476551590878</v>
      </c>
      <c r="I104" s="18">
        <f t="shared" si="99"/>
        <v>2.2908224133041166</v>
      </c>
      <c r="J104" s="18">
        <f t="shared" si="100"/>
        <v>2.0577391772211406</v>
      </c>
      <c r="L104" t="str">
        <f t="shared" si="101"/>
        <v>81 Process, plant and machine operatives</v>
      </c>
      <c r="M104" s="18">
        <f t="shared" si="102"/>
        <v>-2.0809040110014165</v>
      </c>
      <c r="N104" s="18">
        <f t="shared" si="102"/>
        <v>-15.944349969173665</v>
      </c>
      <c r="O104" s="18">
        <f t="shared" si="102"/>
        <v>-4.4258471419889034E-2</v>
      </c>
      <c r="P104" s="18">
        <f t="shared" si="102"/>
        <v>-1.0819311431632839</v>
      </c>
      <c r="Q104" s="18">
        <f t="shared" si="103"/>
        <v>-0.73724274364790343</v>
      </c>
      <c r="S104" s="18">
        <f t="shared" si="104"/>
        <v>-0.73724274364790343</v>
      </c>
      <c r="T104" s="18">
        <f t="shared" si="105"/>
        <v>2.0321850195674562</v>
      </c>
      <c r="U104" s="18">
        <f t="shared" si="106"/>
        <v>1.4835427035736481</v>
      </c>
      <c r="W104" t="str">
        <f t="shared" si="107"/>
        <v>81 Process, plant and machine operatives</v>
      </c>
      <c r="X104" s="18">
        <f t="shared" si="108"/>
        <v>1.1632283239829011</v>
      </c>
      <c r="Y104" s="18">
        <f t="shared" si="108"/>
        <v>-13.575284501251673</v>
      </c>
      <c r="Z104" s="18">
        <f t="shared" si="108"/>
        <v>2.9467019795426319</v>
      </c>
      <c r="AA104" s="18">
        <f t="shared" si="108"/>
        <v>-4.6583188169857515E-3</v>
      </c>
      <c r="AB104" s="18">
        <f t="shared" si="109"/>
        <v>0.96960528126170953</v>
      </c>
      <c r="AD104" s="18">
        <f t="shared" si="110"/>
        <v>0.96960528126170953</v>
      </c>
      <c r="AE104" s="18">
        <f t="shared" si="111"/>
        <v>3.1328258224083028</v>
      </c>
      <c r="AF104" s="18">
        <f t="shared" si="112"/>
        <v>3.7779385760684514</v>
      </c>
    </row>
    <row r="105" spans="1:32" x14ac:dyDescent="0.25">
      <c r="A105" t="str">
        <f t="shared" si="95"/>
        <v>82 Transport and mobile machine drivers and operatives</v>
      </c>
      <c r="B105" s="18">
        <f t="shared" si="96"/>
        <v>0.73026879235229547</v>
      </c>
      <c r="C105" s="18">
        <f t="shared" si="96"/>
        <v>-11.515645795415653</v>
      </c>
      <c r="D105" s="18">
        <f t="shared" si="96"/>
        <v>0.68653738717692203</v>
      </c>
      <c r="E105" s="18">
        <f t="shared" si="96"/>
        <v>-2.4133988329189116E-2</v>
      </c>
      <c r="F105" s="18">
        <f t="shared" si="97"/>
        <v>0.2121973700340174</v>
      </c>
      <c r="H105" s="18">
        <f t="shared" si="98"/>
        <v>0.2121973700340174</v>
      </c>
      <c r="I105" s="18">
        <f t="shared" si="99"/>
        <v>2.9535761770958402</v>
      </c>
      <c r="J105" s="18">
        <f t="shared" si="100"/>
        <v>3.0954907079902894</v>
      </c>
      <c r="L105" t="str">
        <f t="shared" si="101"/>
        <v>82 Transport and mobile machine drivers and operatives</v>
      </c>
      <c r="M105" s="18">
        <f t="shared" si="102"/>
        <v>0.69899151730565823</v>
      </c>
      <c r="N105" s="18">
        <f t="shared" si="102"/>
        <v>-11.29881505077288</v>
      </c>
      <c r="O105" s="18">
        <f t="shared" si="102"/>
        <v>0.41179644688560391</v>
      </c>
      <c r="P105" s="18">
        <f t="shared" si="102"/>
        <v>-0.10165989379182783</v>
      </c>
      <c r="Q105" s="18">
        <f t="shared" si="103"/>
        <v>6.919982564945748E-2</v>
      </c>
      <c r="S105" s="18">
        <f t="shared" si="104"/>
        <v>6.919982564945748E-2</v>
      </c>
      <c r="T105" s="18">
        <f t="shared" si="105"/>
        <v>2.8862108740295378</v>
      </c>
      <c r="U105" s="18">
        <f t="shared" si="106"/>
        <v>2.9327516702215783</v>
      </c>
      <c r="W105" t="str">
        <f t="shared" si="107"/>
        <v>82 Transport and mobile machine drivers and operatives</v>
      </c>
      <c r="X105" s="18">
        <f t="shared" si="108"/>
        <v>1.3795484863168062</v>
      </c>
      <c r="Y105" s="18">
        <f t="shared" si="108"/>
        <v>-15.941752430290833</v>
      </c>
      <c r="Z105" s="18">
        <f t="shared" si="108"/>
        <v>5.9846233863331655</v>
      </c>
      <c r="AA105" s="18">
        <f t="shared" si="108"/>
        <v>1.1788492046424848</v>
      </c>
      <c r="AB105" s="18">
        <f t="shared" si="109"/>
        <v>2.7560600715746286</v>
      </c>
      <c r="AD105" s="18">
        <f t="shared" si="110"/>
        <v>2.7560600715746286</v>
      </c>
      <c r="AE105" s="18">
        <f t="shared" si="111"/>
        <v>4.2728436112739798</v>
      </c>
      <c r="AF105" s="18">
        <f t="shared" si="112"/>
        <v>5.9410980137990288</v>
      </c>
    </row>
    <row r="106" spans="1:32" x14ac:dyDescent="0.25">
      <c r="A106" t="str">
        <f t="shared" si="95"/>
        <v>91 Elementary trades and related occupations</v>
      </c>
      <c r="B106" s="18">
        <f t="shared" si="96"/>
        <v>-3.8155053733908484</v>
      </c>
      <c r="C106" s="18">
        <f t="shared" si="96"/>
        <v>-12.552287827128673</v>
      </c>
      <c r="D106" s="18">
        <f t="shared" si="96"/>
        <v>11.789413787200198</v>
      </c>
      <c r="E106" s="18">
        <f t="shared" si="96"/>
        <v>0.9486200430991909</v>
      </c>
      <c r="F106" s="18">
        <f t="shared" si="97"/>
        <v>4.4400691329606889</v>
      </c>
      <c r="H106" s="18">
        <f t="shared" si="98"/>
        <v>4.4400691329606889</v>
      </c>
      <c r="I106" s="18">
        <f t="shared" si="99"/>
        <v>4.072865891566213</v>
      </c>
      <c r="J106" s="18">
        <f t="shared" si="100"/>
        <v>6.9471596668760682</v>
      </c>
      <c r="L106" t="str">
        <f t="shared" si="101"/>
        <v>91 Elementary trades and related occupations</v>
      </c>
      <c r="M106" s="18">
        <f t="shared" si="102"/>
        <v>-3.7689729985524889</v>
      </c>
      <c r="N106" s="18">
        <f t="shared" si="102"/>
        <v>-10.021585497800645</v>
      </c>
      <c r="O106" s="18">
        <f t="shared" si="102"/>
        <v>6.1516621139193317</v>
      </c>
      <c r="P106" s="18">
        <f t="shared" si="102"/>
        <v>0.52031898936752974</v>
      </c>
      <c r="Q106" s="18">
        <f t="shared" si="103"/>
        <v>2.3634319985897712</v>
      </c>
      <c r="S106" s="18">
        <f t="shared" si="104"/>
        <v>2.3634319985897712</v>
      </c>
      <c r="T106" s="18">
        <f t="shared" si="105"/>
        <v>2.5498597590912553</v>
      </c>
      <c r="U106" s="18">
        <f t="shared" si="106"/>
        <v>4.2928269348311066</v>
      </c>
      <c r="W106" t="str">
        <f t="shared" si="107"/>
        <v>91 Elementary trades and related occupations</v>
      </c>
      <c r="X106" s="18">
        <f t="shared" si="108"/>
        <v>-3.9573833666606273</v>
      </c>
      <c r="Y106" s="18">
        <f t="shared" si="108"/>
        <v>-20.306349567192672</v>
      </c>
      <c r="Z106" s="18">
        <f t="shared" si="108"/>
        <v>25.575953662336183</v>
      </c>
      <c r="AA106" s="18">
        <f t="shared" si="108"/>
        <v>1.5591779096915337</v>
      </c>
      <c r="AB106" s="18">
        <f t="shared" si="109"/>
        <v>9.0054669099422835</v>
      </c>
      <c r="AD106" s="18">
        <f t="shared" si="110"/>
        <v>9.0054669099422835</v>
      </c>
      <c r="AE106" s="18">
        <f t="shared" si="111"/>
        <v>7.7622651543508558</v>
      </c>
      <c r="AF106" s="18">
        <f t="shared" si="112"/>
        <v>12.321773405035486</v>
      </c>
    </row>
    <row r="107" spans="1:32" x14ac:dyDescent="0.25">
      <c r="A107" t="str">
        <f t="shared" si="95"/>
        <v>92 Elementary administration and service occupations</v>
      </c>
      <c r="B107" s="18">
        <f t="shared" si="96"/>
        <v>-2.1026596902286032</v>
      </c>
      <c r="C107" s="18">
        <f t="shared" si="96"/>
        <v>-9.7636428253641494</v>
      </c>
      <c r="D107" s="18">
        <f t="shared" si="96"/>
        <v>-2.4902647967316005</v>
      </c>
      <c r="E107" s="18">
        <f t="shared" si="96"/>
        <v>-1.1881376702847057</v>
      </c>
      <c r="F107" s="18">
        <f t="shared" si="97"/>
        <v>-1.6241007083510617</v>
      </c>
      <c r="H107" s="18">
        <f t="shared" si="98"/>
        <v>-1.6241007083510617</v>
      </c>
      <c r="I107" s="18">
        <f t="shared" si="99"/>
        <v>2.3548733970955027</v>
      </c>
      <c r="J107" s="18">
        <f t="shared" si="100"/>
        <v>1.2232618435946918</v>
      </c>
      <c r="L107" t="str">
        <f t="shared" si="101"/>
        <v>92 Elementary administration and service occupations</v>
      </c>
      <c r="M107" s="18">
        <f t="shared" si="102"/>
        <v>-4.126296238554195</v>
      </c>
      <c r="N107" s="18">
        <f t="shared" si="102"/>
        <v>-5.873569691226221</v>
      </c>
      <c r="O107" s="18">
        <f t="shared" si="102"/>
        <v>-0.51929926060014786</v>
      </c>
      <c r="P107" s="18">
        <f t="shared" si="102"/>
        <v>-0.91728129068366915</v>
      </c>
      <c r="Q107" s="18">
        <f t="shared" si="103"/>
        <v>-0.78479783650308166</v>
      </c>
      <c r="S107" s="18">
        <f t="shared" si="104"/>
        <v>-0.78479783650308166</v>
      </c>
      <c r="T107" s="18">
        <f t="shared" si="105"/>
        <v>2.1839353382181015</v>
      </c>
      <c r="U107" s="18">
        <f t="shared" si="106"/>
        <v>1.6129733419124381</v>
      </c>
      <c r="W107" t="str">
        <f t="shared" si="107"/>
        <v>92 Elementary administration and service occupations</v>
      </c>
      <c r="X107" s="18">
        <f t="shared" si="108"/>
        <v>-5.6005366404288104E-2</v>
      </c>
      <c r="Y107" s="18">
        <f t="shared" si="108"/>
        <v>-13.3095268696114</v>
      </c>
      <c r="Z107" s="18">
        <f t="shared" si="108"/>
        <v>-4.611738237501295</v>
      </c>
      <c r="AA107" s="18">
        <f t="shared" si="108"/>
        <v>-1.5281891286414107</v>
      </c>
      <c r="AB107" s="18">
        <f t="shared" si="109"/>
        <v>-2.5669581685850984</v>
      </c>
      <c r="AD107" s="18">
        <f t="shared" si="110"/>
        <v>-2.5669581685850984</v>
      </c>
      <c r="AE107" s="18">
        <f t="shared" si="111"/>
        <v>2.5202060331137366</v>
      </c>
      <c r="AF107" s="18">
        <f t="shared" si="112"/>
        <v>0.81570243071784621</v>
      </c>
    </row>
    <row r="108" spans="1:32" x14ac:dyDescent="0.25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5">
      <c r="A109" s="24" t="str">
        <f>A35</f>
        <v>All occupations</v>
      </c>
      <c r="B109" s="26">
        <f>IF(AND(C$6-B$6 &lt;&gt; 0,B35&lt;&gt;0,C35&lt;&gt;0),(EXP(LN(C35/B35)/(C$6-B$6))-1)*100,0)</f>
        <v>0.21535006256827582</v>
      </c>
      <c r="C109" s="26">
        <f>IF(AND(D$6-C$6 &lt;&gt; 0,C35&lt;&gt;0,D35&lt;&gt;0),(EXP(LN(D35/C35)/(D$6-C$6))-1)*100,0)</f>
        <v>-2.693893879760223</v>
      </c>
      <c r="D109" s="26">
        <f>IF(AND(E$6-D$6 &lt;&gt; 0,D35&lt;&gt;0,E35&lt;&gt;0),(EXP(LN(E35/D35)/(E$6-D$6))-1)*100,0)</f>
        <v>0.47645957720003906</v>
      </c>
      <c r="E109" s="26">
        <f>IF(AND(F$6-E$6 &lt;&gt; 0,E35&lt;&gt;0,F35&lt;&gt;0),(EXP(LN(F35/E35)/(F$6-E$6))-1)*100,0)</f>
        <v>0.26862934467042354</v>
      </c>
      <c r="F109" s="26">
        <f t="shared" ref="F109" si="113">IF(AND(F$6-D$6 &lt;&gt; 0,D35&lt;&gt;0,F35&lt;&gt;0),(EXP(LN(F35/D35)/(F$6-D$6))-1)*100,0)</f>
        <v>0.33785827979151417</v>
      </c>
      <c r="H109" s="26">
        <f t="shared" ref="H109" si="114">IF($F$6-$D$6 &lt;&gt; 0,(EXP(LN(1+(H72/100))/($F$6-$D$6))-1)*100,0)</f>
        <v>0.33785827979151417</v>
      </c>
      <c r="I109" s="26">
        <f>IF(D35&gt;0,((1+(I35/D35))^(1/($F$6-$D$6))-1)*100,0)</f>
        <v>2.7180424293477223</v>
      </c>
      <c r="J109" s="26">
        <f t="shared" ref="J109" si="115">IF($F$6-$D$6 &lt;&gt; 0,(EXP(LN(1+(J72/100))/($F$6-$D$6))-1)*100,0)</f>
        <v>2.9519500204390647</v>
      </c>
      <c r="L109" s="24" t="str">
        <f>L35</f>
        <v>All occupations</v>
      </c>
      <c r="M109" s="26">
        <f>IF(AND(N$6-M$6 &lt;&gt; 0,M35&lt;&gt;0,N35&lt;&gt;0),(EXP(LN(N35/M35)/(N$6-M$6))-1)*100,0)</f>
        <v>-0.23164018272505693</v>
      </c>
      <c r="N109" s="26">
        <f>IF(AND(O$6-N$6 &lt;&gt; 0,N35&lt;&gt;0,O35&lt;&gt;0),(EXP(LN(O35/N35)/(O$6-N$6))-1)*100,0)</f>
        <v>-3.915280958209022</v>
      </c>
      <c r="O109" s="26">
        <f>IF(AND(P$6-O$6 &lt;&gt; 0,O35&lt;&gt;0,P35&lt;&gt;0),(EXP(LN(P35/O35)/(P$6-O$6))-1)*100,0)</f>
        <v>0.35771624244251843</v>
      </c>
      <c r="P109" s="26">
        <f>IF(AND(Q$6-P$6 &lt;&gt; 0,P35&lt;&gt;0,Q35&lt;&gt;0),(EXP(LN(Q35/P35)/(Q$6-P$6))-1)*100,0)</f>
        <v>0.13148431124847537</v>
      </c>
      <c r="Q109" s="26">
        <f t="shared" ref="Q109" si="116">IF(AND(Q$6-O$6 &lt;&gt; 0,O35&lt;&gt;0,Q35&lt;&gt;0),(EXP(LN(Q35/O35)/(Q$6-O$6))-1)*100,0)</f>
        <v>0.20683823318077277</v>
      </c>
      <c r="S109" s="26">
        <f t="shared" ref="S109" si="117">IF($F$6-$D$6 &lt;&gt; 0,(EXP(LN(1+(S72/100))/($F$6-$D$6))-1)*100,0)</f>
        <v>0.20683823318077277</v>
      </c>
      <c r="T109" s="26">
        <f t="shared" ref="T109" si="118">IF(O35&gt;0,((1+(T35/O35))^(1/($F$6-$D$6))-1)*100,0)</f>
        <v>2.3106264040359648</v>
      </c>
      <c r="U109" s="26">
        <f t="shared" ref="U109" si="119">IF($F$6-$D$6 &lt;&gt; 0,(EXP(LN(1+(U72/100))/($F$6-$D$6))-1)*100,0)</f>
        <v>2.4614784854774419</v>
      </c>
      <c r="W109" s="24" t="str">
        <f>W35</f>
        <v>All occupations</v>
      </c>
      <c r="X109" s="26">
        <f>IF(AND(Y$6-X$6 &lt;&gt; 0,X35&lt;&gt;0,Y35&lt;&gt;0),(EXP(LN(Y35/X35)/(Y$6-X$6))-1)*100,0)</f>
        <v>0.75544374979883422</v>
      </c>
      <c r="Y109" s="26">
        <f>IF(AND(Z$6-Y$6 &lt;&gt; 0,Y35&lt;&gt;0,Z35&lt;&gt;0),(EXP(LN(Z35/Y35)/(Z$6-Y$6))-1)*100,0)</f>
        <v>-1.2539764954082488</v>
      </c>
      <c r="Z109" s="26">
        <f>IF(AND(AA$6-Z$6 &lt;&gt; 0,Z35&lt;&gt;0,AA35&lt;&gt;0),(EXP(LN(AA35/Z35)/(AA$6-Z$6))-1)*100,0)</f>
        <v>0.61198791198477931</v>
      </c>
      <c r="AA109" s="26">
        <f>IF(AND(AB$6-AA$6 &lt;&gt; 0,AA35&lt;&gt;0,AB35&lt;&gt;0),(EXP(LN(AB35/AA35)/(AB$6-AA$6))-1)*100,0)</f>
        <v>0.42196464632742181</v>
      </c>
      <c r="AB109" s="26">
        <f t="shared" ref="AB109" si="120">IF(AND(AB$6-Z$6 &lt;&gt; 0,Z35&lt;&gt;0,AB35&lt;&gt;0),(EXP(LN(AB35/Z35)/(AB$6-Z$6))-1)*100,0)</f>
        <v>0.4852658244766328</v>
      </c>
      <c r="AD109" s="26">
        <f t="shared" ref="AD109" si="121">IF($F$6-$D$6 &lt;&gt; 0,(EXP(LN(1+(AD72/100))/($F$6-$D$6))-1)*100,0)</f>
        <v>0.4852658244766328</v>
      </c>
      <c r="AE109" s="26">
        <f t="shared" ref="AE109" si="122">IF(Z35&gt;0,((1+(AE35/Z35))^(1/($F$6-$D$6))-1)*100,0)</f>
        <v>3.15914316901722</v>
      </c>
      <c r="AF109" s="26">
        <f t="shared" ref="AF109" si="123">IF($F$6-$D$6 &lt;&gt; 0,(EXP(LN(1+(AF72/100))/($F$6-$D$6))-1)*100,0)</f>
        <v>3.4770434080301005</v>
      </c>
    </row>
    <row r="112" spans="1:32" ht="15.5" x14ac:dyDescent="0.35">
      <c r="A112" s="19" t="str">
        <f>CONCATENATE(A$1," (Continued)")</f>
        <v>Occupation Table 2  Employment Change by Occupation (SOC 2020) and Replacement Demand, 2015-2035, Black Country (Continued)</v>
      </c>
      <c r="L112" s="19" t="str">
        <f>CONCATENATE(L$1," (Continued)")</f>
        <v>Occupation Table 2.1  Males: Employment Change by Occupation (SOC 2020) and Replacement Demand, 2015-2035, Black Country (Continued)</v>
      </c>
      <c r="W112" s="19" t="str">
        <f>CONCATENATE(W$1," (Continued)")</f>
        <v>Occupation Table 2.2  Females: Employment Change by Occupation (SOC 2020) and Replacement Demand, 2015-2035, Black Country (Continued)</v>
      </c>
    </row>
    <row r="114" spans="1:28" x14ac:dyDescent="0.25">
      <c r="F114" s="16" t="s">
        <v>36</v>
      </c>
      <c r="Q114" s="16" t="s">
        <v>36</v>
      </c>
      <c r="AB114" s="16" t="s">
        <v>36</v>
      </c>
    </row>
    <row r="115" spans="1:28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5">
      <c r="A119" t="str">
        <f t="shared" ref="A119:A144" si="124">A8</f>
        <v>11 Corporate managers and directors</v>
      </c>
      <c r="B119" s="27">
        <f t="shared" ref="B119:E144" si="125">C8-B8</f>
        <v>3.7899953487663893</v>
      </c>
      <c r="C119" s="27">
        <f t="shared" si="125"/>
        <v>0.88656836927048488</v>
      </c>
      <c r="D119" s="27">
        <f t="shared" si="125"/>
        <v>-3.3851187476117666</v>
      </c>
      <c r="E119" s="27">
        <f t="shared" si="125"/>
        <v>2.7527419050332362</v>
      </c>
      <c r="F119" s="27">
        <f t="shared" ref="F119:F144" si="126">F8-D8</f>
        <v>-0.63237684257853033</v>
      </c>
      <c r="L119" t="str">
        <f t="shared" ref="L119:L144" si="127">L8</f>
        <v>11 Corporate managers and directors</v>
      </c>
      <c r="M119" s="27">
        <f t="shared" ref="M119:P144" si="128">N8-M8</f>
        <v>1.7993135839551258</v>
      </c>
      <c r="N119" s="27">
        <f t="shared" si="128"/>
        <v>0.28808011361959274</v>
      </c>
      <c r="O119" s="27">
        <f t="shared" si="128"/>
        <v>-3.1299142075251609</v>
      </c>
      <c r="P119" s="27">
        <f t="shared" si="128"/>
        <v>0.89076316774793796</v>
      </c>
      <c r="Q119" s="27">
        <f t="shared" ref="Q119:Q144" si="129">Q8-O8</f>
        <v>-2.239151039777223</v>
      </c>
      <c r="W119" t="str">
        <f t="shared" ref="W119:W144" si="130">W8</f>
        <v>11 Corporate managers and directors</v>
      </c>
      <c r="X119" s="27">
        <f t="shared" ref="X119:AA144" si="131">Y8-X8</f>
        <v>1.9906817648112352</v>
      </c>
      <c r="Y119" s="27">
        <f t="shared" si="131"/>
        <v>0.59848825565094366</v>
      </c>
      <c r="Z119" s="27">
        <f t="shared" si="131"/>
        <v>-0.25520454008667848</v>
      </c>
      <c r="AA119" s="27">
        <f t="shared" si="131"/>
        <v>1.8619787372853178</v>
      </c>
      <c r="AB119" s="27">
        <f t="shared" ref="AB119:AB144" si="132">AB8-Z8</f>
        <v>1.6067741971986393</v>
      </c>
    </row>
    <row r="120" spans="1:28" x14ac:dyDescent="0.25">
      <c r="A120" t="str">
        <f t="shared" si="124"/>
        <v>12 Other managers and proprietors</v>
      </c>
      <c r="B120" s="27">
        <f t="shared" si="125"/>
        <v>0.16243204481055784</v>
      </c>
      <c r="C120" s="27">
        <f t="shared" si="125"/>
        <v>0.56865111352801634</v>
      </c>
      <c r="D120" s="27">
        <f t="shared" si="125"/>
        <v>0.42157550617930184</v>
      </c>
      <c r="E120" s="27">
        <f t="shared" si="125"/>
        <v>1.636613130557647</v>
      </c>
      <c r="F120" s="27">
        <f t="shared" si="126"/>
        <v>2.0581886367369489</v>
      </c>
      <c r="L120" t="str">
        <f t="shared" si="127"/>
        <v>12 Other managers and proprietors</v>
      </c>
      <c r="M120" s="27">
        <f t="shared" si="128"/>
        <v>0.21456544121494936</v>
      </c>
      <c r="N120" s="27">
        <f t="shared" si="128"/>
        <v>-0.40799864157563182</v>
      </c>
      <c r="O120" s="27">
        <f t="shared" si="128"/>
        <v>0.93558856604407303</v>
      </c>
      <c r="P120" s="27">
        <f t="shared" si="128"/>
        <v>0.94635538668588381</v>
      </c>
      <c r="Q120" s="27">
        <f t="shared" si="129"/>
        <v>1.8819439527299568</v>
      </c>
      <c r="W120" t="str">
        <f t="shared" si="130"/>
        <v>12 Other managers and proprietors</v>
      </c>
      <c r="X120" s="27">
        <f t="shared" si="131"/>
        <v>-5.213339640438619E-2</v>
      </c>
      <c r="Y120" s="27">
        <f t="shared" si="131"/>
        <v>0.97664975510365082</v>
      </c>
      <c r="Z120" s="27">
        <f t="shared" si="131"/>
        <v>-0.51401305986478452</v>
      </c>
      <c r="AA120" s="27">
        <f t="shared" si="131"/>
        <v>0.69025774387177119</v>
      </c>
      <c r="AB120" s="27">
        <f t="shared" si="132"/>
        <v>0.17624468400698667</v>
      </c>
    </row>
    <row r="121" spans="1:28" x14ac:dyDescent="0.25">
      <c r="A121" t="str">
        <f t="shared" si="124"/>
        <v>21 Science, research, engineering and technology professionals</v>
      </c>
      <c r="B121" s="27">
        <f t="shared" si="125"/>
        <v>1.8298751551711341</v>
      </c>
      <c r="C121" s="27">
        <f t="shared" si="125"/>
        <v>1.151709770526125</v>
      </c>
      <c r="D121" s="27">
        <f t="shared" si="125"/>
        <v>5.6572003768585937</v>
      </c>
      <c r="E121" s="27">
        <f t="shared" si="125"/>
        <v>4.1287952716567133</v>
      </c>
      <c r="F121" s="27">
        <f t="shared" si="126"/>
        <v>9.785995648515307</v>
      </c>
      <c r="L121" t="str">
        <f t="shared" si="127"/>
        <v>21 Science, research, engineering and technology professionals</v>
      </c>
      <c r="M121" s="27">
        <f t="shared" si="128"/>
        <v>1.6292970012474335</v>
      </c>
      <c r="N121" s="27">
        <f t="shared" si="128"/>
        <v>0.19125556661821363</v>
      </c>
      <c r="O121" s="27">
        <f t="shared" si="128"/>
        <v>3.9636247020192812</v>
      </c>
      <c r="P121" s="27">
        <f t="shared" si="128"/>
        <v>2.5305571997147176</v>
      </c>
      <c r="Q121" s="27">
        <f t="shared" si="129"/>
        <v>6.4941819017339988</v>
      </c>
      <c r="W121" t="str">
        <f t="shared" si="130"/>
        <v>21 Science, research, engineering and technology professionals</v>
      </c>
      <c r="X121" s="27">
        <f t="shared" si="131"/>
        <v>0.20057815392378542</v>
      </c>
      <c r="Y121" s="27">
        <f t="shared" si="131"/>
        <v>0.96045420390789493</v>
      </c>
      <c r="Z121" s="27">
        <f t="shared" si="131"/>
        <v>1.6935756748392548</v>
      </c>
      <c r="AA121" s="27">
        <f t="shared" si="131"/>
        <v>1.5982380719421085</v>
      </c>
      <c r="AB121" s="27">
        <f t="shared" si="132"/>
        <v>3.2918137467813633</v>
      </c>
    </row>
    <row r="122" spans="1:28" x14ac:dyDescent="0.25">
      <c r="A122" t="str">
        <f t="shared" si="124"/>
        <v>22 Health professionals</v>
      </c>
      <c r="B122" s="27">
        <f t="shared" si="125"/>
        <v>5.6410307573032519</v>
      </c>
      <c r="C122" s="27">
        <f t="shared" si="125"/>
        <v>-0.43049886708068286</v>
      </c>
      <c r="D122" s="27">
        <f t="shared" si="125"/>
        <v>-0.34116937946104642</v>
      </c>
      <c r="E122" s="27">
        <f t="shared" si="125"/>
        <v>2.035488647260042</v>
      </c>
      <c r="F122" s="27">
        <f t="shared" si="126"/>
        <v>1.6943192677989956</v>
      </c>
      <c r="L122" t="str">
        <f t="shared" si="127"/>
        <v>22 Health professionals</v>
      </c>
      <c r="M122" s="27">
        <f t="shared" si="128"/>
        <v>1.3776077723358755</v>
      </c>
      <c r="N122" s="27">
        <f t="shared" si="128"/>
        <v>0.41242946618693299</v>
      </c>
      <c r="O122" s="27">
        <f t="shared" si="128"/>
        <v>-0.10427444156976406</v>
      </c>
      <c r="P122" s="27">
        <f t="shared" si="128"/>
        <v>0.43976302812439094</v>
      </c>
      <c r="Q122" s="27">
        <f t="shared" si="129"/>
        <v>0.33548858655462688</v>
      </c>
      <c r="W122" t="str">
        <f t="shared" si="130"/>
        <v>22 Health professionals</v>
      </c>
      <c r="X122" s="27">
        <f t="shared" si="131"/>
        <v>4.2634229849673915</v>
      </c>
      <c r="Y122" s="27">
        <f t="shared" si="131"/>
        <v>-0.84292833326758299</v>
      </c>
      <c r="Z122" s="27">
        <f t="shared" si="131"/>
        <v>-0.2368949378913392</v>
      </c>
      <c r="AA122" s="27">
        <f t="shared" si="131"/>
        <v>1.5957256191356954</v>
      </c>
      <c r="AB122" s="27">
        <f t="shared" si="132"/>
        <v>1.3588306812443562</v>
      </c>
    </row>
    <row r="123" spans="1:28" x14ac:dyDescent="0.25">
      <c r="A123" t="str">
        <f t="shared" si="124"/>
        <v>23 Teaching and other educational professionals</v>
      </c>
      <c r="B123" s="27">
        <f t="shared" si="125"/>
        <v>1.2252230894892975</v>
      </c>
      <c r="C123" s="27">
        <f t="shared" si="125"/>
        <v>1.2610199883480746</v>
      </c>
      <c r="D123" s="27">
        <f t="shared" si="125"/>
        <v>-5.6925225292204118E-2</v>
      </c>
      <c r="E123" s="27">
        <f t="shared" si="125"/>
        <v>2.1956636704645085</v>
      </c>
      <c r="F123" s="27">
        <f t="shared" si="126"/>
        <v>2.1387384451723044</v>
      </c>
      <c r="L123" t="str">
        <f t="shared" si="127"/>
        <v>23 Teaching and other educational professionals</v>
      </c>
      <c r="M123" s="27">
        <f t="shared" si="128"/>
        <v>6.4330225263235619E-2</v>
      </c>
      <c r="N123" s="27">
        <f t="shared" si="128"/>
        <v>0.50843706154743451</v>
      </c>
      <c r="O123" s="27">
        <f t="shared" si="128"/>
        <v>0.14269789964307922</v>
      </c>
      <c r="P123" s="27">
        <f t="shared" si="128"/>
        <v>0.53443678664606598</v>
      </c>
      <c r="Q123" s="27">
        <f t="shared" si="129"/>
        <v>0.67713468628914519</v>
      </c>
      <c r="W123" t="str">
        <f t="shared" si="130"/>
        <v>23 Teaching and other educational professionals</v>
      </c>
      <c r="X123" s="27">
        <f t="shared" si="131"/>
        <v>1.1608928642260565</v>
      </c>
      <c r="Y123" s="27">
        <f t="shared" si="131"/>
        <v>0.75258292680058503</v>
      </c>
      <c r="Z123" s="27">
        <f t="shared" si="131"/>
        <v>-0.199623124935286</v>
      </c>
      <c r="AA123" s="27">
        <f t="shared" si="131"/>
        <v>1.6612268838184718</v>
      </c>
      <c r="AB123" s="27">
        <f t="shared" si="132"/>
        <v>1.4616037588831858</v>
      </c>
    </row>
    <row r="124" spans="1:28" x14ac:dyDescent="0.25">
      <c r="A124" t="str">
        <f t="shared" si="124"/>
        <v>24 Business, media and public service professionals</v>
      </c>
      <c r="B124" s="27">
        <f t="shared" si="125"/>
        <v>2.6501399028007349</v>
      </c>
      <c r="C124" s="27">
        <f t="shared" si="125"/>
        <v>2.5014257983701249</v>
      </c>
      <c r="D124" s="27">
        <f t="shared" si="125"/>
        <v>1.1594490421343835</v>
      </c>
      <c r="E124" s="27">
        <f t="shared" si="125"/>
        <v>3.4168818552411864</v>
      </c>
      <c r="F124" s="27">
        <f t="shared" si="126"/>
        <v>4.5763308973755699</v>
      </c>
      <c r="L124" t="str">
        <f t="shared" si="127"/>
        <v>24 Business, media and public service professionals</v>
      </c>
      <c r="M124" s="27">
        <f t="shared" si="128"/>
        <v>0.85492528622754271</v>
      </c>
      <c r="N124" s="27">
        <f t="shared" si="128"/>
        <v>1.4668024826026578</v>
      </c>
      <c r="O124" s="27">
        <f t="shared" si="128"/>
        <v>0.86011002286363336</v>
      </c>
      <c r="P124" s="27">
        <f t="shared" si="128"/>
        <v>1.3593829046886725</v>
      </c>
      <c r="Q124" s="27">
        <f t="shared" si="129"/>
        <v>2.2194929275523059</v>
      </c>
      <c r="W124" t="str">
        <f t="shared" si="130"/>
        <v>24 Business, media and public service professionals</v>
      </c>
      <c r="X124" s="27">
        <f t="shared" si="131"/>
        <v>1.7952146165732383</v>
      </c>
      <c r="Y124" s="27">
        <f t="shared" si="131"/>
        <v>1.034623315767492</v>
      </c>
      <c r="Z124" s="27">
        <f t="shared" si="131"/>
        <v>0.29933901927068973</v>
      </c>
      <c r="AA124" s="27">
        <f t="shared" si="131"/>
        <v>2.0574989505524783</v>
      </c>
      <c r="AB124" s="27">
        <f t="shared" si="132"/>
        <v>2.3568379698231681</v>
      </c>
    </row>
    <row r="125" spans="1:28" x14ac:dyDescent="0.25">
      <c r="A125" t="str">
        <f t="shared" si="124"/>
        <v>31 Science, engineering and technology associate professionals</v>
      </c>
      <c r="B125" s="27">
        <f t="shared" si="125"/>
        <v>0.43818397653701968</v>
      </c>
      <c r="C125" s="27">
        <f t="shared" si="125"/>
        <v>0.63408302046054921</v>
      </c>
      <c r="D125" s="27">
        <f t="shared" si="125"/>
        <v>-0.69728508461250982</v>
      </c>
      <c r="E125" s="27">
        <f t="shared" si="125"/>
        <v>0.41370039259496139</v>
      </c>
      <c r="F125" s="27">
        <f t="shared" si="126"/>
        <v>-0.28358469201754843</v>
      </c>
      <c r="L125" t="str">
        <f t="shared" si="127"/>
        <v>31 Science, engineering and technology associate professionals</v>
      </c>
      <c r="M125" s="27">
        <f t="shared" si="128"/>
        <v>0.47101007264137884</v>
      </c>
      <c r="N125" s="27">
        <f t="shared" si="128"/>
        <v>0.2645812515830972</v>
      </c>
      <c r="O125" s="27">
        <f t="shared" si="128"/>
        <v>-0.80216155026719704</v>
      </c>
      <c r="P125" s="27">
        <f t="shared" si="128"/>
        <v>5.0650701550688737E-2</v>
      </c>
      <c r="Q125" s="27">
        <f t="shared" si="129"/>
        <v>-0.75151084871650831</v>
      </c>
      <c r="W125" t="str">
        <f t="shared" si="130"/>
        <v>31 Science, engineering and technology associate professionals</v>
      </c>
      <c r="X125" s="27">
        <f t="shared" si="131"/>
        <v>-3.2826096104352276E-2</v>
      </c>
      <c r="Y125" s="27">
        <f t="shared" si="131"/>
        <v>0.3695017688774318</v>
      </c>
      <c r="Z125" s="27">
        <f t="shared" si="131"/>
        <v>0.10487646565470143</v>
      </c>
      <c r="AA125" s="27">
        <f t="shared" si="131"/>
        <v>0.36304969104427842</v>
      </c>
      <c r="AB125" s="27">
        <f t="shared" si="132"/>
        <v>0.46792615669897986</v>
      </c>
    </row>
    <row r="126" spans="1:28" x14ac:dyDescent="0.25">
      <c r="A126" t="str">
        <f t="shared" si="124"/>
        <v>32 Health and social care associate professionals</v>
      </c>
      <c r="B126" s="27">
        <f t="shared" si="125"/>
        <v>1.9238400124446926</v>
      </c>
      <c r="C126" s="27">
        <f t="shared" si="125"/>
        <v>4.5153935029734527E-2</v>
      </c>
      <c r="D126" s="27">
        <f t="shared" si="125"/>
        <v>6.6782653926908768</v>
      </c>
      <c r="E126" s="27">
        <f t="shared" si="125"/>
        <v>3.3756724748495124</v>
      </c>
      <c r="F126" s="27">
        <f t="shared" si="126"/>
        <v>10.053937867540389</v>
      </c>
      <c r="L126" t="str">
        <f t="shared" si="127"/>
        <v>32 Health and social care associate professionals</v>
      </c>
      <c r="M126" s="27">
        <f t="shared" si="128"/>
        <v>0.24599112565927284</v>
      </c>
      <c r="N126" s="27">
        <f t="shared" si="128"/>
        <v>0.12498096532965564</v>
      </c>
      <c r="O126" s="27">
        <f t="shared" si="128"/>
        <v>0.82362220001673281</v>
      </c>
      <c r="P126" s="27">
        <f t="shared" si="128"/>
        <v>0.3707970901412212</v>
      </c>
      <c r="Q126" s="27">
        <f t="shared" si="129"/>
        <v>1.194419290157954</v>
      </c>
      <c r="W126" t="str">
        <f t="shared" si="130"/>
        <v>32 Health and social care associate professionals</v>
      </c>
      <c r="X126" s="27">
        <f t="shared" si="131"/>
        <v>1.6778488867853829</v>
      </c>
      <c r="Y126" s="27">
        <f t="shared" si="131"/>
        <v>-7.9827030299910007E-2</v>
      </c>
      <c r="Z126" s="27">
        <f t="shared" si="131"/>
        <v>5.8546431926741676</v>
      </c>
      <c r="AA126" s="27">
        <f t="shared" si="131"/>
        <v>3.0048753847082743</v>
      </c>
      <c r="AB126" s="27">
        <f t="shared" si="132"/>
        <v>8.8595185773824419</v>
      </c>
    </row>
    <row r="127" spans="1:28" x14ac:dyDescent="0.25">
      <c r="A127" t="str">
        <f t="shared" si="124"/>
        <v>33 Protective service occupations</v>
      </c>
      <c r="B127" s="27">
        <f t="shared" si="125"/>
        <v>-1.7414704835955419E-2</v>
      </c>
      <c r="C127" s="27">
        <f t="shared" si="125"/>
        <v>0.26031305182285447</v>
      </c>
      <c r="D127" s="27">
        <f t="shared" si="125"/>
        <v>-0.62916028652260092</v>
      </c>
      <c r="E127" s="27">
        <f t="shared" si="125"/>
        <v>0.39376398259701073</v>
      </c>
      <c r="F127" s="27">
        <f t="shared" si="126"/>
        <v>-0.23539630392559019</v>
      </c>
      <c r="L127" t="str">
        <f t="shared" si="127"/>
        <v>33 Protective service occupations</v>
      </c>
      <c r="M127" s="27">
        <f t="shared" si="128"/>
        <v>-0.15447146593367123</v>
      </c>
      <c r="N127" s="27">
        <f t="shared" si="128"/>
        <v>0.1402263215118027</v>
      </c>
      <c r="O127" s="27">
        <f t="shared" si="128"/>
        <v>-0.48671146367531515</v>
      </c>
      <c r="P127" s="27">
        <f t="shared" si="128"/>
        <v>1.2457811373519867E-2</v>
      </c>
      <c r="Q127" s="27">
        <f t="shared" si="129"/>
        <v>-0.47425365230179528</v>
      </c>
      <c r="W127" t="str">
        <f t="shared" si="130"/>
        <v>33 Protective service occupations</v>
      </c>
      <c r="X127" s="27">
        <f t="shared" si="131"/>
        <v>0.13705676109771603</v>
      </c>
      <c r="Y127" s="27">
        <f t="shared" si="131"/>
        <v>0.12008673031104666</v>
      </c>
      <c r="Z127" s="27">
        <f t="shared" si="131"/>
        <v>-0.14244882284727889</v>
      </c>
      <c r="AA127" s="27">
        <f t="shared" si="131"/>
        <v>0.38130617122347932</v>
      </c>
      <c r="AB127" s="27">
        <f t="shared" si="132"/>
        <v>0.23885734837620043</v>
      </c>
    </row>
    <row r="128" spans="1:28" x14ac:dyDescent="0.25">
      <c r="A128" t="str">
        <f t="shared" si="124"/>
        <v>34 Culture, media and sports occupations</v>
      </c>
      <c r="B128" s="27">
        <f t="shared" si="125"/>
        <v>-5.6285389313178058E-2</v>
      </c>
      <c r="C128" s="27">
        <f t="shared" si="125"/>
        <v>0.22489171590712864</v>
      </c>
      <c r="D128" s="27">
        <f t="shared" si="125"/>
        <v>-1.0718280502471815</v>
      </c>
      <c r="E128" s="27">
        <f t="shared" si="125"/>
        <v>0.61807129949708095</v>
      </c>
      <c r="F128" s="27">
        <f t="shared" si="126"/>
        <v>-0.45375675075010058</v>
      </c>
      <c r="L128" t="str">
        <f t="shared" si="127"/>
        <v>34 Culture, media and sports occupations</v>
      </c>
      <c r="M128" s="27">
        <f t="shared" si="128"/>
        <v>-1.9550430095883087E-2</v>
      </c>
      <c r="N128" s="27">
        <f t="shared" si="128"/>
        <v>4.6325071757790326E-2</v>
      </c>
      <c r="O128" s="27">
        <f t="shared" si="128"/>
        <v>-0.66442992697019809</v>
      </c>
      <c r="P128" s="27">
        <f t="shared" si="128"/>
        <v>0.25798392610882592</v>
      </c>
      <c r="Q128" s="27">
        <f t="shared" si="129"/>
        <v>-0.40644600086137217</v>
      </c>
      <c r="W128" t="str">
        <f t="shared" si="130"/>
        <v>34 Culture, media and sports occupations</v>
      </c>
      <c r="X128" s="27">
        <f t="shared" si="131"/>
        <v>-3.6734959217282093E-2</v>
      </c>
      <c r="Y128" s="27">
        <f t="shared" si="131"/>
        <v>0.17856664414933521</v>
      </c>
      <c r="Z128" s="27">
        <f t="shared" si="131"/>
        <v>-0.40739812327698166</v>
      </c>
      <c r="AA128" s="27">
        <f t="shared" si="131"/>
        <v>0.36008737338824925</v>
      </c>
      <c r="AB128" s="27">
        <f t="shared" si="132"/>
        <v>-4.7310749888732406E-2</v>
      </c>
    </row>
    <row r="129" spans="1:28" x14ac:dyDescent="0.25">
      <c r="A129" t="str">
        <f t="shared" si="124"/>
        <v>35 Business and public service associate professionals</v>
      </c>
      <c r="B129" s="27">
        <f t="shared" si="125"/>
        <v>0.30067277322459418</v>
      </c>
      <c r="C129" s="27">
        <f t="shared" si="125"/>
        <v>0.93477825553671678</v>
      </c>
      <c r="D129" s="27">
        <f t="shared" si="125"/>
        <v>6.3456785606664567E-2</v>
      </c>
      <c r="E129" s="27">
        <f t="shared" si="125"/>
        <v>1.5496857352946805</v>
      </c>
      <c r="F129" s="27">
        <f t="shared" si="126"/>
        <v>1.613142520901345</v>
      </c>
      <c r="L129" t="str">
        <f t="shared" si="127"/>
        <v>35 Business and public service associate professionals</v>
      </c>
      <c r="M129" s="27">
        <f t="shared" si="128"/>
        <v>-0.35051375097008552</v>
      </c>
      <c r="N129" s="27">
        <f t="shared" si="128"/>
        <v>0.62729555023433647</v>
      </c>
      <c r="O129" s="27">
        <f t="shared" si="128"/>
        <v>-0.10292841184807955</v>
      </c>
      <c r="P129" s="27">
        <f t="shared" si="128"/>
        <v>0.15555193458045835</v>
      </c>
      <c r="Q129" s="27">
        <f t="shared" si="129"/>
        <v>5.2623522732378802E-2</v>
      </c>
      <c r="W129" t="str">
        <f t="shared" si="130"/>
        <v>35 Business and public service associate professionals</v>
      </c>
      <c r="X129" s="27">
        <f t="shared" si="131"/>
        <v>0.65118652419470813</v>
      </c>
      <c r="Y129" s="27">
        <f t="shared" si="131"/>
        <v>0.30748270530239452</v>
      </c>
      <c r="Z129" s="27">
        <f t="shared" si="131"/>
        <v>0.16638519745473523</v>
      </c>
      <c r="AA129" s="27">
        <f t="shared" si="131"/>
        <v>1.3941338007142257</v>
      </c>
      <c r="AB129" s="27">
        <f t="shared" si="132"/>
        <v>1.5605189981689609</v>
      </c>
    </row>
    <row r="130" spans="1:28" x14ac:dyDescent="0.25">
      <c r="A130" t="str">
        <f t="shared" si="124"/>
        <v>41 Administrative occupations</v>
      </c>
      <c r="B130" s="27">
        <f t="shared" si="125"/>
        <v>-3.9732476104116685</v>
      </c>
      <c r="C130" s="27">
        <f t="shared" si="125"/>
        <v>2.0329151635029987</v>
      </c>
      <c r="D130" s="27">
        <f t="shared" si="125"/>
        <v>1.7362783854278661</v>
      </c>
      <c r="E130" s="27">
        <f t="shared" si="125"/>
        <v>-0.81453875394673503</v>
      </c>
      <c r="F130" s="27">
        <f t="shared" si="126"/>
        <v>0.92173963148113103</v>
      </c>
      <c r="L130" t="str">
        <f t="shared" si="127"/>
        <v>41 Administrative occupations</v>
      </c>
      <c r="M130" s="27">
        <f t="shared" si="128"/>
        <v>-2.0113625483625288</v>
      </c>
      <c r="N130" s="27">
        <f t="shared" si="128"/>
        <v>2.627449008150446</v>
      </c>
      <c r="O130" s="27">
        <f t="shared" si="128"/>
        <v>1.325836497623694</v>
      </c>
      <c r="P130" s="27">
        <f t="shared" si="128"/>
        <v>2.0957675658938903</v>
      </c>
      <c r="Q130" s="27">
        <f t="shared" si="129"/>
        <v>3.4216040635175844</v>
      </c>
      <c r="W130" t="str">
        <f t="shared" si="130"/>
        <v>41 Administrative occupations</v>
      </c>
      <c r="X130" s="27">
        <f t="shared" si="131"/>
        <v>-1.9618850620492552</v>
      </c>
      <c r="Y130" s="27">
        <f t="shared" si="131"/>
        <v>-0.5945338446474544</v>
      </c>
      <c r="Z130" s="27">
        <f t="shared" si="131"/>
        <v>0.4104418878042253</v>
      </c>
      <c r="AA130" s="27">
        <f t="shared" si="131"/>
        <v>-2.9103063198406858</v>
      </c>
      <c r="AB130" s="27">
        <f t="shared" si="132"/>
        <v>-2.4998644320364605</v>
      </c>
    </row>
    <row r="131" spans="1:28" x14ac:dyDescent="0.25">
      <c r="A131" t="str">
        <f t="shared" si="124"/>
        <v>42 Secretarial and related occupations</v>
      </c>
      <c r="B131" s="27">
        <f t="shared" si="125"/>
        <v>-1.5046902102056325</v>
      </c>
      <c r="C131" s="27">
        <f t="shared" si="125"/>
        <v>-0.21452979553490792</v>
      </c>
      <c r="D131" s="27">
        <f t="shared" si="125"/>
        <v>-0.71198373791664338</v>
      </c>
      <c r="E131" s="27">
        <f t="shared" si="125"/>
        <v>-3.1608852807618293</v>
      </c>
      <c r="F131" s="27">
        <f t="shared" si="126"/>
        <v>-3.8728690186784727</v>
      </c>
      <c r="L131" t="str">
        <f t="shared" si="127"/>
        <v>42 Secretarial and related occupations</v>
      </c>
      <c r="M131" s="27">
        <f t="shared" si="128"/>
        <v>-0.28548208935722863</v>
      </c>
      <c r="N131" s="27">
        <f t="shared" si="128"/>
        <v>1.8289262544548879E-2</v>
      </c>
      <c r="O131" s="27">
        <f t="shared" si="128"/>
        <v>-8.872900733961675E-2</v>
      </c>
      <c r="P131" s="27">
        <f t="shared" si="128"/>
        <v>9.3593575262578055E-2</v>
      </c>
      <c r="Q131" s="27">
        <f t="shared" si="129"/>
        <v>4.8645679229613048E-3</v>
      </c>
      <c r="W131" t="str">
        <f t="shared" si="130"/>
        <v>42 Secretarial and related occupations</v>
      </c>
      <c r="X131" s="27">
        <f t="shared" si="131"/>
        <v>-1.2192081208483998</v>
      </c>
      <c r="Y131" s="27">
        <f t="shared" si="131"/>
        <v>-0.23281905807946579</v>
      </c>
      <c r="Z131" s="27">
        <f t="shared" si="131"/>
        <v>-0.62325473057703107</v>
      </c>
      <c r="AA131" s="27">
        <f t="shared" si="131"/>
        <v>-3.2544788560244031</v>
      </c>
      <c r="AB131" s="27">
        <f t="shared" si="132"/>
        <v>-3.8777335866014342</v>
      </c>
    </row>
    <row r="132" spans="1:28" x14ac:dyDescent="0.25">
      <c r="A132" t="str">
        <f t="shared" si="124"/>
        <v>51 Skilled agricultural and related trades</v>
      </c>
      <c r="B132" s="27">
        <f t="shared" si="125"/>
        <v>-0.52472461473943488</v>
      </c>
      <c r="C132" s="27">
        <f t="shared" si="125"/>
        <v>-0.61344619111810683</v>
      </c>
      <c r="D132" s="27">
        <f t="shared" si="125"/>
        <v>-1.4814804633175083E-2</v>
      </c>
      <c r="E132" s="27">
        <f t="shared" si="125"/>
        <v>0.35668687003426136</v>
      </c>
      <c r="F132" s="27">
        <f t="shared" si="126"/>
        <v>0.34187206540108628</v>
      </c>
      <c r="L132" t="str">
        <f t="shared" si="127"/>
        <v>51 Skilled agricultural and related trades</v>
      </c>
      <c r="M132" s="27">
        <f t="shared" si="128"/>
        <v>-0.485645557502977</v>
      </c>
      <c r="N132" s="27">
        <f t="shared" si="128"/>
        <v>-0.61496965262956005</v>
      </c>
      <c r="O132" s="27">
        <f t="shared" si="128"/>
        <v>-6.5965194677041428E-2</v>
      </c>
      <c r="P132" s="27">
        <f t="shared" si="128"/>
        <v>0.2401690288447762</v>
      </c>
      <c r="Q132" s="27">
        <f t="shared" si="129"/>
        <v>0.17420383416773477</v>
      </c>
      <c r="W132" t="str">
        <f t="shared" si="130"/>
        <v>51 Skilled agricultural and related trades</v>
      </c>
      <c r="X132" s="27">
        <f t="shared" si="131"/>
        <v>-3.9079057236457659E-2</v>
      </c>
      <c r="Y132" s="27">
        <f t="shared" si="131"/>
        <v>1.5234615114548822E-3</v>
      </c>
      <c r="Z132" s="27">
        <f t="shared" si="131"/>
        <v>5.1150390043863125E-2</v>
      </c>
      <c r="AA132" s="27">
        <f t="shared" si="131"/>
        <v>0.11651784118948649</v>
      </c>
      <c r="AB132" s="27">
        <f t="shared" si="132"/>
        <v>0.16766823123334962</v>
      </c>
    </row>
    <row r="133" spans="1:28" x14ac:dyDescent="0.25">
      <c r="A133" t="str">
        <f t="shared" si="124"/>
        <v>52 Skilled metal, electrical and electronic trades</v>
      </c>
      <c r="B133" s="27">
        <f t="shared" si="125"/>
        <v>-0.27904065005843037</v>
      </c>
      <c r="C133" s="27">
        <f t="shared" si="125"/>
        <v>-5.1068109046133614</v>
      </c>
      <c r="D133" s="27">
        <f t="shared" si="125"/>
        <v>-0.61287798079590772</v>
      </c>
      <c r="E133" s="27">
        <f t="shared" si="125"/>
        <v>-1.7828139592243843</v>
      </c>
      <c r="F133" s="27">
        <f t="shared" si="126"/>
        <v>-2.3956919400202921</v>
      </c>
      <c r="L133" t="str">
        <f t="shared" si="127"/>
        <v>52 Skilled metal, electrical and electronic trades</v>
      </c>
      <c r="M133" s="27">
        <f t="shared" si="128"/>
        <v>-0.5011515424435764</v>
      </c>
      <c r="N133" s="27">
        <f t="shared" si="128"/>
        <v>-4.9711767046880837</v>
      </c>
      <c r="O133" s="27">
        <f t="shared" si="128"/>
        <v>-0.89954453511844079</v>
      </c>
      <c r="P133" s="27">
        <f t="shared" si="128"/>
        <v>-1.9162132722690508</v>
      </c>
      <c r="Q133" s="27">
        <f t="shared" si="129"/>
        <v>-2.8157578073874916</v>
      </c>
      <c r="W133" t="str">
        <f t="shared" si="130"/>
        <v>52 Skilled metal, electrical and electronic trades</v>
      </c>
      <c r="X133" s="27">
        <f t="shared" si="131"/>
        <v>0.22211089238517573</v>
      </c>
      <c r="Y133" s="27">
        <f t="shared" si="131"/>
        <v>-0.13563419992529624</v>
      </c>
      <c r="Z133" s="27">
        <f t="shared" si="131"/>
        <v>0.28666655432249555</v>
      </c>
      <c r="AA133" s="27">
        <f t="shared" si="131"/>
        <v>0.13339931304470742</v>
      </c>
      <c r="AB133" s="27">
        <f t="shared" si="132"/>
        <v>0.42006586736720297</v>
      </c>
    </row>
    <row r="134" spans="1:28" x14ac:dyDescent="0.25">
      <c r="A134" t="str">
        <f t="shared" si="124"/>
        <v>53 Skilled construction and building trades</v>
      </c>
      <c r="B134" s="27">
        <f t="shared" si="125"/>
        <v>2.6639263891725271</v>
      </c>
      <c r="C134" s="27">
        <f t="shared" si="125"/>
        <v>-3.8660835554153259</v>
      </c>
      <c r="D134" s="27">
        <f t="shared" si="125"/>
        <v>-0.66030288828883599</v>
      </c>
      <c r="E134" s="27">
        <f t="shared" si="125"/>
        <v>-2.4115892867804529</v>
      </c>
      <c r="F134" s="27">
        <f t="shared" si="126"/>
        <v>-3.0718921750692889</v>
      </c>
      <c r="L134" t="str">
        <f t="shared" si="127"/>
        <v>53 Skilled construction and building trades</v>
      </c>
      <c r="M134" s="27">
        <f t="shared" si="128"/>
        <v>2.6763496748343982</v>
      </c>
      <c r="N134" s="27">
        <f t="shared" si="128"/>
        <v>-3.9198579748013564</v>
      </c>
      <c r="O134" s="27">
        <f t="shared" si="128"/>
        <v>-0.54063042069509848</v>
      </c>
      <c r="P134" s="27">
        <f t="shared" si="128"/>
        <v>-2.4217525137881584</v>
      </c>
      <c r="Q134" s="27">
        <f t="shared" si="129"/>
        <v>-2.9623829344832568</v>
      </c>
      <c r="W134" t="str">
        <f t="shared" si="130"/>
        <v>53 Skilled construction and building trades</v>
      </c>
      <c r="X134" s="27">
        <f t="shared" si="131"/>
        <v>-1.2423285661846251E-2</v>
      </c>
      <c r="Y134" s="27">
        <f t="shared" si="131"/>
        <v>5.3774419386020955E-2</v>
      </c>
      <c r="Z134" s="27">
        <f t="shared" si="131"/>
        <v>-0.11967246759374794</v>
      </c>
      <c r="AA134" s="27">
        <f t="shared" si="131"/>
        <v>1.0163227007710662E-2</v>
      </c>
      <c r="AB134" s="27">
        <f t="shared" si="132"/>
        <v>-0.10950924058603728</v>
      </c>
    </row>
    <row r="135" spans="1:28" x14ac:dyDescent="0.25">
      <c r="A135" t="str">
        <f t="shared" si="124"/>
        <v>54 Textiles, printing and other skilled trades</v>
      </c>
      <c r="B135" s="27">
        <f t="shared" si="125"/>
        <v>-1.2229982216363684</v>
      </c>
      <c r="C135" s="27">
        <f t="shared" si="125"/>
        <v>-0.11670294746889276</v>
      </c>
      <c r="D135" s="27">
        <f t="shared" si="125"/>
        <v>8.9228371751490343E-2</v>
      </c>
      <c r="E135" s="27">
        <f t="shared" si="125"/>
        <v>-0.43343969336241006</v>
      </c>
      <c r="F135" s="27">
        <f t="shared" si="126"/>
        <v>-0.34421132161091972</v>
      </c>
      <c r="L135" t="str">
        <f t="shared" si="127"/>
        <v>54 Textiles, printing and other skilled trades</v>
      </c>
      <c r="M135" s="27">
        <f t="shared" si="128"/>
        <v>-0.83638701972756824</v>
      </c>
      <c r="N135" s="27">
        <f t="shared" si="128"/>
        <v>-0.55416807722050798</v>
      </c>
      <c r="O135" s="27">
        <f t="shared" si="128"/>
        <v>0.11116624707148937</v>
      </c>
      <c r="P135" s="27">
        <f t="shared" si="128"/>
        <v>-0.3751252538759795</v>
      </c>
      <c r="Q135" s="27">
        <f t="shared" si="129"/>
        <v>-0.26395900680449014</v>
      </c>
      <c r="W135" t="str">
        <f t="shared" si="130"/>
        <v>54 Textiles, printing and other skilled trades</v>
      </c>
      <c r="X135" s="27">
        <f t="shared" si="131"/>
        <v>-0.38661120190880593</v>
      </c>
      <c r="Y135" s="27">
        <f t="shared" si="131"/>
        <v>0.43746512975161522</v>
      </c>
      <c r="Z135" s="27">
        <f t="shared" si="131"/>
        <v>-2.193787531998348E-2</v>
      </c>
      <c r="AA135" s="27">
        <f t="shared" si="131"/>
        <v>-5.8314439486442993E-2</v>
      </c>
      <c r="AB135" s="27">
        <f t="shared" si="132"/>
        <v>-8.0252314806426472E-2</v>
      </c>
    </row>
    <row r="136" spans="1:28" x14ac:dyDescent="0.25">
      <c r="A136" t="str">
        <f t="shared" si="124"/>
        <v>61 Caring personal service occupations</v>
      </c>
      <c r="B136" s="27">
        <f t="shared" si="125"/>
        <v>2.5126430525085937</v>
      </c>
      <c r="C136" s="27">
        <f t="shared" si="125"/>
        <v>-1.3528553941437238</v>
      </c>
      <c r="D136" s="27">
        <f t="shared" si="125"/>
        <v>1.7662172645651069</v>
      </c>
      <c r="E136" s="27">
        <f t="shared" si="125"/>
        <v>3.656203639990693</v>
      </c>
      <c r="F136" s="27">
        <f t="shared" si="126"/>
        <v>5.4224209045557998</v>
      </c>
      <c r="L136" t="str">
        <f t="shared" si="127"/>
        <v>61 Caring personal service occupations</v>
      </c>
      <c r="M136" s="27">
        <f t="shared" si="128"/>
        <v>0.19692605122622187</v>
      </c>
      <c r="N136" s="27">
        <f t="shared" si="128"/>
        <v>-0.19447767623330936</v>
      </c>
      <c r="O136" s="27">
        <f t="shared" si="128"/>
        <v>0.7906694030025081</v>
      </c>
      <c r="P136" s="27">
        <f t="shared" si="128"/>
        <v>0.6879411966650455</v>
      </c>
      <c r="Q136" s="27">
        <f t="shared" si="129"/>
        <v>1.4786105996675536</v>
      </c>
      <c r="W136" t="str">
        <f t="shared" si="130"/>
        <v>61 Caring personal service occupations</v>
      </c>
      <c r="X136" s="27">
        <f t="shared" si="131"/>
        <v>2.315717001282394</v>
      </c>
      <c r="Y136" s="27">
        <f t="shared" si="131"/>
        <v>-1.158377717910426</v>
      </c>
      <c r="Z136" s="27">
        <f t="shared" si="131"/>
        <v>0.97554786156261031</v>
      </c>
      <c r="AA136" s="27">
        <f t="shared" si="131"/>
        <v>2.9682624433256493</v>
      </c>
      <c r="AB136" s="27">
        <f t="shared" si="132"/>
        <v>3.9438103048882596</v>
      </c>
    </row>
    <row r="137" spans="1:28" x14ac:dyDescent="0.25">
      <c r="A137" t="str">
        <f t="shared" si="124"/>
        <v>62 Leisure, travel and related personal service occupations</v>
      </c>
      <c r="B137" s="27">
        <f t="shared" si="125"/>
        <v>-1.453917593058593</v>
      </c>
      <c r="C137" s="27">
        <f t="shared" si="125"/>
        <v>-0.84637000276451957</v>
      </c>
      <c r="D137" s="27">
        <f t="shared" si="125"/>
        <v>-0.70058744185482524</v>
      </c>
      <c r="E137" s="27">
        <f t="shared" si="125"/>
        <v>-6.820975958341613E-2</v>
      </c>
      <c r="F137" s="27">
        <f t="shared" si="126"/>
        <v>-0.76879720143824137</v>
      </c>
      <c r="L137" t="str">
        <f t="shared" si="127"/>
        <v>62 Leisure, travel and related personal service occupations</v>
      </c>
      <c r="M137" s="27">
        <f t="shared" si="128"/>
        <v>-0.19194798118290235</v>
      </c>
      <c r="N137" s="27">
        <f t="shared" si="128"/>
        <v>-0.10786010077887997</v>
      </c>
      <c r="O137" s="27">
        <f t="shared" si="128"/>
        <v>-0.11761706857407361</v>
      </c>
      <c r="P137" s="27">
        <f t="shared" si="128"/>
        <v>6.8671553221615778E-2</v>
      </c>
      <c r="Q137" s="27">
        <f t="shared" si="129"/>
        <v>-4.8945515352457836E-2</v>
      </c>
      <c r="W137" t="str">
        <f t="shared" si="130"/>
        <v>62 Leisure, travel and related personal service occupations</v>
      </c>
      <c r="X137" s="27">
        <f t="shared" si="131"/>
        <v>-1.2619696118756822</v>
      </c>
      <c r="Y137" s="27">
        <f t="shared" si="131"/>
        <v>-0.73850990198564936</v>
      </c>
      <c r="Z137" s="27">
        <f t="shared" si="131"/>
        <v>-0.58297037328074452</v>
      </c>
      <c r="AA137" s="27">
        <f t="shared" si="131"/>
        <v>-0.13688131280503946</v>
      </c>
      <c r="AB137" s="27">
        <f t="shared" si="132"/>
        <v>-0.71985168608578398</v>
      </c>
    </row>
    <row r="138" spans="1:28" x14ac:dyDescent="0.25">
      <c r="A138" t="str">
        <f t="shared" si="124"/>
        <v>63 Community and civil enforcement occupations</v>
      </c>
      <c r="B138" s="27">
        <f t="shared" si="125"/>
        <v>-7.9207576698650362E-2</v>
      </c>
      <c r="C138" s="27">
        <f t="shared" si="125"/>
        <v>7.9471311604694173E-2</v>
      </c>
      <c r="D138" s="27">
        <f t="shared" si="125"/>
        <v>-0.10605315142002913</v>
      </c>
      <c r="E138" s="27">
        <f t="shared" si="125"/>
        <v>3.4164352915210583E-2</v>
      </c>
      <c r="F138" s="27">
        <f t="shared" si="126"/>
        <v>-7.1888798504818552E-2</v>
      </c>
      <c r="L138" t="str">
        <f t="shared" si="127"/>
        <v>63 Community and civil enforcement occupations</v>
      </c>
      <c r="M138" s="27">
        <f t="shared" si="128"/>
        <v>-0.10232238256175433</v>
      </c>
      <c r="N138" s="27">
        <f t="shared" si="128"/>
        <v>9.9991065123296335E-2</v>
      </c>
      <c r="O138" s="27">
        <f t="shared" si="128"/>
        <v>-0.14164120077511302</v>
      </c>
      <c r="P138" s="27">
        <f t="shared" si="128"/>
        <v>3.2484157768357669E-2</v>
      </c>
      <c r="Q138" s="27">
        <f t="shared" si="129"/>
        <v>-0.10915704300675536</v>
      </c>
      <c r="W138" t="str">
        <f t="shared" si="130"/>
        <v>63 Community and civil enforcement occupations</v>
      </c>
      <c r="X138" s="27">
        <f t="shared" si="131"/>
        <v>2.3114805863103771E-2</v>
      </c>
      <c r="Y138" s="27">
        <f t="shared" si="131"/>
        <v>-2.0519753518601719E-2</v>
      </c>
      <c r="Z138" s="27">
        <f t="shared" si="131"/>
        <v>3.5588049355084042E-2</v>
      </c>
      <c r="AA138" s="27">
        <f t="shared" si="131"/>
        <v>1.6801951468529974E-3</v>
      </c>
      <c r="AB138" s="27">
        <f t="shared" si="132"/>
        <v>3.726824450193704E-2</v>
      </c>
    </row>
    <row r="139" spans="1:28" x14ac:dyDescent="0.25">
      <c r="A139" t="str">
        <f t="shared" si="124"/>
        <v>71 Sales occupations</v>
      </c>
      <c r="B139" s="27">
        <f t="shared" si="125"/>
        <v>-3.487544684314674</v>
      </c>
      <c r="C139" s="27">
        <f t="shared" si="125"/>
        <v>-0.48531637927143123</v>
      </c>
      <c r="D139" s="27">
        <f t="shared" si="125"/>
        <v>-1.0371060330519235</v>
      </c>
      <c r="E139" s="27">
        <f t="shared" si="125"/>
        <v>-1.4004841494302305</v>
      </c>
      <c r="F139" s="27">
        <f t="shared" si="126"/>
        <v>-2.437590182482154</v>
      </c>
      <c r="L139" t="str">
        <f t="shared" si="127"/>
        <v>71 Sales occupations</v>
      </c>
      <c r="M139" s="27">
        <f t="shared" si="128"/>
        <v>-0.72360475246282085</v>
      </c>
      <c r="N139" s="27">
        <f t="shared" si="128"/>
        <v>-5.4713863786460593E-2</v>
      </c>
      <c r="O139" s="27">
        <f t="shared" si="128"/>
        <v>-0.24395460298467952</v>
      </c>
      <c r="P139" s="27">
        <f t="shared" si="128"/>
        <v>-0.32878578291136762</v>
      </c>
      <c r="Q139" s="27">
        <f t="shared" si="129"/>
        <v>-0.57274038589604714</v>
      </c>
      <c r="W139" t="str">
        <f t="shared" si="130"/>
        <v>71 Sales occupations</v>
      </c>
      <c r="X139" s="27">
        <f t="shared" si="131"/>
        <v>-2.7639399318519082</v>
      </c>
      <c r="Y139" s="27">
        <f t="shared" si="131"/>
        <v>-0.43060251548497064</v>
      </c>
      <c r="Z139" s="27">
        <f t="shared" si="131"/>
        <v>-0.79315143006727951</v>
      </c>
      <c r="AA139" s="27">
        <f t="shared" si="131"/>
        <v>-1.0716983665188025</v>
      </c>
      <c r="AB139" s="27">
        <f t="shared" si="132"/>
        <v>-1.864849796586082</v>
      </c>
    </row>
    <row r="140" spans="1:28" x14ac:dyDescent="0.25">
      <c r="A140" t="str">
        <f t="shared" si="124"/>
        <v>72 Customer service occupations</v>
      </c>
      <c r="B140" s="27">
        <f t="shared" si="125"/>
        <v>-0.24068892588858226</v>
      </c>
      <c r="C140" s="27">
        <f t="shared" si="125"/>
        <v>0.2408450881775881</v>
      </c>
      <c r="D140" s="27">
        <f t="shared" si="125"/>
        <v>1.0697881401183569</v>
      </c>
      <c r="E140" s="27">
        <f t="shared" si="125"/>
        <v>1.109098905620252</v>
      </c>
      <c r="F140" s="27">
        <f t="shared" si="126"/>
        <v>2.1788870457386089</v>
      </c>
      <c r="L140" t="str">
        <f t="shared" si="127"/>
        <v>72 Customer service occupations</v>
      </c>
      <c r="M140" s="27">
        <f t="shared" si="128"/>
        <v>-0.70804104761483044</v>
      </c>
      <c r="N140" s="27">
        <f t="shared" si="128"/>
        <v>0.50860615895856842</v>
      </c>
      <c r="O140" s="27">
        <f t="shared" si="128"/>
        <v>0.96819121224026405</v>
      </c>
      <c r="P140" s="27">
        <f t="shared" si="128"/>
        <v>0.66161356611042255</v>
      </c>
      <c r="Q140" s="27">
        <f t="shared" si="129"/>
        <v>1.6298047783506866</v>
      </c>
      <c r="W140" t="str">
        <f t="shared" si="130"/>
        <v>72 Customer service occupations</v>
      </c>
      <c r="X140" s="27">
        <f t="shared" si="131"/>
        <v>0.46735212172626106</v>
      </c>
      <c r="Y140" s="27">
        <f t="shared" si="131"/>
        <v>-0.2677610707809821</v>
      </c>
      <c r="Z140" s="27">
        <f t="shared" si="131"/>
        <v>0.10159692787807018</v>
      </c>
      <c r="AA140" s="27">
        <f t="shared" si="131"/>
        <v>0.44748533950984992</v>
      </c>
      <c r="AB140" s="27">
        <f t="shared" si="132"/>
        <v>0.5490822673879201</v>
      </c>
    </row>
    <row r="141" spans="1:28" x14ac:dyDescent="0.25">
      <c r="A141" t="str">
        <f t="shared" si="124"/>
        <v>81 Process, plant and machine operatives</v>
      </c>
      <c r="B141" s="27">
        <f t="shared" si="125"/>
        <v>-1.2806228034954508</v>
      </c>
      <c r="C141" s="27">
        <f t="shared" si="125"/>
        <v>-3.3541361507356378</v>
      </c>
      <c r="D141" s="27">
        <f t="shared" si="125"/>
        <v>0.60515352686688573</v>
      </c>
      <c r="E141" s="27">
        <f t="shared" si="125"/>
        <v>-1.4737461532014891</v>
      </c>
      <c r="F141" s="27">
        <f t="shared" si="126"/>
        <v>-0.86859262633460332</v>
      </c>
      <c r="L141" t="str">
        <f t="shared" si="127"/>
        <v>81 Process, plant and machine operatives</v>
      </c>
      <c r="M141" s="27">
        <f t="shared" si="128"/>
        <v>-1.4937625672057706</v>
      </c>
      <c r="N141" s="27">
        <f t="shared" si="128"/>
        <v>-2.7140935870530107</v>
      </c>
      <c r="O141" s="27">
        <f t="shared" si="128"/>
        <v>-3.1634931771931107E-2</v>
      </c>
      <c r="P141" s="27">
        <f t="shared" si="128"/>
        <v>-1.4715518419175986</v>
      </c>
      <c r="Q141" s="27">
        <f t="shared" si="129"/>
        <v>-1.5031867736895297</v>
      </c>
      <c r="W141" t="str">
        <f t="shared" si="130"/>
        <v>81 Process, plant and machine operatives</v>
      </c>
      <c r="X141" s="27">
        <f t="shared" si="131"/>
        <v>0.21313976371033938</v>
      </c>
      <c r="Y141" s="27">
        <f t="shared" si="131"/>
        <v>-0.6400425636826288</v>
      </c>
      <c r="Z141" s="27">
        <f t="shared" si="131"/>
        <v>0.63678845863880973</v>
      </c>
      <c r="AA141" s="27">
        <f t="shared" si="131"/>
        <v>-2.1943112838869183E-3</v>
      </c>
      <c r="AB141" s="27">
        <f t="shared" si="132"/>
        <v>0.63459414735492281</v>
      </c>
    </row>
    <row r="142" spans="1:28" x14ac:dyDescent="0.25">
      <c r="A142" t="str">
        <f t="shared" si="124"/>
        <v>82 Transport and mobile machine drivers and operatives</v>
      </c>
      <c r="B142" s="27">
        <f t="shared" si="125"/>
        <v>0.7124075894142301</v>
      </c>
      <c r="C142" s="27">
        <f t="shared" si="125"/>
        <v>-2.8599583889622266</v>
      </c>
      <c r="D142" s="27">
        <f t="shared" si="125"/>
        <v>0.76477774296083822</v>
      </c>
      <c r="E142" s="27">
        <f t="shared" si="125"/>
        <v>-5.4821690014900781E-2</v>
      </c>
      <c r="F142" s="27">
        <f t="shared" si="126"/>
        <v>0.70995605294593744</v>
      </c>
      <c r="L142" t="str">
        <f t="shared" si="127"/>
        <v>82 Transport and mobile machine drivers and operatives</v>
      </c>
      <c r="M142" s="27">
        <f t="shared" si="128"/>
        <v>0.65055306345594488</v>
      </c>
      <c r="N142" s="27">
        <f t="shared" si="128"/>
        <v>-2.6750589847917325</v>
      </c>
      <c r="O142" s="27">
        <f t="shared" si="128"/>
        <v>0.4359726969872213</v>
      </c>
      <c r="P142" s="27">
        <f t="shared" si="128"/>
        <v>-0.21692884254111533</v>
      </c>
      <c r="Q142" s="27">
        <f t="shared" si="129"/>
        <v>0.21904385444610597</v>
      </c>
      <c r="W142" t="str">
        <f t="shared" si="130"/>
        <v>82 Transport and mobile machine drivers and operatives</v>
      </c>
      <c r="X142" s="27">
        <f t="shared" si="131"/>
        <v>6.185452595830343E-2</v>
      </c>
      <c r="Y142" s="27">
        <f t="shared" si="131"/>
        <v>-0.18489940417052897</v>
      </c>
      <c r="Z142" s="27">
        <f t="shared" si="131"/>
        <v>0.32880504597362581</v>
      </c>
      <c r="AA142" s="27">
        <f t="shared" si="131"/>
        <v>0.16210715252617436</v>
      </c>
      <c r="AB142" s="27">
        <f t="shared" si="132"/>
        <v>0.49091219849980017</v>
      </c>
    </row>
    <row r="143" spans="1:28" x14ac:dyDescent="0.25">
      <c r="A143" t="str">
        <f t="shared" si="124"/>
        <v>91 Elementary trades and related occupations</v>
      </c>
      <c r="B143" s="27">
        <f t="shared" si="125"/>
        <v>-1.6554030260731132</v>
      </c>
      <c r="C143" s="27">
        <f t="shared" si="125"/>
        <v>-1.2341460296344113</v>
      </c>
      <c r="D143" s="27">
        <f t="shared" si="125"/>
        <v>6.4126175043579128</v>
      </c>
      <c r="E143" s="27">
        <f t="shared" si="125"/>
        <v>1.4862751792054141</v>
      </c>
      <c r="F143" s="27">
        <f t="shared" si="126"/>
        <v>7.8988926835633269</v>
      </c>
      <c r="L143" t="str">
        <f t="shared" si="127"/>
        <v>91 Elementary trades and related occupations</v>
      </c>
      <c r="M143" s="27">
        <f t="shared" si="128"/>
        <v>-1.2313296656435604</v>
      </c>
      <c r="N143" s="27">
        <f t="shared" si="128"/>
        <v>-0.74287375994925586</v>
      </c>
      <c r="O143" s="27">
        <f t="shared" si="128"/>
        <v>2.3199551838319961</v>
      </c>
      <c r="P143" s="27">
        <f t="shared" si="128"/>
        <v>0.47886290743664617</v>
      </c>
      <c r="Q143" s="27">
        <f t="shared" si="129"/>
        <v>2.7988180912686422</v>
      </c>
      <c r="W143" t="str">
        <f t="shared" si="130"/>
        <v>91 Elementary trades and related occupations</v>
      </c>
      <c r="X143" s="27">
        <f t="shared" si="131"/>
        <v>-0.42407336042955235</v>
      </c>
      <c r="Y143" s="27">
        <f t="shared" si="131"/>
        <v>-0.49127226968513393</v>
      </c>
      <c r="Z143" s="27">
        <f t="shared" si="131"/>
        <v>4.0926623205259096</v>
      </c>
      <c r="AA143" s="27">
        <f t="shared" si="131"/>
        <v>1.0074122717687573</v>
      </c>
      <c r="AB143" s="27">
        <f t="shared" si="132"/>
        <v>5.1000745922946669</v>
      </c>
    </row>
    <row r="144" spans="1:28" x14ac:dyDescent="0.25">
      <c r="A144" t="str">
        <f t="shared" si="124"/>
        <v>92 Elementary administration and service occupations</v>
      </c>
      <c r="B144" s="27">
        <f t="shared" si="125"/>
        <v>-3.7055840809136953</v>
      </c>
      <c r="C144" s="27">
        <f t="shared" si="125"/>
        <v>-4.0779719753418462</v>
      </c>
      <c r="D144" s="27">
        <f t="shared" si="125"/>
        <v>-4.4647952278092404</v>
      </c>
      <c r="E144" s="27">
        <f t="shared" si="125"/>
        <v>-3.7429785865071032</v>
      </c>
      <c r="F144" s="27">
        <f t="shared" si="126"/>
        <v>-8.2077738143163437</v>
      </c>
      <c r="L144" t="str">
        <f t="shared" si="127"/>
        <v>92 Elementary administration and service occupations</v>
      </c>
      <c r="M144" s="27">
        <f t="shared" si="128"/>
        <v>-3.6565665761607988</v>
      </c>
      <c r="N144" s="27">
        <f t="shared" si="128"/>
        <v>-1.1698283141304877</v>
      </c>
      <c r="O144" s="27">
        <f t="shared" si="128"/>
        <v>-0.48173560264843118</v>
      </c>
      <c r="P144" s="27">
        <f t="shared" si="128"/>
        <v>-1.6079444441740414</v>
      </c>
      <c r="Q144" s="27">
        <f t="shared" si="129"/>
        <v>-2.0896800468224725</v>
      </c>
      <c r="W144" t="str">
        <f t="shared" si="130"/>
        <v>92 Elementary administration and service occupations</v>
      </c>
      <c r="X144" s="27">
        <f t="shared" si="131"/>
        <v>-4.9017504752871588E-2</v>
      </c>
      <c r="Y144" s="27">
        <f t="shared" si="131"/>
        <v>-2.9081436612113336</v>
      </c>
      <c r="Z144" s="27">
        <f t="shared" si="131"/>
        <v>-3.983059625160811</v>
      </c>
      <c r="AA144" s="27">
        <f t="shared" si="131"/>
        <v>-2.1350341423330672</v>
      </c>
      <c r="AB144" s="27">
        <f t="shared" si="132"/>
        <v>-6.1180937674938782</v>
      </c>
    </row>
    <row r="145" spans="1:31" x14ac:dyDescent="0.25">
      <c r="C145" s="27"/>
      <c r="F145" s="27"/>
      <c r="N145" s="27"/>
      <c r="Q145" s="27"/>
      <c r="Y145" s="27"/>
      <c r="AB145" s="27"/>
    </row>
    <row r="146" spans="1:31" x14ac:dyDescent="0.25">
      <c r="A146" s="24" t="str">
        <f>A35</f>
        <v>All occupations</v>
      </c>
      <c r="B146" s="29">
        <f>C35-B35</f>
        <v>4.3689999999995734</v>
      </c>
      <c r="C146" s="29">
        <f t="shared" ref="C146" si="133">D35-C35</f>
        <v>-13.73700000000008</v>
      </c>
      <c r="D146" s="29">
        <f>E35-D35</f>
        <v>11.934000000000594</v>
      </c>
      <c r="E146" s="29">
        <f>F35-E35</f>
        <v>13.815999999999519</v>
      </c>
      <c r="F146" s="29">
        <f t="shared" ref="F146" si="134">F35-D35</f>
        <v>25.750000000000114</v>
      </c>
      <c r="L146" s="24" t="str">
        <f>L35</f>
        <v>All occupations</v>
      </c>
      <c r="M146" s="29">
        <f>N35-M35</f>
        <v>-2.5712700791645489</v>
      </c>
      <c r="N146" s="29">
        <f t="shared" ref="N146" si="135">O35-N35</f>
        <v>-10.802327991869845</v>
      </c>
      <c r="O146" s="29">
        <f>P35-O35</f>
        <v>4.7755620649037382</v>
      </c>
      <c r="P146" s="29">
        <f>Q35-P35</f>
        <v>3.5695015370884562</v>
      </c>
      <c r="Q146" s="29">
        <f t="shared" ref="Q146" si="136">Q35-O35</f>
        <v>8.3450636019921944</v>
      </c>
      <c r="W146" s="24" t="str">
        <f>W35</f>
        <v>All occupations</v>
      </c>
      <c r="X146" s="29">
        <f>Y35-X35</f>
        <v>6.9402700791643497</v>
      </c>
      <c r="Y146" s="29">
        <f t="shared" ref="Y146" si="137">Z35-Y35</f>
        <v>-2.934672008130093</v>
      </c>
      <c r="Z146" s="29">
        <f>AA35-Z35</f>
        <v>7.1584379350962593</v>
      </c>
      <c r="AA146" s="29">
        <f>AB35-AA35</f>
        <v>10.246498462911234</v>
      </c>
      <c r="AB146" s="29">
        <f t="shared" ref="AB146" si="138">AB35-Z35</f>
        <v>17.404936398007493</v>
      </c>
    </row>
    <row r="150" spans="1:31" ht="13" x14ac:dyDescent="0.3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ht="13" x14ac:dyDescent="0.3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29.880785800881405</v>
      </c>
      <c r="C153" s="11">
        <f t="shared" ref="C153:F153" si="143">C8</f>
        <v>33.670781149647794</v>
      </c>
      <c r="D153" s="11">
        <f t="shared" si="143"/>
        <v>34.557349518918279</v>
      </c>
      <c r="E153" s="11">
        <f t="shared" si="143"/>
        <v>31.172230771306513</v>
      </c>
      <c r="F153" s="11">
        <f t="shared" si="143"/>
        <v>33.924972676339749</v>
      </c>
      <c r="H153" s="40">
        <f>IF(D$151-B$151 &lt;&gt; 0,(EXP(LN(D153/B153)/(D$151-B$151))-1)*100,0)</f>
        <v>2.9507896898499641</v>
      </c>
      <c r="I153" s="40">
        <f>IF(F$151-D$151 &lt;&gt; 0,(EXP(LN(F153/D153)/(F$151-D$151))-1)*100,0)</f>
        <v>-0.12304988831006725</v>
      </c>
      <c r="L153" s="10" t="str">
        <f>L8</f>
        <v>11 Corporate managers and directors</v>
      </c>
      <c r="M153" s="11">
        <f>M8</f>
        <v>21.454658057601161</v>
      </c>
      <c r="N153" s="11">
        <f t="shared" ref="N153:Q153" si="144">N8</f>
        <v>23.253971641556287</v>
      </c>
      <c r="O153" s="11">
        <f t="shared" si="144"/>
        <v>23.54205175517588</v>
      </c>
      <c r="P153" s="11">
        <f t="shared" si="144"/>
        <v>20.412137547650719</v>
      </c>
      <c r="Q153" s="11">
        <f t="shared" si="144"/>
        <v>21.302900715398657</v>
      </c>
      <c r="S153" s="40">
        <f>IF(O$151-M$151 &lt;&gt; 0,(EXP(LN(O153/M153)/(O$151-M$151))-1)*100,0)</f>
        <v>1.8742777063866845</v>
      </c>
      <c r="T153" s="40">
        <f>IF(Q$151-O$151 &lt;&gt; 0,(EXP(LN(Q153/O153)/(Q$151-O$151))-1)*100,0)</f>
        <v>-0.66408521726293301</v>
      </c>
      <c r="W153" s="10" t="str">
        <f>W8</f>
        <v>11 Corporate managers and directors</v>
      </c>
      <c r="X153" s="11">
        <f>X8</f>
        <v>8.4261277432802579</v>
      </c>
      <c r="Y153" s="11">
        <f t="shared" ref="Y153:AB153" si="145">Y8</f>
        <v>10.416809508091493</v>
      </c>
      <c r="Z153" s="11">
        <f t="shared" si="145"/>
        <v>11.015297763742437</v>
      </c>
      <c r="AA153" s="11">
        <f t="shared" si="145"/>
        <v>10.760093223655758</v>
      </c>
      <c r="AB153" s="11">
        <f t="shared" si="145"/>
        <v>12.622071960941076</v>
      </c>
      <c r="AD153" s="40">
        <f>IF(Z$151-X$151 &lt;&gt; 0,(EXP(LN(Z153/X153)/(Z$151-X$151))-1)*100,0)</f>
        <v>5.5051454399718702</v>
      </c>
      <c r="AE153" s="40">
        <f>IF(AB$151-Z$151 &lt;&gt; 0,(EXP(LN(AB153/Z153)/(AB$151-Z$151))-1)*100,0)</f>
        <v>0.91187926170008815</v>
      </c>
    </row>
    <row r="154" spans="1:31" x14ac:dyDescent="0.25">
      <c r="A154" s="10" t="str">
        <f t="shared" si="142"/>
        <v>12 Other managers and proprietors</v>
      </c>
      <c r="B154" s="11">
        <f t="shared" si="142"/>
        <v>12.511934815118931</v>
      </c>
      <c r="C154" s="11">
        <f t="shared" ref="C154:F178" si="146">C9</f>
        <v>12.674366859929489</v>
      </c>
      <c r="D154" s="11">
        <f t="shared" si="146"/>
        <v>13.243017973457505</v>
      </c>
      <c r="E154" s="11">
        <f t="shared" si="146"/>
        <v>13.664593479636807</v>
      </c>
      <c r="F154" s="11">
        <f t="shared" si="146"/>
        <v>15.301206610194454</v>
      </c>
      <c r="H154" s="40">
        <f t="shared" ref="H154:H177" si="147">IF(D$151-B$151 &lt;&gt; 0,(EXP(LN(D154/B154)/(D$151-B$151))-1)*100,0)</f>
        <v>1.1422240086861102</v>
      </c>
      <c r="I154" s="40">
        <f t="shared" ref="I154:I180" si="148">IF(F$151-D$151 &lt;&gt; 0,(EXP(LN(F154/D154)/(F$151-D$151))-1)*100,0)</f>
        <v>0.96772729272256441</v>
      </c>
      <c r="L154" s="10" t="str">
        <f t="shared" ref="L154:Q154" si="149">L9</f>
        <v>12 Other managers and proprietors</v>
      </c>
      <c r="M154" s="11">
        <f t="shared" si="149"/>
        <v>7.5795667609880075</v>
      </c>
      <c r="N154" s="11">
        <f t="shared" si="149"/>
        <v>7.7941322022029569</v>
      </c>
      <c r="O154" s="11">
        <f t="shared" si="149"/>
        <v>7.3861335606273251</v>
      </c>
      <c r="P154" s="11">
        <f t="shared" si="149"/>
        <v>8.3217221266713981</v>
      </c>
      <c r="Q154" s="11">
        <f t="shared" si="149"/>
        <v>9.2680775133572819</v>
      </c>
      <c r="S154" s="40">
        <f t="shared" ref="S154:S177" si="150">IF(O$151-M$151 &lt;&gt; 0,(EXP(LN(O154/M154)/(O$151-M$151))-1)*100,0)</f>
        <v>-0.51569855102747697</v>
      </c>
      <c r="T154" s="40">
        <f t="shared" ref="T154:T177" si="151">IF(Q$151-O$151 &lt;&gt; 0,(EXP(LN(Q154/O154)/(Q$151-O$151))-1)*100,0)</f>
        <v>1.5246497874580989</v>
      </c>
      <c r="W154" s="10" t="str">
        <f t="shared" ref="W154:AB154" si="152">W9</f>
        <v>12 Other managers and proprietors</v>
      </c>
      <c r="X154" s="11">
        <f t="shared" si="152"/>
        <v>4.9323680541309223</v>
      </c>
      <c r="Y154" s="11">
        <f t="shared" si="152"/>
        <v>4.8802346577265361</v>
      </c>
      <c r="Z154" s="11">
        <f t="shared" si="152"/>
        <v>5.8568844128301869</v>
      </c>
      <c r="AA154" s="11">
        <f t="shared" si="152"/>
        <v>5.3428713529654024</v>
      </c>
      <c r="AB154" s="11">
        <f t="shared" si="152"/>
        <v>6.0331290968371736</v>
      </c>
      <c r="AD154" s="40">
        <f t="shared" ref="AD154:AD177" si="153">IF(Z$151-X$151 &lt;&gt; 0,(EXP(LN(Z154/X154)/(Z$151-X$151))-1)*100,0)</f>
        <v>3.4956831090892093</v>
      </c>
      <c r="AE154" s="40">
        <f t="shared" ref="AE154:AE177" si="154">IF(AB$151-Z$151 &lt;&gt; 0,(EXP(LN(AB154/Z154)/(AB$151-Z$151))-1)*100,0)</f>
        <v>0.19784883397389041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23.692567314037611</v>
      </c>
      <c r="C155" s="11">
        <f t="shared" si="146"/>
        <v>25.522442469208745</v>
      </c>
      <c r="D155" s="11">
        <f t="shared" si="146"/>
        <v>26.67415223973487</v>
      </c>
      <c r="E155" s="11">
        <f t="shared" si="146"/>
        <v>32.331352616593463</v>
      </c>
      <c r="F155" s="11">
        <f t="shared" si="146"/>
        <v>36.460147888250177</v>
      </c>
      <c r="H155" s="40">
        <f t="shared" si="147"/>
        <v>2.3989964645567241</v>
      </c>
      <c r="I155" s="40">
        <f t="shared" si="148"/>
        <v>2.1053550953749944</v>
      </c>
      <c r="L155" s="10" t="str">
        <f t="shared" ref="L155:Q155" si="155">L10</f>
        <v>21 Science, research, engineering and technology professionals</v>
      </c>
      <c r="M155" s="11">
        <f t="shared" si="155"/>
        <v>19.986025304537037</v>
      </c>
      <c r="N155" s="11">
        <f t="shared" si="155"/>
        <v>21.615322305784471</v>
      </c>
      <c r="O155" s="11">
        <f t="shared" si="155"/>
        <v>21.806577872402684</v>
      </c>
      <c r="P155" s="11">
        <f t="shared" si="155"/>
        <v>25.770202574421965</v>
      </c>
      <c r="Q155" s="11">
        <f t="shared" si="155"/>
        <v>28.300759774136683</v>
      </c>
      <c r="S155" s="40">
        <f t="shared" si="150"/>
        <v>1.7588562032113675</v>
      </c>
      <c r="T155" s="40">
        <f t="shared" si="151"/>
        <v>1.75303500942805</v>
      </c>
      <c r="W155" s="10" t="str">
        <f t="shared" ref="W155:AB155" si="156">W10</f>
        <v>21 Science, research, engineering and technology professionals</v>
      </c>
      <c r="X155" s="11">
        <f t="shared" si="156"/>
        <v>3.7065420095005157</v>
      </c>
      <c r="Y155" s="11">
        <f t="shared" si="156"/>
        <v>3.9071201634243011</v>
      </c>
      <c r="Z155" s="11">
        <f t="shared" si="156"/>
        <v>4.8675743673321961</v>
      </c>
      <c r="AA155" s="11">
        <f t="shared" si="156"/>
        <v>6.5611500421714508</v>
      </c>
      <c r="AB155" s="11">
        <f t="shared" si="156"/>
        <v>8.1593881141135594</v>
      </c>
      <c r="AD155" s="40">
        <f t="shared" si="153"/>
        <v>5.6011709206503779</v>
      </c>
      <c r="AE155" s="40">
        <f t="shared" si="154"/>
        <v>3.5038091660962278</v>
      </c>
    </row>
    <row r="156" spans="1:31" x14ac:dyDescent="0.25">
      <c r="A156" s="10" t="str">
        <f t="shared" si="142"/>
        <v>22 Health professionals</v>
      </c>
      <c r="B156" s="11">
        <f t="shared" si="142"/>
        <v>21.674771905892207</v>
      </c>
      <c r="C156" s="11">
        <f t="shared" si="146"/>
        <v>27.315802663195459</v>
      </c>
      <c r="D156" s="11">
        <f t="shared" si="146"/>
        <v>26.885303796114776</v>
      </c>
      <c r="E156" s="11">
        <f t="shared" si="146"/>
        <v>26.54413441665373</v>
      </c>
      <c r="F156" s="11">
        <f t="shared" si="146"/>
        <v>28.579623063913772</v>
      </c>
      <c r="H156" s="40">
        <f t="shared" si="147"/>
        <v>4.4027846668944992</v>
      </c>
      <c r="I156" s="40">
        <f t="shared" si="148"/>
        <v>0.40825893933129631</v>
      </c>
      <c r="L156" s="10" t="str">
        <f t="shared" ref="L156:Q156" si="157">L11</f>
        <v>22 Health professionals</v>
      </c>
      <c r="M156" s="11">
        <f t="shared" si="157"/>
        <v>5.0825544000815421</v>
      </c>
      <c r="N156" s="11">
        <f t="shared" si="157"/>
        <v>6.4601621724174176</v>
      </c>
      <c r="O156" s="11">
        <f t="shared" si="157"/>
        <v>6.8725916386043506</v>
      </c>
      <c r="P156" s="11">
        <f t="shared" si="157"/>
        <v>6.7683171970345866</v>
      </c>
      <c r="Q156" s="11">
        <f t="shared" si="157"/>
        <v>7.2080802251589775</v>
      </c>
      <c r="S156" s="40">
        <f t="shared" si="150"/>
        <v>6.2203433070944447</v>
      </c>
      <c r="T156" s="40">
        <f t="shared" si="151"/>
        <v>0.3182478378464193</v>
      </c>
      <c r="W156" s="10" t="str">
        <f t="shared" ref="W156:AB156" si="158">W11</f>
        <v>22 Health professionals</v>
      </c>
      <c r="X156" s="11">
        <f t="shared" si="158"/>
        <v>16.592217505810641</v>
      </c>
      <c r="Y156" s="11">
        <f t="shared" si="158"/>
        <v>20.855640490778033</v>
      </c>
      <c r="Z156" s="11">
        <f t="shared" si="158"/>
        <v>20.01271215751045</v>
      </c>
      <c r="AA156" s="11">
        <f t="shared" si="158"/>
        <v>19.77581721961911</v>
      </c>
      <c r="AB156" s="11">
        <f t="shared" si="158"/>
        <v>21.371542838754806</v>
      </c>
      <c r="AD156" s="40">
        <f t="shared" si="153"/>
        <v>3.8198275962954664</v>
      </c>
      <c r="AE156" s="40">
        <f t="shared" si="154"/>
        <v>0.43891096289416787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19.540374765671235</v>
      </c>
      <c r="C157" s="11">
        <f t="shared" si="146"/>
        <v>20.765597855160532</v>
      </c>
      <c r="D157" s="11">
        <f t="shared" si="146"/>
        <v>22.026617843508607</v>
      </c>
      <c r="E157" s="11">
        <f t="shared" si="146"/>
        <v>21.969692618216403</v>
      </c>
      <c r="F157" s="11">
        <f t="shared" si="146"/>
        <v>24.165356288680911</v>
      </c>
      <c r="H157" s="40">
        <f t="shared" si="147"/>
        <v>2.4242955423134038</v>
      </c>
      <c r="I157" s="40">
        <f t="shared" si="148"/>
        <v>0.61970175648629056</v>
      </c>
      <c r="L157" s="10" t="str">
        <f t="shared" ref="L157:Q157" si="159">L12</f>
        <v>23 Teaching and other educational professionals</v>
      </c>
      <c r="M157" s="11">
        <f t="shared" si="159"/>
        <v>6.5723400569597734</v>
      </c>
      <c r="N157" s="11">
        <f t="shared" si="159"/>
        <v>6.636670282223009</v>
      </c>
      <c r="O157" s="11">
        <f t="shared" si="159"/>
        <v>7.1451073437704435</v>
      </c>
      <c r="P157" s="11">
        <f t="shared" si="159"/>
        <v>7.2878052434135228</v>
      </c>
      <c r="Q157" s="11">
        <f t="shared" si="159"/>
        <v>7.8222420300595887</v>
      </c>
      <c r="S157" s="40">
        <f t="shared" si="150"/>
        <v>1.6851998099975285</v>
      </c>
      <c r="T157" s="40">
        <f t="shared" si="151"/>
        <v>0.60544802665907227</v>
      </c>
      <c r="W157" s="10" t="str">
        <f t="shared" ref="W157:AB157" si="160">W12</f>
        <v>23 Teaching and other educational professionals</v>
      </c>
      <c r="X157" s="11">
        <f t="shared" si="160"/>
        <v>12.968034708711482</v>
      </c>
      <c r="Y157" s="11">
        <f t="shared" si="160"/>
        <v>14.128927572937538</v>
      </c>
      <c r="Z157" s="11">
        <f t="shared" si="160"/>
        <v>14.881510499738123</v>
      </c>
      <c r="AA157" s="11">
        <f t="shared" si="160"/>
        <v>14.681887374802837</v>
      </c>
      <c r="AB157" s="11">
        <f t="shared" si="160"/>
        <v>16.343114258621309</v>
      </c>
      <c r="AD157" s="40">
        <f t="shared" si="153"/>
        <v>2.7908767043660632</v>
      </c>
      <c r="AE157" s="40">
        <f t="shared" si="154"/>
        <v>0.62653541359121157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22.806193659159341</v>
      </c>
      <c r="C158" s="11">
        <f t="shared" si="146"/>
        <v>25.456333561960076</v>
      </c>
      <c r="D158" s="11">
        <f t="shared" si="146"/>
        <v>27.957759360330201</v>
      </c>
      <c r="E158" s="11">
        <f t="shared" si="146"/>
        <v>29.117208402464584</v>
      </c>
      <c r="F158" s="11">
        <f t="shared" si="146"/>
        <v>32.53409025770577</v>
      </c>
      <c r="H158" s="40">
        <f t="shared" si="147"/>
        <v>4.1573473635407421</v>
      </c>
      <c r="I158" s="40">
        <f t="shared" si="148"/>
        <v>1.015748682921247</v>
      </c>
      <c r="L158" s="10" t="str">
        <f t="shared" ref="L158:Q158" si="161">L13</f>
        <v>24 Business, media and public service professionals</v>
      </c>
      <c r="M158" s="11">
        <f t="shared" si="161"/>
        <v>13.893541405818606</v>
      </c>
      <c r="N158" s="11">
        <f t="shared" si="161"/>
        <v>14.748466692046149</v>
      </c>
      <c r="O158" s="11">
        <f t="shared" si="161"/>
        <v>16.215269174648807</v>
      </c>
      <c r="P158" s="11">
        <f t="shared" si="161"/>
        <v>17.07537919751244</v>
      </c>
      <c r="Q158" s="11">
        <f t="shared" si="161"/>
        <v>18.434762102201113</v>
      </c>
      <c r="S158" s="40">
        <f t="shared" si="150"/>
        <v>3.1388395104178013</v>
      </c>
      <c r="T158" s="40">
        <f t="shared" si="151"/>
        <v>0.85889946905082226</v>
      </c>
      <c r="W158" s="10" t="str">
        <f t="shared" ref="W158:AB158" si="162">W13</f>
        <v>24 Business, media and public service professionals</v>
      </c>
      <c r="X158" s="11">
        <f t="shared" si="162"/>
        <v>8.9126522533407151</v>
      </c>
      <c r="Y158" s="11">
        <f t="shared" si="162"/>
        <v>10.707866869913953</v>
      </c>
      <c r="Z158" s="11">
        <f t="shared" si="162"/>
        <v>11.742490185681445</v>
      </c>
      <c r="AA158" s="11">
        <f t="shared" si="162"/>
        <v>12.041829204952135</v>
      </c>
      <c r="AB158" s="11">
        <f t="shared" si="162"/>
        <v>14.099328155504613</v>
      </c>
      <c r="AD158" s="40">
        <f t="shared" si="153"/>
        <v>5.6697424208443925</v>
      </c>
      <c r="AE158" s="40">
        <f t="shared" si="154"/>
        <v>1.2268868895596308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7.6396337675645283</v>
      </c>
      <c r="C159" s="11">
        <f t="shared" si="146"/>
        <v>8.077817744101548</v>
      </c>
      <c r="D159" s="11">
        <f t="shared" si="146"/>
        <v>8.7119007645620972</v>
      </c>
      <c r="E159" s="11">
        <f t="shared" si="146"/>
        <v>8.0146156799495873</v>
      </c>
      <c r="F159" s="11">
        <f t="shared" si="146"/>
        <v>8.4283160725445487</v>
      </c>
      <c r="H159" s="40">
        <f t="shared" si="147"/>
        <v>2.6616112272142889</v>
      </c>
      <c r="I159" s="40">
        <f t="shared" si="148"/>
        <v>-0.22037679293600565</v>
      </c>
      <c r="L159" s="10" t="str">
        <f t="shared" ref="L159:Q159" si="163">L14</f>
        <v>31 Science, engineering and technology associate professionals</v>
      </c>
      <c r="M159" s="11">
        <f t="shared" si="163"/>
        <v>5.9852648662886345</v>
      </c>
      <c r="N159" s="11">
        <f t="shared" si="163"/>
        <v>6.4562749389300134</v>
      </c>
      <c r="O159" s="11">
        <f t="shared" si="163"/>
        <v>6.7208561905131106</v>
      </c>
      <c r="P159" s="11">
        <f t="shared" si="163"/>
        <v>5.9186946402459135</v>
      </c>
      <c r="Q159" s="11">
        <f t="shared" si="163"/>
        <v>5.9693453417966023</v>
      </c>
      <c r="S159" s="40">
        <f t="shared" si="150"/>
        <v>2.3453806818395817</v>
      </c>
      <c r="T159" s="40">
        <f t="shared" si="151"/>
        <v>-0.78740554141478736</v>
      </c>
      <c r="W159" s="10" t="str">
        <f t="shared" ref="W159:AB159" si="164">W14</f>
        <v>31 Science, engineering and technology associate professionals</v>
      </c>
      <c r="X159" s="11">
        <f t="shared" si="164"/>
        <v>1.6543689012758929</v>
      </c>
      <c r="Y159" s="11">
        <f t="shared" si="164"/>
        <v>1.6215428051715406</v>
      </c>
      <c r="Z159" s="11">
        <f t="shared" si="164"/>
        <v>1.9910445740489724</v>
      </c>
      <c r="AA159" s="11">
        <f t="shared" si="164"/>
        <v>2.0959210397036738</v>
      </c>
      <c r="AB159" s="11">
        <f t="shared" si="164"/>
        <v>2.4589707307479522</v>
      </c>
      <c r="AD159" s="40">
        <f t="shared" si="153"/>
        <v>3.7742790832917317</v>
      </c>
      <c r="AE159" s="40">
        <f t="shared" si="154"/>
        <v>1.4171709756978013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9.0328897579836376</v>
      </c>
      <c r="C160" s="11">
        <f t="shared" si="146"/>
        <v>10.95672977042833</v>
      </c>
      <c r="D160" s="11">
        <f t="shared" si="146"/>
        <v>11.001883705458065</v>
      </c>
      <c r="E160" s="11">
        <f t="shared" si="146"/>
        <v>17.680149098148942</v>
      </c>
      <c r="F160" s="11">
        <f t="shared" si="146"/>
        <v>21.055821572998454</v>
      </c>
      <c r="H160" s="40">
        <f t="shared" si="147"/>
        <v>4.0226870496867573</v>
      </c>
      <c r="I160" s="40">
        <f t="shared" si="148"/>
        <v>4.422401319894731</v>
      </c>
      <c r="L160" s="10" t="str">
        <f t="shared" ref="L160:Q160" si="165">L15</f>
        <v>32 Health and social care associate professionals</v>
      </c>
      <c r="M160" s="11">
        <f t="shared" si="165"/>
        <v>2.0898092470984437</v>
      </c>
      <c r="N160" s="11">
        <f t="shared" si="165"/>
        <v>2.3358003727577166</v>
      </c>
      <c r="O160" s="11">
        <f t="shared" si="165"/>
        <v>2.4607813380873722</v>
      </c>
      <c r="P160" s="11">
        <f t="shared" si="165"/>
        <v>3.284403538104105</v>
      </c>
      <c r="Q160" s="11">
        <f t="shared" si="165"/>
        <v>3.6552006282453262</v>
      </c>
      <c r="S160" s="40">
        <f t="shared" si="150"/>
        <v>3.3221121498853146</v>
      </c>
      <c r="T160" s="40">
        <f>IF(Q$151-O$151 &lt;&gt; 0,(EXP(LN(Q160/O160)/(Q$151-O$151))-1)*100,0)</f>
        <v>2.6729120135512208</v>
      </c>
      <c r="W160" s="10" t="str">
        <f t="shared" ref="W160:AB160" si="166">W15</f>
        <v>32 Health and social care associate professionals</v>
      </c>
      <c r="X160" s="11">
        <f t="shared" si="166"/>
        <v>6.9430805108852143</v>
      </c>
      <c r="Y160" s="11">
        <f t="shared" si="166"/>
        <v>8.6209293976705972</v>
      </c>
      <c r="Z160" s="11">
        <f t="shared" si="166"/>
        <v>8.5411023673706872</v>
      </c>
      <c r="AA160" s="11">
        <f t="shared" si="166"/>
        <v>14.395745560044855</v>
      </c>
      <c r="AB160" s="11">
        <f t="shared" si="166"/>
        <v>17.400620944753129</v>
      </c>
      <c r="AD160" s="40">
        <f t="shared" si="153"/>
        <v>4.2299057719797029</v>
      </c>
      <c r="AE160" s="40">
        <f t="shared" si="154"/>
        <v>4.8584389427574814</v>
      </c>
    </row>
    <row r="161" spans="1:31" x14ac:dyDescent="0.25">
      <c r="A161" s="10" t="str">
        <f t="shared" si="142"/>
        <v>33 Protective service occupations</v>
      </c>
      <c r="B161" s="11">
        <f t="shared" si="142"/>
        <v>4.4444232941510675</v>
      </c>
      <c r="C161" s="11">
        <f t="shared" si="146"/>
        <v>4.4270085893151121</v>
      </c>
      <c r="D161" s="11">
        <f t="shared" si="146"/>
        <v>4.6873216411379666</v>
      </c>
      <c r="E161" s="11">
        <f t="shared" si="146"/>
        <v>4.0581613546153656</v>
      </c>
      <c r="F161" s="11">
        <f t="shared" si="146"/>
        <v>4.4519253372123764</v>
      </c>
      <c r="H161" s="40">
        <f t="shared" si="147"/>
        <v>1.0699074651868257</v>
      </c>
      <c r="I161" s="40">
        <f t="shared" si="148"/>
        <v>-0.34290857454674084</v>
      </c>
      <c r="L161" s="10" t="str">
        <f t="shared" ref="L161:Q161" si="167">L16</f>
        <v>33 Protective service occupations</v>
      </c>
      <c r="M161" s="11">
        <f t="shared" si="167"/>
        <v>3.4291501970427154</v>
      </c>
      <c r="N161" s="11">
        <f t="shared" si="167"/>
        <v>3.2746787311090442</v>
      </c>
      <c r="O161" s="11">
        <f t="shared" si="167"/>
        <v>3.4149050526208469</v>
      </c>
      <c r="P161" s="11">
        <f t="shared" si="167"/>
        <v>2.9281935889455317</v>
      </c>
      <c r="Q161" s="11">
        <f t="shared" si="167"/>
        <v>2.9406514003190516</v>
      </c>
      <c r="S161" s="40">
        <f t="shared" si="150"/>
        <v>-8.3221050461312895E-2</v>
      </c>
      <c r="T161" s="40">
        <f t="shared" si="151"/>
        <v>-0.99183896330080623</v>
      </c>
      <c r="W161" s="10" t="str">
        <f t="shared" ref="W161:AB161" si="168">W16</f>
        <v>33 Protective service occupations</v>
      </c>
      <c r="X161" s="11">
        <f t="shared" si="168"/>
        <v>1.0152730971083521</v>
      </c>
      <c r="Y161" s="11">
        <f t="shared" si="168"/>
        <v>1.1523298582060681</v>
      </c>
      <c r="Z161" s="11">
        <f t="shared" si="168"/>
        <v>1.2724165885171148</v>
      </c>
      <c r="AA161" s="11">
        <f t="shared" si="168"/>
        <v>1.1299677656698359</v>
      </c>
      <c r="AB161" s="11">
        <f t="shared" si="168"/>
        <v>1.5112739368933152</v>
      </c>
      <c r="AD161" s="40">
        <f t="shared" si="153"/>
        <v>4.6186926919124849</v>
      </c>
      <c r="AE161" s="40">
        <f t="shared" si="154"/>
        <v>1.1535024102477198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7.5269975158661087</v>
      </c>
      <c r="C162" s="11">
        <f t="shared" si="146"/>
        <v>7.4707121265529306</v>
      </c>
      <c r="D162" s="11">
        <f t="shared" si="146"/>
        <v>7.6956038424600592</v>
      </c>
      <c r="E162" s="11">
        <f t="shared" si="146"/>
        <v>6.6237757922128777</v>
      </c>
      <c r="F162" s="11">
        <f t="shared" si="146"/>
        <v>7.2418470917099587</v>
      </c>
      <c r="H162" s="40">
        <f t="shared" si="147"/>
        <v>0.44404316777670871</v>
      </c>
      <c r="I162" s="40">
        <f t="shared" si="148"/>
        <v>-0.40433329111217997</v>
      </c>
      <c r="L162" s="10" t="str">
        <f t="shared" ref="L162:Q162" si="169">L17</f>
        <v>34 Culture, media and sports occupations</v>
      </c>
      <c r="M162" s="11">
        <f t="shared" si="169"/>
        <v>4.5169862879842979</v>
      </c>
      <c r="N162" s="11">
        <f t="shared" si="169"/>
        <v>4.4974358578884148</v>
      </c>
      <c r="O162" s="11">
        <f t="shared" si="169"/>
        <v>4.5437609296462051</v>
      </c>
      <c r="P162" s="11">
        <f t="shared" si="169"/>
        <v>3.8793310026760071</v>
      </c>
      <c r="Q162" s="11">
        <f t="shared" si="169"/>
        <v>4.137314928784833</v>
      </c>
      <c r="S162" s="40">
        <f t="shared" si="150"/>
        <v>0.11827081883093449</v>
      </c>
      <c r="T162" s="40">
        <f t="shared" si="151"/>
        <v>-0.62277306753838468</v>
      </c>
      <c r="W162" s="10" t="str">
        <f t="shared" ref="W162:AB162" si="170">W17</f>
        <v>34 Culture, media and sports occupations</v>
      </c>
      <c r="X162" s="11">
        <f t="shared" si="170"/>
        <v>3.0100112278818068</v>
      </c>
      <c r="Y162" s="11">
        <f t="shared" si="170"/>
        <v>2.9732762686645247</v>
      </c>
      <c r="Z162" s="11">
        <f t="shared" si="170"/>
        <v>3.1518429128138599</v>
      </c>
      <c r="AA162" s="11">
        <f t="shared" si="170"/>
        <v>2.7444447895368782</v>
      </c>
      <c r="AB162" s="11">
        <f t="shared" si="170"/>
        <v>3.1045321629251275</v>
      </c>
      <c r="AD162" s="40">
        <f t="shared" si="153"/>
        <v>0.9251235473493935</v>
      </c>
      <c r="AE162" s="40">
        <f t="shared" si="154"/>
        <v>-0.10077786217630447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27.483441028271098</v>
      </c>
      <c r="C163" s="11">
        <f t="shared" si="146"/>
        <v>27.784113801495693</v>
      </c>
      <c r="D163" s="11">
        <f t="shared" si="146"/>
        <v>28.718892057032409</v>
      </c>
      <c r="E163" s="11">
        <f t="shared" si="146"/>
        <v>28.782348842639074</v>
      </c>
      <c r="F163" s="11">
        <f t="shared" si="146"/>
        <v>30.332034577933754</v>
      </c>
      <c r="H163" s="40">
        <f t="shared" si="147"/>
        <v>0.88330808713674713</v>
      </c>
      <c r="I163" s="40">
        <f t="shared" si="148"/>
        <v>0.36499271392635979</v>
      </c>
      <c r="L163" s="10" t="str">
        <f t="shared" ref="L163:Q163" si="171">L18</f>
        <v>35 Business and public service associate professionals</v>
      </c>
      <c r="M163" s="11">
        <f t="shared" si="171"/>
        <v>15.423996768819533</v>
      </c>
      <c r="N163" s="11">
        <f t="shared" si="171"/>
        <v>15.073483017849448</v>
      </c>
      <c r="O163" s="11">
        <f t="shared" si="171"/>
        <v>15.700778568083784</v>
      </c>
      <c r="P163" s="11">
        <f t="shared" si="171"/>
        <v>15.597850156235705</v>
      </c>
      <c r="Q163" s="11">
        <f t="shared" si="171"/>
        <v>15.753402090816163</v>
      </c>
      <c r="S163" s="40">
        <f t="shared" si="150"/>
        <v>0.35634887969591134</v>
      </c>
      <c r="T163" s="40">
        <f t="shared" si="151"/>
        <v>2.2309463279701625E-2</v>
      </c>
      <c r="W163" s="10" t="str">
        <f t="shared" ref="W163:AB163" si="172">W18</f>
        <v>35 Business and public service associate professionals</v>
      </c>
      <c r="X163" s="11">
        <f t="shared" si="172"/>
        <v>12.059444259451524</v>
      </c>
      <c r="Y163" s="11">
        <f t="shared" si="172"/>
        <v>12.710630783646232</v>
      </c>
      <c r="Z163" s="11">
        <f t="shared" si="172"/>
        <v>13.018113488948627</v>
      </c>
      <c r="AA163" s="11">
        <f t="shared" si="172"/>
        <v>13.184498686403362</v>
      </c>
      <c r="AB163" s="11">
        <f t="shared" si="172"/>
        <v>14.578632487117588</v>
      </c>
      <c r="AD163" s="40">
        <f t="shared" si="153"/>
        <v>1.541634936590186</v>
      </c>
      <c r="AE163" s="40">
        <f t="shared" si="154"/>
        <v>0.75762352299144631</v>
      </c>
    </row>
    <row r="164" spans="1:31" x14ac:dyDescent="0.25">
      <c r="A164" s="10" t="str">
        <f t="shared" si="142"/>
        <v>41 Administrative occupations</v>
      </c>
      <c r="B164" s="11">
        <f t="shared" si="142"/>
        <v>49.13839945665805</v>
      </c>
      <c r="C164" s="11">
        <f t="shared" si="146"/>
        <v>45.165151846246381</v>
      </c>
      <c r="D164" s="11">
        <f t="shared" si="146"/>
        <v>47.19806700974938</v>
      </c>
      <c r="E164" s="11">
        <f t="shared" si="146"/>
        <v>48.934345395177246</v>
      </c>
      <c r="F164" s="11">
        <f t="shared" si="146"/>
        <v>48.119806641230511</v>
      </c>
      <c r="H164" s="40">
        <f t="shared" si="147"/>
        <v>-0.80251961659546511</v>
      </c>
      <c r="I164" s="40">
        <f t="shared" si="148"/>
        <v>0.12902272457058217</v>
      </c>
      <c r="L164" s="10" t="str">
        <f t="shared" ref="L164:Q164" si="173">L19</f>
        <v>41 Administrative occupations</v>
      </c>
      <c r="M164" s="11">
        <f t="shared" si="173"/>
        <v>15.614024343375872</v>
      </c>
      <c r="N164" s="11">
        <f t="shared" si="173"/>
        <v>13.602661795013343</v>
      </c>
      <c r="O164" s="11">
        <f t="shared" si="173"/>
        <v>16.23011080316379</v>
      </c>
      <c r="P164" s="11">
        <f t="shared" si="173"/>
        <v>17.555947300787484</v>
      </c>
      <c r="Q164" s="11">
        <f t="shared" si="173"/>
        <v>19.651714866681374</v>
      </c>
      <c r="S164" s="40">
        <f t="shared" si="150"/>
        <v>0.77697695714709081</v>
      </c>
      <c r="T164" s="40">
        <f t="shared" si="151"/>
        <v>1.283476059456401</v>
      </c>
      <c r="W164" s="10" t="str">
        <f t="shared" ref="W164:AB164" si="174">W19</f>
        <v>41 Administrative occupations</v>
      </c>
      <c r="X164" s="11">
        <f t="shared" si="174"/>
        <v>33.524375113282282</v>
      </c>
      <c r="Y164" s="11">
        <f t="shared" si="174"/>
        <v>31.562490051233027</v>
      </c>
      <c r="Z164" s="11">
        <f t="shared" si="174"/>
        <v>30.967956206585573</v>
      </c>
      <c r="AA164" s="11">
        <f t="shared" si="174"/>
        <v>31.378398094389798</v>
      </c>
      <c r="AB164" s="11">
        <f t="shared" si="174"/>
        <v>28.468091774549112</v>
      </c>
      <c r="AD164" s="40">
        <f t="shared" si="153"/>
        <v>-1.5738788276272619</v>
      </c>
      <c r="AE164" s="40">
        <f t="shared" si="154"/>
        <v>-0.55955612621606532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10.999553279205751</v>
      </c>
      <c r="C165" s="11">
        <f t="shared" si="146"/>
        <v>9.4948630690001181</v>
      </c>
      <c r="D165" s="11">
        <f t="shared" si="146"/>
        <v>9.2803332734652102</v>
      </c>
      <c r="E165" s="11">
        <f t="shared" si="146"/>
        <v>8.5683495355485668</v>
      </c>
      <c r="F165" s="11">
        <f t="shared" si="146"/>
        <v>5.4074642547867375</v>
      </c>
      <c r="H165" s="40">
        <f t="shared" si="147"/>
        <v>-3.3420221813353468</v>
      </c>
      <c r="I165" s="40">
        <f t="shared" si="148"/>
        <v>-3.5367242946928501</v>
      </c>
      <c r="L165" s="10" t="str">
        <f t="shared" ref="L165:Q165" si="175">L20</f>
        <v>42 Secretarial and related occupations</v>
      </c>
      <c r="M165" s="11">
        <f t="shared" si="175"/>
        <v>0.98392418673063797</v>
      </c>
      <c r="N165" s="11">
        <f t="shared" si="175"/>
        <v>0.69844209737340934</v>
      </c>
      <c r="O165" s="11">
        <f t="shared" si="175"/>
        <v>0.71673135991795822</v>
      </c>
      <c r="P165" s="11">
        <f t="shared" si="175"/>
        <v>0.62800235257834147</v>
      </c>
      <c r="Q165" s="11">
        <f t="shared" si="175"/>
        <v>0.72159592784091953</v>
      </c>
      <c r="S165" s="40">
        <f>IF(O$151-M$151 &lt;&gt; 0,(EXP(LN(O165/M165)/(O$151-M$151))-1)*100,0)</f>
        <v>-6.1403448773678644</v>
      </c>
      <c r="T165" s="40">
        <f t="shared" si="151"/>
        <v>4.5105019016000725E-2</v>
      </c>
      <c r="W165" s="10" t="str">
        <f t="shared" ref="W165:AB165" si="176">W20</f>
        <v>42 Secretarial and related occupations</v>
      </c>
      <c r="X165" s="11">
        <f t="shared" si="176"/>
        <v>10.015629092475114</v>
      </c>
      <c r="Y165" s="11">
        <f t="shared" si="176"/>
        <v>8.7964209716267145</v>
      </c>
      <c r="Z165" s="11">
        <f t="shared" si="176"/>
        <v>8.5636019135472488</v>
      </c>
      <c r="AA165" s="11">
        <f t="shared" si="176"/>
        <v>7.9403471829702177</v>
      </c>
      <c r="AB165" s="11">
        <f t="shared" si="176"/>
        <v>4.6858683269458146</v>
      </c>
      <c r="AD165" s="40">
        <f t="shared" si="153"/>
        <v>-3.0839629008148184</v>
      </c>
      <c r="AE165" s="40">
        <f t="shared" si="154"/>
        <v>-3.940075562194234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4.3313158907234133</v>
      </c>
      <c r="C166" s="11">
        <f t="shared" si="146"/>
        <v>3.8065912759839784</v>
      </c>
      <c r="D166" s="11">
        <f t="shared" si="146"/>
        <v>3.1931450848658716</v>
      </c>
      <c r="E166" s="11">
        <f t="shared" si="146"/>
        <v>3.1783302802326965</v>
      </c>
      <c r="F166" s="11">
        <f t="shared" si="146"/>
        <v>3.5350171502669578</v>
      </c>
      <c r="H166" s="40">
        <f t="shared" si="147"/>
        <v>-5.9151366231925406</v>
      </c>
      <c r="I166" s="40">
        <f t="shared" si="148"/>
        <v>0.6803828236388032</v>
      </c>
      <c r="L166" s="10" t="str">
        <f t="shared" ref="L166:Q166" si="177">L21</f>
        <v>51 Skilled agricultural and related trades</v>
      </c>
      <c r="M166" s="11">
        <f t="shared" si="177"/>
        <v>3.720569195128824</v>
      </c>
      <c r="N166" s="11">
        <f t="shared" si="177"/>
        <v>3.234923637625847</v>
      </c>
      <c r="O166" s="11">
        <f t="shared" si="177"/>
        <v>2.619953984996287</v>
      </c>
      <c r="P166" s="11">
        <f t="shared" si="177"/>
        <v>2.5539887903192455</v>
      </c>
      <c r="Q166" s="11">
        <f t="shared" si="177"/>
        <v>2.7941578191640217</v>
      </c>
      <c r="S166" s="40">
        <f t="shared" si="150"/>
        <v>-6.7740418614765652</v>
      </c>
      <c r="T166" s="40">
        <f t="shared" si="151"/>
        <v>0.43008214084976348</v>
      </c>
      <c r="W166" s="10" t="str">
        <f t="shared" ref="W166:AB166" si="178">W21</f>
        <v>51 Skilled agricultural and related trades</v>
      </c>
      <c r="X166" s="11">
        <f t="shared" si="178"/>
        <v>0.61074669559458605</v>
      </c>
      <c r="Y166" s="11">
        <f t="shared" si="178"/>
        <v>0.57166763835812839</v>
      </c>
      <c r="Z166" s="11">
        <f t="shared" si="178"/>
        <v>0.57319109986958328</v>
      </c>
      <c r="AA166" s="11">
        <f t="shared" si="178"/>
        <v>0.6243414899134464</v>
      </c>
      <c r="AB166" s="11">
        <f t="shared" si="178"/>
        <v>0.74085933110293289</v>
      </c>
      <c r="AD166" s="40">
        <f t="shared" si="153"/>
        <v>-1.2612414539911909</v>
      </c>
      <c r="AE166" s="40">
        <f t="shared" si="154"/>
        <v>1.7253254084360403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28.622677836919465</v>
      </c>
      <c r="C167" s="11">
        <f t="shared" si="146"/>
        <v>28.343637186861034</v>
      </c>
      <c r="D167" s="11">
        <f t="shared" si="146"/>
        <v>23.236826282247673</v>
      </c>
      <c r="E167" s="11">
        <f t="shared" si="146"/>
        <v>22.623948301451765</v>
      </c>
      <c r="F167" s="11">
        <f t="shared" si="146"/>
        <v>20.841134342227381</v>
      </c>
      <c r="H167" s="40">
        <f t="shared" si="147"/>
        <v>-4.083502909618753</v>
      </c>
      <c r="I167" s="40">
        <f t="shared" si="148"/>
        <v>-0.72277342843283243</v>
      </c>
      <c r="L167" s="10" t="str">
        <f t="shared" ref="L167:Q167" si="179">L22</f>
        <v>52 Skilled metal, electrical and electronic trades</v>
      </c>
      <c r="M167" s="11">
        <f t="shared" si="179"/>
        <v>28.257827507545212</v>
      </c>
      <c r="N167" s="11">
        <f t="shared" si="179"/>
        <v>27.756675965101635</v>
      </c>
      <c r="O167" s="11">
        <f t="shared" si="179"/>
        <v>22.785499260413552</v>
      </c>
      <c r="P167" s="11">
        <f t="shared" si="179"/>
        <v>21.885954725295111</v>
      </c>
      <c r="Q167" s="11">
        <f t="shared" si="179"/>
        <v>19.96974145302606</v>
      </c>
      <c r="S167" s="40">
        <f t="shared" si="150"/>
        <v>-4.213576921125572</v>
      </c>
      <c r="T167" s="40">
        <f t="shared" si="151"/>
        <v>-0.87551905154897858</v>
      </c>
      <c r="W167" s="10" t="str">
        <f t="shared" ref="W167:AB167" si="180">W22</f>
        <v>52 Skilled metal, electrical and electronic trades</v>
      </c>
      <c r="X167" s="11">
        <f t="shared" si="180"/>
        <v>0.36485032937425493</v>
      </c>
      <c r="Y167" s="11">
        <f t="shared" si="180"/>
        <v>0.58696122175943066</v>
      </c>
      <c r="Z167" s="11">
        <f t="shared" si="180"/>
        <v>0.45132702183413442</v>
      </c>
      <c r="AA167" s="11">
        <f t="shared" si="180"/>
        <v>0.73799357615662997</v>
      </c>
      <c r="AB167" s="11">
        <f t="shared" si="180"/>
        <v>0.8713928892013374</v>
      </c>
      <c r="AD167" s="40">
        <f t="shared" si="153"/>
        <v>4.3458830549371052</v>
      </c>
      <c r="AE167" s="40">
        <f t="shared" si="154"/>
        <v>4.4836121433426301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18.67563056886091</v>
      </c>
      <c r="C168" s="11">
        <f t="shared" si="146"/>
        <v>21.339556958033437</v>
      </c>
      <c r="D168" s="11">
        <f t="shared" si="146"/>
        <v>17.473473402618112</v>
      </c>
      <c r="E168" s="11">
        <f t="shared" si="146"/>
        <v>16.813170514329276</v>
      </c>
      <c r="F168" s="11">
        <f t="shared" si="146"/>
        <v>14.401581227548823</v>
      </c>
      <c r="H168" s="40">
        <f t="shared" si="147"/>
        <v>-1.3218965885935408</v>
      </c>
      <c r="I168" s="40">
        <f t="shared" si="148"/>
        <v>-1.2807011061727547</v>
      </c>
      <c r="L168" s="10" t="str">
        <f t="shared" ref="L168:Q168" si="181">L23</f>
        <v>53 Skilled construction and building trades</v>
      </c>
      <c r="M168" s="11">
        <f t="shared" si="181"/>
        <v>18.431515324301849</v>
      </c>
      <c r="N168" s="11">
        <f t="shared" si="181"/>
        <v>21.107864999136247</v>
      </c>
      <c r="O168" s="11">
        <f t="shared" si="181"/>
        <v>17.18800702433489</v>
      </c>
      <c r="P168" s="11">
        <f t="shared" si="181"/>
        <v>16.647376603639792</v>
      </c>
      <c r="Q168" s="11">
        <f t="shared" si="181"/>
        <v>14.225624089851634</v>
      </c>
      <c r="S168" s="40">
        <f t="shared" si="150"/>
        <v>-1.3872894897872134</v>
      </c>
      <c r="T168" s="40">
        <f t="shared" si="151"/>
        <v>-1.2531947720970216</v>
      </c>
      <c r="W168" s="10" t="str">
        <f t="shared" ref="W168:AB168" si="182">W23</f>
        <v>53 Skilled construction and building trades</v>
      </c>
      <c r="X168" s="11">
        <f t="shared" si="182"/>
        <v>0.24411524455905587</v>
      </c>
      <c r="Y168" s="11">
        <f t="shared" si="182"/>
        <v>0.23169195889720962</v>
      </c>
      <c r="Z168" s="11">
        <f t="shared" si="182"/>
        <v>0.28546637828323057</v>
      </c>
      <c r="AA168" s="11">
        <f t="shared" si="182"/>
        <v>0.16579391068948263</v>
      </c>
      <c r="AB168" s="11">
        <f t="shared" si="182"/>
        <v>0.17595713769719329</v>
      </c>
      <c r="AD168" s="40">
        <f t="shared" si="153"/>
        <v>3.1791659196217514</v>
      </c>
      <c r="AE168" s="40">
        <f t="shared" si="154"/>
        <v>-3.1744153008046005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9.6691034984265638</v>
      </c>
      <c r="C169" s="11">
        <f t="shared" si="146"/>
        <v>8.4461052767901954</v>
      </c>
      <c r="D169" s="11">
        <f t="shared" si="146"/>
        <v>8.3294023293213026</v>
      </c>
      <c r="E169" s="11">
        <f t="shared" si="146"/>
        <v>8.418630701072793</v>
      </c>
      <c r="F169" s="11">
        <f t="shared" si="146"/>
        <v>7.9851910077103829</v>
      </c>
      <c r="H169" s="40">
        <f t="shared" si="147"/>
        <v>-2.9388290827512153</v>
      </c>
      <c r="I169" s="40">
        <f t="shared" si="148"/>
        <v>-0.28095792058610014</v>
      </c>
      <c r="L169" s="10" t="str">
        <f t="shared" ref="L169:Q169" si="183">L24</f>
        <v>54 Textiles, printing and other skilled trades</v>
      </c>
      <c r="M169" s="11">
        <f t="shared" si="183"/>
        <v>6.3445971972315247</v>
      </c>
      <c r="N169" s="11">
        <f t="shared" si="183"/>
        <v>5.5082101775039565</v>
      </c>
      <c r="O169" s="11">
        <f t="shared" si="183"/>
        <v>4.9540421002834485</v>
      </c>
      <c r="P169" s="11">
        <f t="shared" si="183"/>
        <v>5.0652083473549379</v>
      </c>
      <c r="Q169" s="11">
        <f t="shared" si="183"/>
        <v>4.6900830934789584</v>
      </c>
      <c r="S169" s="40">
        <f t="shared" si="150"/>
        <v>-4.827576690966751</v>
      </c>
      <c r="T169" s="40">
        <f t="shared" si="151"/>
        <v>-0.36435813104567227</v>
      </c>
      <c r="W169" s="10" t="str">
        <f t="shared" ref="W169:AB169" si="184">W24</f>
        <v>54 Textiles, printing and other skilled trades</v>
      </c>
      <c r="X169" s="11">
        <f t="shared" si="184"/>
        <v>3.3245063011950369</v>
      </c>
      <c r="Y169" s="11">
        <f t="shared" si="184"/>
        <v>2.9378950992862309</v>
      </c>
      <c r="Z169" s="11">
        <f t="shared" si="184"/>
        <v>3.3753602290378462</v>
      </c>
      <c r="AA169" s="11">
        <f t="shared" si="184"/>
        <v>3.3534223537178627</v>
      </c>
      <c r="AB169" s="11">
        <f t="shared" si="184"/>
        <v>3.2951079142314197</v>
      </c>
      <c r="AD169" s="40">
        <f t="shared" si="153"/>
        <v>0.30407880288649825</v>
      </c>
      <c r="AE169" s="40">
        <f t="shared" si="154"/>
        <v>-0.16029229335854378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38.549226321705426</v>
      </c>
      <c r="C170" s="11">
        <f t="shared" si="146"/>
        <v>41.06186937421402</v>
      </c>
      <c r="D170" s="11">
        <f t="shared" si="146"/>
        <v>39.709013980070296</v>
      </c>
      <c r="E170" s="11">
        <f t="shared" si="146"/>
        <v>41.475231244635403</v>
      </c>
      <c r="F170" s="11">
        <f t="shared" si="146"/>
        <v>45.131434884626096</v>
      </c>
      <c r="H170" s="40">
        <f t="shared" si="147"/>
        <v>0.59460447567794006</v>
      </c>
      <c r="I170" s="40">
        <f t="shared" si="148"/>
        <v>0.85698993594331974</v>
      </c>
      <c r="L170" s="10" t="str">
        <f t="shared" ref="L170:Q170" si="185">L25</f>
        <v>61 Caring personal service occupations</v>
      </c>
      <c r="M170" s="11">
        <f t="shared" si="185"/>
        <v>4.2430476204005672</v>
      </c>
      <c r="N170" s="11">
        <f t="shared" si="185"/>
        <v>4.439973671626789</v>
      </c>
      <c r="O170" s="11">
        <f t="shared" si="185"/>
        <v>4.2454959953934797</v>
      </c>
      <c r="P170" s="11">
        <f t="shared" si="185"/>
        <v>5.0361653983959878</v>
      </c>
      <c r="Q170" s="11">
        <f t="shared" si="185"/>
        <v>5.7241065950610333</v>
      </c>
      <c r="S170" s="40">
        <f t="shared" si="150"/>
        <v>1.1537980673415049E-2</v>
      </c>
      <c r="T170" s="40">
        <f t="shared" si="151"/>
        <v>2.012161976642779</v>
      </c>
      <c r="W170" s="10" t="str">
        <f t="shared" ref="W170:AB170" si="186">W25</f>
        <v>61 Caring personal service occupations</v>
      </c>
      <c r="X170" s="11">
        <f t="shared" si="186"/>
        <v>34.306178701304844</v>
      </c>
      <c r="Y170" s="11">
        <f t="shared" si="186"/>
        <v>36.621895702587238</v>
      </c>
      <c r="Z170" s="11">
        <f t="shared" si="186"/>
        <v>35.463517984676812</v>
      </c>
      <c r="AA170" s="11">
        <f t="shared" si="186"/>
        <v>36.439065846239423</v>
      </c>
      <c r="AB170" s="11">
        <f t="shared" si="186"/>
        <v>39.407328289565072</v>
      </c>
      <c r="AD170" s="40">
        <f t="shared" si="153"/>
        <v>0.66578718739822573</v>
      </c>
      <c r="AE170" s="40">
        <f t="shared" si="154"/>
        <v>0.70545865514246575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11.482295485656088</v>
      </c>
      <c r="C171" s="11">
        <f t="shared" si="146"/>
        <v>10.028377892597495</v>
      </c>
      <c r="D171" s="11">
        <f t="shared" si="146"/>
        <v>9.1820078898329758</v>
      </c>
      <c r="E171" s="11">
        <f t="shared" si="146"/>
        <v>8.4814204479781505</v>
      </c>
      <c r="F171" s="11">
        <f t="shared" si="146"/>
        <v>8.4132106883947344</v>
      </c>
      <c r="H171" s="40">
        <f t="shared" si="147"/>
        <v>-4.3727231759594805</v>
      </c>
      <c r="I171" s="40">
        <f t="shared" si="148"/>
        <v>-0.58125569202476246</v>
      </c>
      <c r="L171" s="10" t="str">
        <f t="shared" ref="L171:Q171" si="187">L26</f>
        <v>62 Leisure, travel and related personal service occupations</v>
      </c>
      <c r="M171" s="11">
        <f t="shared" si="187"/>
        <v>3.058491608492754</v>
      </c>
      <c r="N171" s="11">
        <f t="shared" si="187"/>
        <v>2.8665436273098517</v>
      </c>
      <c r="O171" s="11">
        <f t="shared" si="187"/>
        <v>2.7586835265309717</v>
      </c>
      <c r="P171" s="11">
        <f t="shared" si="187"/>
        <v>2.6410664579568981</v>
      </c>
      <c r="Q171" s="11">
        <f t="shared" si="187"/>
        <v>2.7097380111785139</v>
      </c>
      <c r="S171" s="40">
        <f t="shared" si="150"/>
        <v>-2.0422237395061105</v>
      </c>
      <c r="T171" s="40">
        <f t="shared" si="151"/>
        <v>-0.11927299594571839</v>
      </c>
      <c r="W171" s="10" t="str">
        <f t="shared" ref="W171:AB171" si="188">W26</f>
        <v>62 Leisure, travel and related personal service occupations</v>
      </c>
      <c r="X171" s="11">
        <f t="shared" si="188"/>
        <v>8.4238038771633352</v>
      </c>
      <c r="Y171" s="11">
        <f t="shared" si="188"/>
        <v>7.161834265287653</v>
      </c>
      <c r="Z171" s="11">
        <f t="shared" si="188"/>
        <v>6.4233243633020036</v>
      </c>
      <c r="AA171" s="11">
        <f t="shared" si="188"/>
        <v>5.8403539900212591</v>
      </c>
      <c r="AB171" s="11">
        <f t="shared" si="188"/>
        <v>5.7034726772162196</v>
      </c>
      <c r="AD171" s="40">
        <f t="shared" si="153"/>
        <v>-5.278117356487277</v>
      </c>
      <c r="AE171" s="40">
        <f t="shared" si="154"/>
        <v>-0.78927253300933309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0.44667082132503066</v>
      </c>
      <c r="C172" s="11">
        <f t="shared" si="146"/>
        <v>0.3674632446263803</v>
      </c>
      <c r="D172" s="11">
        <f t="shared" si="146"/>
        <v>0.44693455623107448</v>
      </c>
      <c r="E172" s="11">
        <f t="shared" si="146"/>
        <v>0.34088140481104534</v>
      </c>
      <c r="F172" s="11">
        <f t="shared" si="146"/>
        <v>0.37504575772625592</v>
      </c>
      <c r="H172" s="40">
        <f t="shared" si="147"/>
        <v>1.1806127781222031E-2</v>
      </c>
      <c r="I172" s="40">
        <f t="shared" si="148"/>
        <v>-1.1622869012287262</v>
      </c>
      <c r="L172" s="10" t="str">
        <f t="shared" ref="L172:Q172" si="189">L27</f>
        <v>63 Community and civil enforcement occupations</v>
      </c>
      <c r="M172" s="11">
        <f t="shared" si="189"/>
        <v>0.34745363873721236</v>
      </c>
      <c r="N172" s="11">
        <f t="shared" si="189"/>
        <v>0.24513125617545803</v>
      </c>
      <c r="O172" s="11">
        <f t="shared" si="189"/>
        <v>0.34512232129875436</v>
      </c>
      <c r="P172" s="11">
        <f t="shared" si="189"/>
        <v>0.20348112052364134</v>
      </c>
      <c r="Q172" s="11">
        <f t="shared" si="189"/>
        <v>0.23596527829199901</v>
      </c>
      <c r="S172" s="40">
        <f t="shared" si="150"/>
        <v>-0.13455606639026785</v>
      </c>
      <c r="T172" s="40">
        <f t="shared" si="151"/>
        <v>-2.502906240561642</v>
      </c>
      <c r="W172" s="10" t="str">
        <f t="shared" ref="W172:AB172" si="190">W27</f>
        <v>63 Community and civil enforcement occupations</v>
      </c>
      <c r="X172" s="11">
        <f t="shared" si="190"/>
        <v>9.9217182587818212E-2</v>
      </c>
      <c r="Y172" s="11">
        <f t="shared" si="190"/>
        <v>0.12233198845092198</v>
      </c>
      <c r="Z172" s="11">
        <f t="shared" si="190"/>
        <v>0.10181223493232026</v>
      </c>
      <c r="AA172" s="11">
        <f t="shared" si="190"/>
        <v>0.13740028428740431</v>
      </c>
      <c r="AB172" s="11">
        <f t="shared" si="190"/>
        <v>0.1390804794342573</v>
      </c>
      <c r="AD172" s="40">
        <f t="shared" si="153"/>
        <v>0.51771698697025137</v>
      </c>
      <c r="AE172" s="40">
        <f t="shared" si="154"/>
        <v>2.1012550461583013</v>
      </c>
    </row>
    <row r="173" spans="1:31" x14ac:dyDescent="0.25">
      <c r="A173" s="10" t="str">
        <f t="shared" si="142"/>
        <v>71 Sales occupations</v>
      </c>
      <c r="B173" s="11">
        <f t="shared" si="142"/>
        <v>34.223800198352485</v>
      </c>
      <c r="C173" s="11">
        <f t="shared" si="146"/>
        <v>30.736255514037811</v>
      </c>
      <c r="D173" s="11">
        <f t="shared" si="146"/>
        <v>30.25093913476638</v>
      </c>
      <c r="E173" s="11">
        <f t="shared" si="146"/>
        <v>29.213833101714457</v>
      </c>
      <c r="F173" s="11">
        <f t="shared" si="146"/>
        <v>27.813348952284226</v>
      </c>
      <c r="H173" s="40">
        <f t="shared" si="147"/>
        <v>-2.4376784598331702</v>
      </c>
      <c r="I173" s="40">
        <f t="shared" si="148"/>
        <v>-0.55850881574924793</v>
      </c>
      <c r="L173" s="10" t="str">
        <f t="shared" ref="L173:Q173" si="191">L28</f>
        <v>71 Sales occupations</v>
      </c>
      <c r="M173" s="11">
        <f t="shared" si="191"/>
        <v>13.78021993769844</v>
      </c>
      <c r="N173" s="11">
        <f t="shared" si="191"/>
        <v>13.05661518523562</v>
      </c>
      <c r="O173" s="11">
        <f t="shared" si="191"/>
        <v>13.001901321449159</v>
      </c>
      <c r="P173" s="11">
        <f t="shared" si="191"/>
        <v>12.757946718464479</v>
      </c>
      <c r="Q173" s="11">
        <f t="shared" si="191"/>
        <v>12.429160935553112</v>
      </c>
      <c r="S173" s="40">
        <f t="shared" si="150"/>
        <v>-1.1560384035684268</v>
      </c>
      <c r="T173" s="40">
        <f t="shared" si="151"/>
        <v>-0.29988412784954788</v>
      </c>
      <c r="W173" s="10" t="str">
        <f t="shared" ref="W173:AB173" si="192">W28</f>
        <v>71 Sales occupations</v>
      </c>
      <c r="X173" s="11">
        <f t="shared" si="192"/>
        <v>20.443580260654084</v>
      </c>
      <c r="Y173" s="11">
        <f t="shared" si="192"/>
        <v>17.679640328802176</v>
      </c>
      <c r="Z173" s="11">
        <f t="shared" si="192"/>
        <v>17.249037813317205</v>
      </c>
      <c r="AA173" s="11">
        <f t="shared" si="192"/>
        <v>16.455886383249926</v>
      </c>
      <c r="AB173" s="11">
        <f t="shared" si="192"/>
        <v>15.384188016731123</v>
      </c>
      <c r="AD173" s="40">
        <f t="shared" si="153"/>
        <v>-3.3411589209488501</v>
      </c>
      <c r="AE173" s="40">
        <f t="shared" si="154"/>
        <v>-0.75987248133441154</v>
      </c>
    </row>
    <row r="174" spans="1:31" x14ac:dyDescent="0.25">
      <c r="A174" s="10" t="str">
        <f t="shared" si="142"/>
        <v>72 Customer service occupations</v>
      </c>
      <c r="B174" s="11">
        <f t="shared" si="142"/>
        <v>9.0886906437377402</v>
      </c>
      <c r="C174" s="11">
        <f t="shared" si="146"/>
        <v>8.8480017178491579</v>
      </c>
      <c r="D174" s="11">
        <f t="shared" si="146"/>
        <v>9.088846806026746</v>
      </c>
      <c r="E174" s="11">
        <f t="shared" si="146"/>
        <v>10.158634946145103</v>
      </c>
      <c r="F174" s="11">
        <f t="shared" si="146"/>
        <v>11.267733851765355</v>
      </c>
      <c r="H174" s="40">
        <f t="shared" si="147"/>
        <v>3.4363853247398879E-4</v>
      </c>
      <c r="I174" s="40">
        <f t="shared" si="148"/>
        <v>1.4429460177838527</v>
      </c>
      <c r="L174" s="10" t="str">
        <f t="shared" ref="L174:Q174" si="193">L29</f>
        <v>72 Customer service occupations</v>
      </c>
      <c r="M174" s="11">
        <f t="shared" si="193"/>
        <v>3.9189141356413506</v>
      </c>
      <c r="N174" s="11">
        <f t="shared" si="193"/>
        <v>3.2108730880265202</v>
      </c>
      <c r="O174" s="11">
        <f t="shared" si="193"/>
        <v>3.7194792469850886</v>
      </c>
      <c r="P174" s="11">
        <f t="shared" si="193"/>
        <v>4.6876704592253526</v>
      </c>
      <c r="Q174" s="11">
        <f t="shared" si="193"/>
        <v>5.3492840253357752</v>
      </c>
      <c r="S174" s="40">
        <f t="shared" si="150"/>
        <v>-1.0391815693015061</v>
      </c>
      <c r="T174" s="40">
        <f t="shared" si="151"/>
        <v>2.4521086021363159</v>
      </c>
      <c r="W174" s="10" t="str">
        <f t="shared" ref="W174:AB174" si="194">W29</f>
        <v>72 Customer service occupations</v>
      </c>
      <c r="X174" s="11">
        <f t="shared" si="194"/>
        <v>5.1697765080963762</v>
      </c>
      <c r="Y174" s="11">
        <f t="shared" si="194"/>
        <v>5.6371286298226373</v>
      </c>
      <c r="Z174" s="11">
        <f t="shared" si="194"/>
        <v>5.3693675590416552</v>
      </c>
      <c r="AA174" s="11">
        <f t="shared" si="194"/>
        <v>5.4709644869197254</v>
      </c>
      <c r="AB174" s="11">
        <f t="shared" si="194"/>
        <v>5.9184498264295753</v>
      </c>
      <c r="AD174" s="40">
        <f t="shared" si="153"/>
        <v>0.76049054390092685</v>
      </c>
      <c r="AE174" s="40">
        <f>IF(AB$151-Z$151 &lt;&gt; 0,(EXP(LN(AB174/Z174)/(AB$151-Z$151))-1)*100,0)</f>
        <v>0.65120741069693011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23.01767694669358</v>
      </c>
      <c r="C175" s="11">
        <f t="shared" si="146"/>
        <v>21.737054143198129</v>
      </c>
      <c r="D175" s="11">
        <f t="shared" si="146"/>
        <v>18.382917992462492</v>
      </c>
      <c r="E175" s="11">
        <f t="shared" si="146"/>
        <v>18.988071519329377</v>
      </c>
      <c r="F175" s="11">
        <f t="shared" si="146"/>
        <v>17.514325366127888</v>
      </c>
      <c r="H175" s="40">
        <f t="shared" si="147"/>
        <v>-4.3972044343313694</v>
      </c>
      <c r="I175" s="40">
        <f t="shared" si="148"/>
        <v>-0.32216476551590878</v>
      </c>
      <c r="L175" s="10" t="str">
        <f t="shared" ref="L175:Q175" si="195">L30</f>
        <v>81 Process, plant and machine operatives</v>
      </c>
      <c r="M175" s="11">
        <f t="shared" si="195"/>
        <v>18.516053173598369</v>
      </c>
      <c r="N175" s="11">
        <f t="shared" si="195"/>
        <v>17.022290606392598</v>
      </c>
      <c r="O175" s="11">
        <f t="shared" si="195"/>
        <v>14.308197019339588</v>
      </c>
      <c r="P175" s="11">
        <f t="shared" si="195"/>
        <v>14.276562087567656</v>
      </c>
      <c r="Q175" s="11">
        <f t="shared" si="195"/>
        <v>12.805010245650058</v>
      </c>
      <c r="S175" s="40">
        <f t="shared" si="150"/>
        <v>-5.0254381981206686</v>
      </c>
      <c r="T175" s="40">
        <f t="shared" si="151"/>
        <v>-0.73724274364790343</v>
      </c>
      <c r="W175" s="10" t="str">
        <f t="shared" ref="W175:AB175" si="196">W30</f>
        <v>81 Process, plant and machine operatives</v>
      </c>
      <c r="X175" s="11">
        <f t="shared" si="196"/>
        <v>4.5016237730952078</v>
      </c>
      <c r="Y175" s="11">
        <f t="shared" si="196"/>
        <v>4.7147635368055472</v>
      </c>
      <c r="Z175" s="11">
        <f t="shared" si="196"/>
        <v>4.0747209731229184</v>
      </c>
      <c r="AA175" s="11">
        <f t="shared" si="196"/>
        <v>4.7115094317617281</v>
      </c>
      <c r="AB175" s="11">
        <f t="shared" si="196"/>
        <v>4.7093151204778412</v>
      </c>
      <c r="AD175" s="40">
        <f t="shared" si="153"/>
        <v>-1.972994576423337</v>
      </c>
      <c r="AE175" s="40">
        <f t="shared" si="154"/>
        <v>0.96960528126170953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24.123007113083549</v>
      </c>
      <c r="C176" s="11">
        <f t="shared" si="146"/>
        <v>24.835414702497779</v>
      </c>
      <c r="D176" s="11">
        <f t="shared" si="146"/>
        <v>21.975456313535553</v>
      </c>
      <c r="E176" s="11">
        <f t="shared" si="146"/>
        <v>22.740234056496391</v>
      </c>
      <c r="F176" s="11">
        <f t="shared" si="146"/>
        <v>22.68541236648149</v>
      </c>
      <c r="H176" s="40">
        <f t="shared" si="147"/>
        <v>-1.8475168186694924</v>
      </c>
      <c r="I176" s="40">
        <f t="shared" si="148"/>
        <v>0.2121973700340174</v>
      </c>
      <c r="L176" s="10" t="str">
        <f t="shared" ref="L176:Q176" si="197">L31</f>
        <v>82 Transport and mobile machine drivers and operatives</v>
      </c>
      <c r="M176" s="11">
        <f t="shared" si="197"/>
        <v>23.025017983339353</v>
      </c>
      <c r="N176" s="11">
        <f t="shared" si="197"/>
        <v>23.675571046795298</v>
      </c>
      <c r="O176" s="11">
        <f t="shared" si="197"/>
        <v>21.000512062003565</v>
      </c>
      <c r="P176" s="11">
        <f t="shared" si="197"/>
        <v>21.436484758990787</v>
      </c>
      <c r="Q176" s="11">
        <f t="shared" si="197"/>
        <v>21.219555916449671</v>
      </c>
      <c r="S176" s="40">
        <f t="shared" si="150"/>
        <v>-1.823853588619806</v>
      </c>
      <c r="T176" s="40">
        <f t="shared" si="151"/>
        <v>6.919982564945748E-2</v>
      </c>
      <c r="W176" s="10" t="str">
        <f t="shared" ref="W176:AB176" si="198">W31</f>
        <v>82 Transport and mobile machine drivers and operatives</v>
      </c>
      <c r="X176" s="11">
        <f t="shared" si="198"/>
        <v>1.097989129744207</v>
      </c>
      <c r="Y176" s="11">
        <f t="shared" si="198"/>
        <v>1.1598436557025105</v>
      </c>
      <c r="Z176" s="11">
        <f t="shared" si="198"/>
        <v>0.9749442515319815</v>
      </c>
      <c r="AA176" s="11">
        <f t="shared" si="198"/>
        <v>1.3037492975056073</v>
      </c>
      <c r="AB176" s="11">
        <f t="shared" si="198"/>
        <v>1.4658564500317817</v>
      </c>
      <c r="AD176" s="40">
        <f t="shared" si="153"/>
        <v>-2.3490779295733732</v>
      </c>
      <c r="AE176" s="40">
        <f t="shared" si="154"/>
        <v>2.7560600715746286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11.487443580203085</v>
      </c>
      <c r="C177" s="11">
        <f t="shared" si="146"/>
        <v>9.8320405541299714</v>
      </c>
      <c r="D177" s="11">
        <f t="shared" si="146"/>
        <v>8.59789452449556</v>
      </c>
      <c r="E177" s="11">
        <f t="shared" si="146"/>
        <v>15.010512028853473</v>
      </c>
      <c r="F177" s="11">
        <f t="shared" si="146"/>
        <v>16.496787208058887</v>
      </c>
      <c r="H177" s="40">
        <f t="shared" si="147"/>
        <v>-5.6300457870917864</v>
      </c>
      <c r="I177" s="40">
        <f t="shared" si="148"/>
        <v>4.4400691329606889</v>
      </c>
      <c r="L177" s="10" t="str">
        <f t="shared" ref="L177:Q178" si="199">L32</f>
        <v>91 Elementary trades and related occupations</v>
      </c>
      <c r="M177" s="11">
        <f t="shared" si="199"/>
        <v>8.6440665036647317</v>
      </c>
      <c r="N177" s="11">
        <f t="shared" si="199"/>
        <v>7.4127368380211713</v>
      </c>
      <c r="O177" s="11">
        <f t="shared" si="199"/>
        <v>6.6698630780719155</v>
      </c>
      <c r="P177" s="11">
        <f t="shared" si="199"/>
        <v>8.9898182619039115</v>
      </c>
      <c r="Q177" s="11">
        <f t="shared" si="199"/>
        <v>9.4686811693405577</v>
      </c>
      <c r="S177" s="40">
        <f t="shared" si="150"/>
        <v>-5.0533242722607952</v>
      </c>
      <c r="T177" s="40">
        <f t="shared" si="151"/>
        <v>2.3634319985897712</v>
      </c>
      <c r="W177" s="10" t="str">
        <f t="shared" ref="W177:AB178" si="200">W32</f>
        <v>91 Elementary trades and related occupations</v>
      </c>
      <c r="X177" s="11">
        <f t="shared" si="200"/>
        <v>2.8433770765383448</v>
      </c>
      <c r="Y177" s="11">
        <f t="shared" si="200"/>
        <v>2.4193037161087925</v>
      </c>
      <c r="Z177" s="11">
        <f t="shared" si="200"/>
        <v>1.9280314464236585</v>
      </c>
      <c r="AA177" s="11">
        <f t="shared" si="200"/>
        <v>6.0206937669495684</v>
      </c>
      <c r="AB177" s="11">
        <f t="shared" si="200"/>
        <v>7.0281060387183256</v>
      </c>
      <c r="AD177" s="40">
        <f t="shared" si="153"/>
        <v>-7.475673804878169</v>
      </c>
      <c r="AE177" s="40">
        <f t="shared" si="154"/>
        <v>9.0054669099422835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45.472494733851811</v>
      </c>
      <c r="C178" s="11">
        <f t="shared" si="146"/>
        <v>41.766910652938115</v>
      </c>
      <c r="D178" s="11">
        <f t="shared" si="146"/>
        <v>37.688938677596269</v>
      </c>
      <c r="E178" s="11">
        <f t="shared" si="146"/>
        <v>33.224143449787029</v>
      </c>
      <c r="F178" s="11">
        <f t="shared" si="146"/>
        <v>29.481164863279925</v>
      </c>
      <c r="H178" s="40">
        <f>IF(D$151-B$151 &lt;&gt; 0,(EXP(LN(D178/B178)/(D$151-B$151))-1)*100,0)</f>
        <v>-3.6852004087132739</v>
      </c>
      <c r="I178" s="40">
        <f t="shared" ref="I178" si="201">IF(F$151-D$151 &lt;&gt; 0,(EXP(LN(F178/D178)/(F$151-D$151))-1)*100,0)</f>
        <v>-1.6241007083510617</v>
      </c>
      <c r="L178" s="10" t="str">
        <f t="shared" si="199"/>
        <v>92 Elementary administration and service occupations</v>
      </c>
      <c r="M178" s="11">
        <f t="shared" si="199"/>
        <v>23.573386766069238</v>
      </c>
      <c r="N178" s="11">
        <f t="shared" si="199"/>
        <v>19.916820189908439</v>
      </c>
      <c r="O178" s="11">
        <f t="shared" si="199"/>
        <v>18.746991875777951</v>
      </c>
      <c r="P178" s="11">
        <f t="shared" si="199"/>
        <v>18.26525627312952</v>
      </c>
      <c r="Q178" s="11">
        <f t="shared" si="199"/>
        <v>16.657311828955478</v>
      </c>
      <c r="S178" s="40">
        <f t="shared" ref="S178" si="202">IF(O$151-M$151 &lt;&gt; 0,(EXP(LN(O178/M178)/(O$151-M$151))-1)*100,0)</f>
        <v>-4.4783266343868311</v>
      </c>
      <c r="T178" s="40">
        <f t="shared" ref="T178" si="203">IF(Q$151-O$151 &lt;&gt; 0,(EXP(LN(Q178/O178)/(Q$151-O$151))-1)*100,0)</f>
        <v>-0.78479783650308166</v>
      </c>
      <c r="W178" s="10" t="str">
        <f t="shared" si="200"/>
        <v>92 Elementary administration and service occupations</v>
      </c>
      <c r="X178" s="11">
        <f t="shared" si="200"/>
        <v>21.899107967782559</v>
      </c>
      <c r="Y178" s="11">
        <f t="shared" si="200"/>
        <v>21.850090463029687</v>
      </c>
      <c r="Z178" s="11">
        <f t="shared" si="200"/>
        <v>18.941946801818354</v>
      </c>
      <c r="AA178" s="11">
        <f t="shared" si="200"/>
        <v>14.958887176657543</v>
      </c>
      <c r="AB178" s="11">
        <f t="shared" si="200"/>
        <v>12.823853034324475</v>
      </c>
      <c r="AD178" s="40">
        <f t="shared" ref="AD178" si="204">IF(Z$151-X$151 &lt;&gt; 0,(EXP(LN(Z178/X178)/(Z$151-X$151))-1)*100,0)</f>
        <v>-2.8596558955751417</v>
      </c>
      <c r="AE178" s="40">
        <f t="shared" ref="AE178" si="205">IF(AB$151-Z$151 &lt;&gt; 0,(EXP(LN(AB178/Z178)/(AB$151-Z$151))-1)*100,0)</f>
        <v>-2.5669581685850984</v>
      </c>
    </row>
    <row r="179" spans="1:31" x14ac:dyDescent="0.25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5">
      <c r="A180" s="231" t="str">
        <f t="shared" ref="A180:F180" si="206">A35</f>
        <v>All occupations</v>
      </c>
      <c r="B180" s="34">
        <f t="shared" si="206"/>
        <v>505.56200000000013</v>
      </c>
      <c r="C180" s="34">
        <f t="shared" si="206"/>
        <v>509.9309999999997</v>
      </c>
      <c r="D180" s="34">
        <f t="shared" si="206"/>
        <v>496.19399999999962</v>
      </c>
      <c r="E180" s="34">
        <f t="shared" si="206"/>
        <v>508.12800000000021</v>
      </c>
      <c r="F180" s="34">
        <f t="shared" si="206"/>
        <v>521.94399999999973</v>
      </c>
      <c r="H180" s="43">
        <f>IF(D$151-B$151 &lt;&gt; 0,(EXP(LN(D180/B180)/(D$151-B$151))-1)*100,0)</f>
        <v>-0.37337526450478276</v>
      </c>
      <c r="I180" s="43">
        <f t="shared" si="148"/>
        <v>0.33785827979151417</v>
      </c>
      <c r="L180" s="231" t="str">
        <f t="shared" ref="L180:Q180" si="207">L35</f>
        <v>All occupations</v>
      </c>
      <c r="M180" s="34">
        <f t="shared" si="207"/>
        <v>278.47300247517569</v>
      </c>
      <c r="N180" s="34">
        <f t="shared" si="207"/>
        <v>275.90173239601114</v>
      </c>
      <c r="O180" s="34">
        <f t="shared" si="207"/>
        <v>265.0994044041413</v>
      </c>
      <c r="P180" s="34">
        <f t="shared" si="207"/>
        <v>269.87496646904503</v>
      </c>
      <c r="Q180" s="34">
        <f t="shared" si="207"/>
        <v>273.44446800613349</v>
      </c>
      <c r="S180" s="43">
        <f t="shared" ref="S180" si="208">IF(O$151-M$151 &lt;&gt; 0,(EXP(LN(O180/M180)/(O$151-M$151))-1)*100,0)</f>
        <v>-0.979496358002796</v>
      </c>
      <c r="T180" s="43">
        <f t="shared" ref="T180" si="209">IF(Q$151-O$151 &lt;&gt; 0,(EXP(LN(Q180/O180)/(Q$151-O$151))-1)*100,0)</f>
        <v>0.20683823318077277</v>
      </c>
      <c r="W180" s="231" t="str">
        <f t="shared" ref="W180:AB180" si="210">W35</f>
        <v>All occupations</v>
      </c>
      <c r="X180" s="34">
        <f t="shared" si="210"/>
        <v>227.08899752482438</v>
      </c>
      <c r="Y180" s="34">
        <f t="shared" si="210"/>
        <v>234.02926760398873</v>
      </c>
      <c r="Z180" s="34">
        <f t="shared" si="210"/>
        <v>231.09459559585864</v>
      </c>
      <c r="AA180" s="34">
        <f t="shared" si="210"/>
        <v>238.25303353095489</v>
      </c>
      <c r="AB180" s="34">
        <f t="shared" si="210"/>
        <v>248.49953199386613</v>
      </c>
      <c r="AD180" s="43">
        <f t="shared" ref="AD180" si="211">IF(Z$151-X$151 &lt;&gt; 0,(EXP(LN(Z180/X180)/(Z$151-X$151))-1)*100,0)</f>
        <v>0.3503147973089149</v>
      </c>
      <c r="AE180" s="43">
        <f t="shared" ref="AE180" si="212">IF(AB$151-Z$151 &lt;&gt; 0,(EXP(LN(AB180/Z180)/(AB$151-Z$151))-1)*100,0)</f>
        <v>0.4852658244766328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Black Country</v>
      </c>
    </row>
    <row r="2" spans="1:12" ht="12.75" customHeight="1" x14ac:dyDescent="0.3">
      <c r="A2" s="182" t="s">
        <v>523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'Occ T1'!A8</f>
        <v>Managers, directors and senior officials</v>
      </c>
      <c r="B7" s="31">
        <f>'Occ T1'!B8</f>
        <v>42.392720616000332</v>
      </c>
      <c r="C7" s="31">
        <f>'Occ T1'!C8</f>
        <v>46.345148009577287</v>
      </c>
      <c r="D7" s="31">
        <f>'Occ T1'!D8</f>
        <v>47.800367492375784</v>
      </c>
      <c r="E7" s="31">
        <f>'Occ T1'!E8</f>
        <v>44.836824250943323</v>
      </c>
      <c r="F7" s="31">
        <f>'Occ T1'!F8</f>
        <v>49.226179286534204</v>
      </c>
      <c r="H7" s="31">
        <f>C7-B7</f>
        <v>3.9524273935769543</v>
      </c>
      <c r="I7" s="31">
        <f>D7-C7</f>
        <v>1.4552194827984977</v>
      </c>
      <c r="J7" s="31">
        <f>E7-D7</f>
        <v>-2.9635432414324612</v>
      </c>
      <c r="K7" s="31">
        <f>F7-E7</f>
        <v>4.3893550355908815</v>
      </c>
      <c r="L7" s="31">
        <f>F7-D7</f>
        <v>1.4258117941584203</v>
      </c>
    </row>
    <row r="8" spans="1:12" s="30" customFormat="1" ht="13" x14ac:dyDescent="0.3">
      <c r="A8" s="10" t="str">
        <f>'Occ T2'!A8</f>
        <v>11 Corporate managers and directors</v>
      </c>
      <c r="B8" s="32">
        <f>'Occ T2'!B8</f>
        <v>29.880785800881405</v>
      </c>
      <c r="C8" s="32">
        <f>'Occ T2'!C8</f>
        <v>33.670781149647794</v>
      </c>
      <c r="D8" s="32">
        <f>'Occ T2'!D8</f>
        <v>34.557349518918279</v>
      </c>
      <c r="E8" s="32">
        <f>'Occ T2'!E8</f>
        <v>31.172230771306513</v>
      </c>
      <c r="F8" s="32">
        <f>'Occ T2'!F8</f>
        <v>33.924972676339749</v>
      </c>
      <c r="H8" s="31">
        <f t="shared" ref="H8:H9" si="0">C8-B8</f>
        <v>3.7899953487663893</v>
      </c>
      <c r="I8" s="31">
        <f t="shared" ref="I8:I9" si="1">D8-C8</f>
        <v>0.88656836927048488</v>
      </c>
      <c r="J8" s="31">
        <f t="shared" ref="J8:J9" si="2">E8-D8</f>
        <v>-3.3851187476117666</v>
      </c>
      <c r="K8" s="31">
        <f t="shared" ref="K8:K9" si="3">F8-E8</f>
        <v>2.7527419050332362</v>
      </c>
      <c r="L8" s="31">
        <f t="shared" ref="L8:L49" si="4">F8-D8</f>
        <v>-0.63237684257853033</v>
      </c>
    </row>
    <row r="9" spans="1:12" s="30" customFormat="1" ht="13" x14ac:dyDescent="0.3">
      <c r="A9" s="10" t="str">
        <f>'Occ T2'!A9</f>
        <v>12 Other managers and proprietors</v>
      </c>
      <c r="B9" s="32">
        <f>'Occ T2'!B9</f>
        <v>12.511934815118931</v>
      </c>
      <c r="C9" s="32">
        <f>'Occ T2'!C9</f>
        <v>12.674366859929489</v>
      </c>
      <c r="D9" s="32">
        <f>'Occ T2'!D9</f>
        <v>13.243017973457505</v>
      </c>
      <c r="E9" s="32">
        <f>'Occ T2'!E9</f>
        <v>13.664593479636807</v>
      </c>
      <c r="F9" s="32">
        <f>'Occ T2'!F9</f>
        <v>15.301206610194454</v>
      </c>
      <c r="H9" s="31">
        <f t="shared" si="0"/>
        <v>0.16243204481055784</v>
      </c>
      <c r="I9" s="31">
        <f t="shared" si="1"/>
        <v>0.56865111352801634</v>
      </c>
      <c r="J9" s="31">
        <f t="shared" si="2"/>
        <v>0.42157550617930184</v>
      </c>
      <c r="K9" s="31">
        <f t="shared" si="3"/>
        <v>1.636613130557647</v>
      </c>
      <c r="L9" s="31">
        <f t="shared" si="4"/>
        <v>2.0581886367369489</v>
      </c>
    </row>
    <row r="10" spans="1:12" ht="13" x14ac:dyDescent="0.3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ht="13" x14ac:dyDescent="0.3">
      <c r="A11" s="30" t="str">
        <f>'Occ T1'!A9</f>
        <v>Professional occupations</v>
      </c>
      <c r="B11" s="31">
        <f>'Occ T1'!B9</f>
        <v>87.713907644760383</v>
      </c>
      <c r="C11" s="31">
        <f>'Occ T1'!C9</f>
        <v>99.060176549524812</v>
      </c>
      <c r="D11" s="31">
        <f>'Occ T1'!D9</f>
        <v>103.54383323968845</v>
      </c>
      <c r="E11" s="31">
        <f>'Occ T1'!E9</f>
        <v>109.96238805392818</v>
      </c>
      <c r="F11" s="31">
        <f>'Occ T1'!F9</f>
        <v>121.73921749855063</v>
      </c>
      <c r="H11" s="31">
        <f>C11-B11</f>
        <v>11.346268904764429</v>
      </c>
      <c r="I11" s="31">
        <f t="shared" ref="I11:I49" si="5">D11-C11</f>
        <v>4.4836566901636417</v>
      </c>
      <c r="J11" s="31">
        <f>E11-D11</f>
        <v>6.4185548142397266</v>
      </c>
      <c r="K11" s="31">
        <f>F11-E11</f>
        <v>11.77682944462245</v>
      </c>
      <c r="L11" s="31">
        <f t="shared" si="4"/>
        <v>18.195384258862177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23.692567314037611</v>
      </c>
      <c r="C12" s="10">
        <f>'Occ T2'!C10</f>
        <v>25.522442469208745</v>
      </c>
      <c r="D12" s="10">
        <f>'Occ T2'!D10</f>
        <v>26.67415223973487</v>
      </c>
      <c r="E12" s="10">
        <f>'Occ T2'!E10</f>
        <v>32.331352616593463</v>
      </c>
      <c r="F12" s="10">
        <f>'Occ T2'!F10</f>
        <v>36.460147888250177</v>
      </c>
      <c r="H12" s="11">
        <f t="shared" ref="H12:K14" si="6">C12-B12</f>
        <v>1.8298751551711341</v>
      </c>
      <c r="I12" s="31">
        <f t="shared" si="5"/>
        <v>1.151709770526125</v>
      </c>
      <c r="J12" s="11">
        <f t="shared" si="6"/>
        <v>5.6572003768585937</v>
      </c>
      <c r="K12" s="11">
        <f t="shared" si="6"/>
        <v>4.1287952716567133</v>
      </c>
      <c r="L12" s="31">
        <f t="shared" si="4"/>
        <v>9.785995648515307</v>
      </c>
    </row>
    <row r="13" spans="1:12" ht="13" x14ac:dyDescent="0.3">
      <c r="A13" s="10" t="str">
        <f>'Occ T2'!A11</f>
        <v>22 Health professionals</v>
      </c>
      <c r="B13" s="10">
        <f>'Occ T2'!B11</f>
        <v>21.674771905892207</v>
      </c>
      <c r="C13" s="10">
        <f>'Occ T2'!C11</f>
        <v>27.315802663195459</v>
      </c>
      <c r="D13" s="10">
        <f>'Occ T2'!D11</f>
        <v>26.885303796114776</v>
      </c>
      <c r="E13" s="10">
        <f>'Occ T2'!E11</f>
        <v>26.54413441665373</v>
      </c>
      <c r="F13" s="10">
        <f>'Occ T2'!F11</f>
        <v>28.579623063913772</v>
      </c>
      <c r="H13" s="11">
        <f t="shared" si="6"/>
        <v>5.6410307573032519</v>
      </c>
      <c r="I13" s="31">
        <f t="shared" si="5"/>
        <v>-0.43049886708068286</v>
      </c>
      <c r="J13" s="11">
        <f t="shared" si="6"/>
        <v>-0.34116937946104642</v>
      </c>
      <c r="K13" s="11">
        <f t="shared" si="6"/>
        <v>2.035488647260042</v>
      </c>
      <c r="L13" s="31">
        <f t="shared" si="4"/>
        <v>1.6943192677989956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19.540374765671235</v>
      </c>
      <c r="C14" s="10">
        <f>'Occ T2'!C12</f>
        <v>20.765597855160532</v>
      </c>
      <c r="D14" s="10">
        <f>'Occ T2'!D12</f>
        <v>22.026617843508607</v>
      </c>
      <c r="E14" s="10">
        <f>'Occ T2'!E12</f>
        <v>21.969692618216403</v>
      </c>
      <c r="F14" s="10">
        <f>'Occ T2'!F12</f>
        <v>24.165356288680911</v>
      </c>
      <c r="H14" s="11">
        <f t="shared" si="6"/>
        <v>1.2252230894892975</v>
      </c>
      <c r="I14" s="31">
        <f t="shared" si="5"/>
        <v>1.2610199883480746</v>
      </c>
      <c r="J14" s="11">
        <f t="shared" si="6"/>
        <v>-5.6925225292204118E-2</v>
      </c>
      <c r="K14" s="11">
        <f t="shared" si="6"/>
        <v>2.1956636704645085</v>
      </c>
      <c r="L14" s="31">
        <f t="shared" si="4"/>
        <v>2.1387384451723044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22.806193659159341</v>
      </c>
      <c r="C15" s="10">
        <f>'Occ T2'!C13</f>
        <v>25.456333561960076</v>
      </c>
      <c r="D15" s="10">
        <f>'Occ T2'!D13</f>
        <v>27.957759360330201</v>
      </c>
      <c r="E15" s="10">
        <f>'Occ T2'!E13</f>
        <v>29.117208402464584</v>
      </c>
      <c r="F15" s="10">
        <f>'Occ T2'!F13</f>
        <v>32.53409025770577</v>
      </c>
      <c r="H15" s="11">
        <f t="shared" ref="H15" si="7">C15-B15</f>
        <v>2.6501399028007349</v>
      </c>
      <c r="I15" s="31">
        <f t="shared" si="5"/>
        <v>2.5014257983701249</v>
      </c>
      <c r="J15" s="11">
        <f t="shared" ref="J15" si="8">E15-D15</f>
        <v>1.1594490421343835</v>
      </c>
      <c r="K15" s="11">
        <f t="shared" ref="K15" si="9">F15-E15</f>
        <v>3.4168818552411864</v>
      </c>
      <c r="L15" s="31">
        <f t="shared" si="4"/>
        <v>4.5763308973755699</v>
      </c>
    </row>
    <row r="16" spans="1:12" ht="13" x14ac:dyDescent="0.3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ht="13" x14ac:dyDescent="0.3">
      <c r="A17" s="30" t="str">
        <f>'Occ T1'!A10</f>
        <v>Associate professional occupations</v>
      </c>
      <c r="B17" s="31">
        <f>'Occ T1'!B10</f>
        <v>56.127385363836439</v>
      </c>
      <c r="C17" s="31">
        <f>'Occ T1'!C10</f>
        <v>58.716382031893609</v>
      </c>
      <c r="D17" s="31">
        <f>'Occ T1'!D10</f>
        <v>60.815602010650593</v>
      </c>
      <c r="E17" s="31">
        <f>'Occ T1'!E10</f>
        <v>65.159050767565844</v>
      </c>
      <c r="F17" s="31">
        <f>'Occ T1'!F10</f>
        <v>71.509944652399085</v>
      </c>
      <c r="H17" s="31">
        <f t="shared" ref="H17:K21" si="10">C17-B17</f>
        <v>2.5889966680571703</v>
      </c>
      <c r="I17" s="31">
        <f t="shared" si="5"/>
        <v>2.0992199787569845</v>
      </c>
      <c r="J17" s="31">
        <f t="shared" si="10"/>
        <v>4.3434487569152509</v>
      </c>
      <c r="K17" s="31">
        <f t="shared" si="10"/>
        <v>6.3508938848332406</v>
      </c>
      <c r="L17" s="31">
        <f t="shared" si="4"/>
        <v>10.694342641748491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7.6396337675645283</v>
      </c>
      <c r="C18" s="10">
        <f>'Occ T2'!C14</f>
        <v>8.077817744101548</v>
      </c>
      <c r="D18" s="10">
        <f>'Occ T2'!D14</f>
        <v>8.7119007645620972</v>
      </c>
      <c r="E18" s="10">
        <f>'Occ T2'!E14</f>
        <v>8.0146156799495873</v>
      </c>
      <c r="F18" s="10">
        <f>'Occ T2'!F14</f>
        <v>8.4283160725445487</v>
      </c>
      <c r="H18" s="11">
        <f t="shared" si="10"/>
        <v>0.43818397653701968</v>
      </c>
      <c r="I18" s="31">
        <f t="shared" si="5"/>
        <v>0.63408302046054921</v>
      </c>
      <c r="J18" s="11">
        <f t="shared" si="10"/>
        <v>-0.69728508461250982</v>
      </c>
      <c r="K18" s="11">
        <f t="shared" si="10"/>
        <v>0.41370039259496139</v>
      </c>
      <c r="L18" s="31">
        <f t="shared" si="4"/>
        <v>-0.28358469201754843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9.0328897579836376</v>
      </c>
      <c r="C19" s="10">
        <f>'Occ T2'!C15</f>
        <v>10.95672977042833</v>
      </c>
      <c r="D19" s="10">
        <f>'Occ T2'!D15</f>
        <v>11.001883705458065</v>
      </c>
      <c r="E19" s="10">
        <f>'Occ T2'!E15</f>
        <v>17.680149098148942</v>
      </c>
      <c r="F19" s="10">
        <f>'Occ T2'!F15</f>
        <v>21.055821572998454</v>
      </c>
      <c r="H19" s="11">
        <f t="shared" si="10"/>
        <v>1.9238400124446926</v>
      </c>
      <c r="I19" s="31">
        <f t="shared" si="5"/>
        <v>4.5153935029734527E-2</v>
      </c>
      <c r="J19" s="11">
        <f t="shared" si="10"/>
        <v>6.6782653926908768</v>
      </c>
      <c r="K19" s="11">
        <f t="shared" si="10"/>
        <v>3.3756724748495124</v>
      </c>
      <c r="L19" s="31">
        <f t="shared" si="4"/>
        <v>10.053937867540389</v>
      </c>
    </row>
    <row r="20" spans="1:12" ht="13" x14ac:dyDescent="0.3">
      <c r="A20" s="10" t="str">
        <f>'Occ T2'!A16</f>
        <v>33 Protective service occupations</v>
      </c>
      <c r="B20" s="10">
        <f>'Occ T2'!B16</f>
        <v>4.4444232941510675</v>
      </c>
      <c r="C20" s="10">
        <f>'Occ T2'!C16</f>
        <v>4.4270085893151121</v>
      </c>
      <c r="D20" s="10">
        <f>'Occ T2'!D16</f>
        <v>4.6873216411379666</v>
      </c>
      <c r="E20" s="10">
        <f>'Occ T2'!E16</f>
        <v>4.0581613546153656</v>
      </c>
      <c r="F20" s="10">
        <f>'Occ T2'!F16</f>
        <v>4.4519253372123764</v>
      </c>
      <c r="H20" s="11">
        <f t="shared" si="10"/>
        <v>-1.7414704835955419E-2</v>
      </c>
      <c r="I20" s="31">
        <f t="shared" si="5"/>
        <v>0.26031305182285447</v>
      </c>
      <c r="J20" s="11">
        <f t="shared" si="10"/>
        <v>-0.62916028652260092</v>
      </c>
      <c r="K20" s="11">
        <f t="shared" si="10"/>
        <v>0.39376398259701073</v>
      </c>
      <c r="L20" s="31">
        <f t="shared" si="4"/>
        <v>-0.23539630392559019</v>
      </c>
    </row>
    <row r="21" spans="1:12" ht="13" x14ac:dyDescent="0.3">
      <c r="A21" s="10" t="str">
        <f>'Occ T2'!A17</f>
        <v>34 Culture, media and sports occupations</v>
      </c>
      <c r="B21" s="10">
        <f>'Occ T2'!B17</f>
        <v>7.5269975158661087</v>
      </c>
      <c r="C21" s="10">
        <f>'Occ T2'!C17</f>
        <v>7.4707121265529306</v>
      </c>
      <c r="D21" s="10">
        <f>'Occ T2'!D17</f>
        <v>7.6956038424600592</v>
      </c>
      <c r="E21" s="10">
        <f>'Occ T2'!E17</f>
        <v>6.6237757922128777</v>
      </c>
      <c r="F21" s="10">
        <f>'Occ T2'!F17</f>
        <v>7.2418470917099587</v>
      </c>
      <c r="H21" s="11">
        <f t="shared" si="10"/>
        <v>-5.6285389313178058E-2</v>
      </c>
      <c r="I21" s="31">
        <f t="shared" si="5"/>
        <v>0.22489171590712864</v>
      </c>
      <c r="J21" s="11">
        <f t="shared" si="10"/>
        <v>-1.0718280502471815</v>
      </c>
      <c r="K21" s="11">
        <f t="shared" si="10"/>
        <v>0.61807129949708095</v>
      </c>
      <c r="L21" s="31">
        <f t="shared" si="4"/>
        <v>-0.45375675075010058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27.483441028271098</v>
      </c>
      <c r="C22" s="10">
        <f>'Occ T2'!C18</f>
        <v>27.784113801495693</v>
      </c>
      <c r="D22" s="10">
        <f>'Occ T2'!D18</f>
        <v>28.718892057032409</v>
      </c>
      <c r="E22" s="10">
        <f>'Occ T2'!E18</f>
        <v>28.782348842639074</v>
      </c>
      <c r="F22" s="10">
        <f>'Occ T2'!F18</f>
        <v>30.332034577933754</v>
      </c>
      <c r="H22" s="11">
        <f t="shared" ref="H22" si="11">C22-B22</f>
        <v>0.30067277322459418</v>
      </c>
      <c r="I22" s="31">
        <f t="shared" si="5"/>
        <v>0.93477825553671678</v>
      </c>
      <c r="J22" s="11">
        <f t="shared" ref="J22" si="12">E22-D22</f>
        <v>6.3456785606664567E-2</v>
      </c>
      <c r="K22" s="11">
        <f t="shared" ref="K22" si="13">F22-E22</f>
        <v>1.5496857352946805</v>
      </c>
      <c r="L22" s="31">
        <f t="shared" si="4"/>
        <v>1.613142520901345</v>
      </c>
    </row>
    <row r="23" spans="1:12" ht="13" x14ac:dyDescent="0.3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ht="13" x14ac:dyDescent="0.3">
      <c r="A24" s="30" t="str">
        <f>'Occ T1'!A11</f>
        <v>Administrative and secretarial occupations</v>
      </c>
      <c r="B24" s="31">
        <f>'Occ T1'!B11</f>
        <v>60.137952735863799</v>
      </c>
      <c r="C24" s="31">
        <f>'Occ T1'!C11</f>
        <v>54.660014915246499</v>
      </c>
      <c r="D24" s="31">
        <f>'Occ T1'!D11</f>
        <v>56.47840028321459</v>
      </c>
      <c r="E24" s="31">
        <f>'Occ T1'!E11</f>
        <v>57.502694930725809</v>
      </c>
      <c r="F24" s="31">
        <f>'Occ T1'!F11</f>
        <v>53.527270896017249</v>
      </c>
      <c r="H24" s="31">
        <f t="shared" ref="H24:K26" si="14">C24-B24</f>
        <v>-5.4779378206172993</v>
      </c>
      <c r="I24" s="31">
        <f t="shared" si="5"/>
        <v>1.8183853679680908</v>
      </c>
      <c r="J24" s="31">
        <f t="shared" si="14"/>
        <v>1.0242946475112191</v>
      </c>
      <c r="K24" s="31">
        <f t="shared" si="14"/>
        <v>-3.9754240347085599</v>
      </c>
      <c r="L24" s="31">
        <f t="shared" si="4"/>
        <v>-2.9511293871973407</v>
      </c>
    </row>
    <row r="25" spans="1:12" ht="13" x14ac:dyDescent="0.3">
      <c r="A25" t="str">
        <f>'Occ T2'!A19</f>
        <v>41 Administrative occupations</v>
      </c>
      <c r="B25" s="32">
        <f>'Occ T2'!B19</f>
        <v>49.13839945665805</v>
      </c>
      <c r="C25" s="32">
        <f>'Occ T2'!C19</f>
        <v>45.165151846246381</v>
      </c>
      <c r="D25" s="32">
        <f>'Occ T2'!D19</f>
        <v>47.19806700974938</v>
      </c>
      <c r="E25" s="32">
        <f>'Occ T2'!E19</f>
        <v>48.934345395177246</v>
      </c>
      <c r="F25" s="32">
        <f>'Occ T2'!F19</f>
        <v>48.119806641230511</v>
      </c>
      <c r="H25" s="11">
        <f t="shared" si="14"/>
        <v>-3.9732476104116685</v>
      </c>
      <c r="I25" s="31">
        <f t="shared" si="5"/>
        <v>2.0329151635029987</v>
      </c>
      <c r="J25" s="11">
        <f t="shared" si="14"/>
        <v>1.7362783854278661</v>
      </c>
      <c r="K25" s="11">
        <f t="shared" si="14"/>
        <v>-0.81453875394673503</v>
      </c>
      <c r="L25" s="31">
        <f t="shared" si="4"/>
        <v>0.92173963148113103</v>
      </c>
    </row>
    <row r="26" spans="1:12" ht="13" x14ac:dyDescent="0.3">
      <c r="A26" t="str">
        <f>'Occ T2'!A20</f>
        <v>42 Secretarial and related occupations</v>
      </c>
      <c r="B26" s="32">
        <f>'Occ T2'!B20</f>
        <v>10.999553279205751</v>
      </c>
      <c r="C26" s="32">
        <f>'Occ T2'!C20</f>
        <v>9.4948630690001181</v>
      </c>
      <c r="D26" s="32">
        <f>'Occ T2'!D20</f>
        <v>9.2803332734652102</v>
      </c>
      <c r="E26" s="32">
        <f>'Occ T2'!E20</f>
        <v>8.5683495355485668</v>
      </c>
      <c r="F26" s="32">
        <f>'Occ T2'!F20</f>
        <v>5.4074642547867375</v>
      </c>
      <c r="H26" s="11">
        <f t="shared" si="14"/>
        <v>-1.5046902102056325</v>
      </c>
      <c r="I26" s="31">
        <f t="shared" si="5"/>
        <v>-0.21452979553490792</v>
      </c>
      <c r="J26" s="11">
        <f t="shared" si="14"/>
        <v>-0.71198373791664338</v>
      </c>
      <c r="K26" s="11">
        <f t="shared" si="14"/>
        <v>-3.1608852807618293</v>
      </c>
      <c r="L26" s="31">
        <f t="shared" si="4"/>
        <v>-3.8728690186784727</v>
      </c>
    </row>
    <row r="27" spans="1:12" ht="13" x14ac:dyDescent="0.3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ht="13" x14ac:dyDescent="0.3">
      <c r="A28" s="30" t="str">
        <f>'Occ T1'!A12</f>
        <v>Skilled trades occupations</v>
      </c>
      <c r="B28" s="31">
        <f>'Occ T1'!B12</f>
        <v>61.298727794930358</v>
      </c>
      <c r="C28" s="31">
        <f>'Occ T1'!C12</f>
        <v>61.93589069766864</v>
      </c>
      <c r="D28" s="31">
        <f>'Occ T1'!D12</f>
        <v>52.232847099052961</v>
      </c>
      <c r="E28" s="31">
        <f>'Occ T1'!E12</f>
        <v>51.034079797086527</v>
      </c>
      <c r="F28" s="31">
        <f>'Occ T1'!F12</f>
        <v>46.762923727753545</v>
      </c>
      <c r="H28" s="31">
        <f t="shared" ref="H28:K30" si="15">C28-B28</f>
        <v>0.63716290273828236</v>
      </c>
      <c r="I28" s="31">
        <f t="shared" si="5"/>
        <v>-9.7030435986156789</v>
      </c>
      <c r="J28" s="31">
        <f t="shared" si="15"/>
        <v>-1.1987673019664342</v>
      </c>
      <c r="K28" s="31">
        <f t="shared" si="15"/>
        <v>-4.2711560693329815</v>
      </c>
      <c r="L28" s="31">
        <f t="shared" si="4"/>
        <v>-5.4699233712994157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4.3313158907234133</v>
      </c>
      <c r="C29" s="10">
        <f>'Occ T2'!C21</f>
        <v>3.8065912759839784</v>
      </c>
      <c r="D29" s="10">
        <f>'Occ T2'!D21</f>
        <v>3.1931450848658716</v>
      </c>
      <c r="E29" s="10">
        <f>'Occ T2'!E21</f>
        <v>3.1783302802326965</v>
      </c>
      <c r="F29" s="10">
        <f>'Occ T2'!F21</f>
        <v>3.5350171502669578</v>
      </c>
      <c r="H29" s="11">
        <f t="shared" si="15"/>
        <v>-0.52472461473943488</v>
      </c>
      <c r="I29" s="31">
        <f t="shared" si="5"/>
        <v>-0.61344619111810683</v>
      </c>
      <c r="J29" s="11">
        <f t="shared" si="15"/>
        <v>-1.4814804633175083E-2</v>
      </c>
      <c r="K29" s="11">
        <f t="shared" si="15"/>
        <v>0.35668687003426136</v>
      </c>
      <c r="L29" s="31">
        <f t="shared" si="4"/>
        <v>0.34187206540108628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28.622677836919465</v>
      </c>
      <c r="C30" s="10">
        <f>'Occ T2'!C22</f>
        <v>28.343637186861034</v>
      </c>
      <c r="D30" s="10">
        <f>'Occ T2'!D22</f>
        <v>23.236826282247673</v>
      </c>
      <c r="E30" s="10">
        <f>'Occ T2'!E22</f>
        <v>22.623948301451765</v>
      </c>
      <c r="F30" s="10">
        <f>'Occ T2'!F22</f>
        <v>20.841134342227381</v>
      </c>
      <c r="H30" s="11">
        <f t="shared" si="15"/>
        <v>-0.27904065005843037</v>
      </c>
      <c r="I30" s="31">
        <f t="shared" si="5"/>
        <v>-5.1068109046133614</v>
      </c>
      <c r="J30" s="11">
        <f t="shared" si="15"/>
        <v>-0.61287798079590772</v>
      </c>
      <c r="K30" s="11">
        <f t="shared" si="15"/>
        <v>-1.7828139592243843</v>
      </c>
      <c r="L30" s="31">
        <f t="shared" si="4"/>
        <v>-2.3956919400202921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18.67563056886091</v>
      </c>
      <c r="C31" s="10">
        <f>'Occ T2'!C23</f>
        <v>21.339556958033437</v>
      </c>
      <c r="D31" s="10">
        <f>'Occ T2'!D23</f>
        <v>17.473473402618112</v>
      </c>
      <c r="E31" s="10">
        <f>'Occ T2'!E23</f>
        <v>16.813170514329276</v>
      </c>
      <c r="F31" s="10">
        <f>'Occ T2'!F23</f>
        <v>14.401581227548823</v>
      </c>
      <c r="H31" s="11">
        <f t="shared" ref="H31:H32" si="16">C31-B31</f>
        <v>2.6639263891725271</v>
      </c>
      <c r="I31" s="31">
        <f t="shared" si="5"/>
        <v>-3.8660835554153259</v>
      </c>
      <c r="J31" s="11">
        <f t="shared" ref="J31:J32" si="17">E31-D31</f>
        <v>-0.66030288828883599</v>
      </c>
      <c r="K31" s="11">
        <f t="shared" ref="K31:K32" si="18">F31-E31</f>
        <v>-2.4115892867804529</v>
      </c>
      <c r="L31" s="31">
        <f t="shared" si="4"/>
        <v>-3.0718921750692889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9.6691034984265638</v>
      </c>
      <c r="C32" s="10">
        <f>'Occ T2'!C24</f>
        <v>8.4461052767901954</v>
      </c>
      <c r="D32" s="10">
        <f>'Occ T2'!D24</f>
        <v>8.3294023293213026</v>
      </c>
      <c r="E32" s="10">
        <f>'Occ T2'!E24</f>
        <v>8.418630701072793</v>
      </c>
      <c r="F32" s="10">
        <f>'Occ T2'!F24</f>
        <v>7.9851910077103829</v>
      </c>
      <c r="H32" s="11">
        <f t="shared" si="16"/>
        <v>-1.2229982216363684</v>
      </c>
      <c r="I32" s="31">
        <f t="shared" si="5"/>
        <v>-0.11670294746889276</v>
      </c>
      <c r="J32" s="11">
        <f t="shared" si="17"/>
        <v>8.9228371751490343E-2</v>
      </c>
      <c r="K32" s="11">
        <f t="shared" si="18"/>
        <v>-0.43343969336241006</v>
      </c>
      <c r="L32" s="31">
        <f t="shared" si="4"/>
        <v>-0.34421132161091972</v>
      </c>
    </row>
    <row r="33" spans="1:12" ht="13" x14ac:dyDescent="0.3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ht="13" x14ac:dyDescent="0.3">
      <c r="A34" s="30" t="str">
        <f>'Occ T1'!A13</f>
        <v>Caring, leisure and other service occupations</v>
      </c>
      <c r="B34" s="31">
        <f>'Occ T1'!B13</f>
        <v>50.478192628686543</v>
      </c>
      <c r="C34" s="31">
        <f>'Occ T1'!C13</f>
        <v>51.457710511437895</v>
      </c>
      <c r="D34" s="31">
        <f>'Occ T1'!D13</f>
        <v>49.337956426134348</v>
      </c>
      <c r="E34" s="31">
        <f>'Occ T1'!E13</f>
        <v>50.297533097424598</v>
      </c>
      <c r="F34" s="31">
        <f>'Occ T1'!F13</f>
        <v>53.919691330747085</v>
      </c>
      <c r="H34" s="31">
        <f t="shared" ref="H34:K36" si="19">C34-B34</f>
        <v>0.97951788275135243</v>
      </c>
      <c r="I34" s="31">
        <f t="shared" si="5"/>
        <v>-2.1197540853035477</v>
      </c>
      <c r="J34" s="31">
        <f t="shared" si="19"/>
        <v>0.95957667129025026</v>
      </c>
      <c r="K34" s="31">
        <f t="shared" si="19"/>
        <v>3.6221582333224873</v>
      </c>
      <c r="L34" s="31">
        <f t="shared" si="4"/>
        <v>4.5817349046127376</v>
      </c>
    </row>
    <row r="35" spans="1:12" ht="13" x14ac:dyDescent="0.3">
      <c r="A35" s="10" t="str">
        <f>'Occ T2'!A25</f>
        <v>61 Caring personal service occupations</v>
      </c>
      <c r="B35" s="10">
        <f>'Occ T2'!B25</f>
        <v>38.549226321705426</v>
      </c>
      <c r="C35" s="10">
        <f>'Occ T2'!C25</f>
        <v>41.06186937421402</v>
      </c>
      <c r="D35" s="10">
        <f>'Occ T2'!D25</f>
        <v>39.709013980070296</v>
      </c>
      <c r="E35" s="10">
        <f>'Occ T2'!E25</f>
        <v>41.475231244635403</v>
      </c>
      <c r="F35" s="10">
        <f>'Occ T2'!F25</f>
        <v>45.131434884626096</v>
      </c>
      <c r="G35" s="10"/>
      <c r="H35" s="11">
        <f t="shared" si="19"/>
        <v>2.5126430525085937</v>
      </c>
      <c r="I35" s="31">
        <f t="shared" si="5"/>
        <v>-1.3528553941437238</v>
      </c>
      <c r="J35" s="11">
        <f t="shared" si="19"/>
        <v>1.7662172645651069</v>
      </c>
      <c r="K35" s="11">
        <f t="shared" si="19"/>
        <v>3.656203639990693</v>
      </c>
      <c r="L35" s="31">
        <f t="shared" si="4"/>
        <v>5.4224209045557998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11.482295485656088</v>
      </c>
      <c r="C36" s="10">
        <f>'Occ T2'!C26</f>
        <v>10.028377892597495</v>
      </c>
      <c r="D36" s="10">
        <f>'Occ T2'!D26</f>
        <v>9.1820078898329758</v>
      </c>
      <c r="E36" s="10">
        <f>'Occ T2'!E26</f>
        <v>8.4814204479781505</v>
      </c>
      <c r="F36" s="10">
        <f>'Occ T2'!F26</f>
        <v>8.4132106883947344</v>
      </c>
      <c r="G36" s="10"/>
      <c r="H36" s="11">
        <f t="shared" si="19"/>
        <v>-1.453917593058593</v>
      </c>
      <c r="I36" s="31">
        <f t="shared" si="5"/>
        <v>-0.84637000276451957</v>
      </c>
      <c r="J36" s="11">
        <f t="shared" si="19"/>
        <v>-0.70058744185482524</v>
      </c>
      <c r="K36" s="11">
        <f t="shared" si="19"/>
        <v>-6.820975958341613E-2</v>
      </c>
      <c r="L36" s="31">
        <f t="shared" si="4"/>
        <v>-0.76879720143824137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0.44667082132503066</v>
      </c>
      <c r="C37" s="10">
        <f>'Occ T2'!C27</f>
        <v>0.3674632446263803</v>
      </c>
      <c r="D37" s="10">
        <f>'Occ T2'!D27</f>
        <v>0.44693455623107448</v>
      </c>
      <c r="E37" s="10">
        <f>'Occ T2'!E27</f>
        <v>0.34088140481104534</v>
      </c>
      <c r="F37" s="10">
        <f>'Occ T2'!F27</f>
        <v>0.37504575772625592</v>
      </c>
      <c r="G37" s="10"/>
      <c r="H37" s="11">
        <f t="shared" ref="H37" si="20">C37-B37</f>
        <v>-7.9207576698650362E-2</v>
      </c>
      <c r="I37" s="31">
        <f t="shared" ref="I37" si="21">D37-C37</f>
        <v>7.9471311604694173E-2</v>
      </c>
      <c r="J37" s="11">
        <f t="shared" ref="J37" si="22">E37-D37</f>
        <v>-0.10605315142002913</v>
      </c>
      <c r="K37" s="11">
        <f t="shared" ref="K37" si="23">F37-E37</f>
        <v>3.4164352915210583E-2</v>
      </c>
      <c r="L37" s="31">
        <f t="shared" ref="L37" si="24">F37-D37</f>
        <v>-7.1888798504818552E-2</v>
      </c>
    </row>
    <row r="38" spans="1:12" ht="13" x14ac:dyDescent="0.3">
      <c r="I38" s="31"/>
      <c r="L38" s="31"/>
    </row>
    <row r="39" spans="1:12" s="30" customFormat="1" ht="13" x14ac:dyDescent="0.3">
      <c r="A39" s="30" t="str">
        <f>'Occ T1'!A14</f>
        <v>Sales and customer service occupations</v>
      </c>
      <c r="B39" s="31">
        <f>'Occ T1'!B14</f>
        <v>43.312490842090227</v>
      </c>
      <c r="C39" s="31">
        <f>'Occ T1'!C14</f>
        <v>39.584257231886966</v>
      </c>
      <c r="D39" s="31">
        <f>'Occ T1'!D14</f>
        <v>39.339785940793128</v>
      </c>
      <c r="E39" s="31">
        <f>'Occ T1'!E14</f>
        <v>39.372468047859556</v>
      </c>
      <c r="F39" s="31">
        <f>'Occ T1'!F14</f>
        <v>39.081082804049579</v>
      </c>
      <c r="H39" s="31">
        <f>C39-B39</f>
        <v>-3.7282336102032616</v>
      </c>
      <c r="I39" s="31">
        <f t="shared" si="5"/>
        <v>-0.24447129109383781</v>
      </c>
      <c r="J39" s="31">
        <f>E39-D39</f>
        <v>3.2682107066428046E-2</v>
      </c>
      <c r="K39" s="31">
        <f>F39-E39</f>
        <v>-0.29138524380997666</v>
      </c>
      <c r="L39" s="31">
        <f t="shared" si="4"/>
        <v>-0.25870313674354861</v>
      </c>
    </row>
    <row r="40" spans="1:12" s="30" customFormat="1" ht="13" x14ac:dyDescent="0.3">
      <c r="A40" s="126" t="str">
        <f>'Occ T2'!A28</f>
        <v>71 Sales occupations</v>
      </c>
      <c r="B40" s="126">
        <f>'Occ T2'!B28</f>
        <v>34.223800198352485</v>
      </c>
      <c r="C40" s="126">
        <f>'Occ T2'!C28</f>
        <v>30.736255514037811</v>
      </c>
      <c r="D40" s="126">
        <f>'Occ T2'!D28</f>
        <v>30.25093913476638</v>
      </c>
      <c r="E40" s="126">
        <f>'Occ T2'!E28</f>
        <v>29.213833101714457</v>
      </c>
      <c r="F40" s="126">
        <f>'Occ T2'!F28</f>
        <v>27.813348952284226</v>
      </c>
      <c r="G40"/>
      <c r="H40" s="11">
        <f>C40-B40</f>
        <v>-3.487544684314674</v>
      </c>
      <c r="I40" s="31">
        <f t="shared" si="5"/>
        <v>-0.48531637927143123</v>
      </c>
      <c r="J40" s="11">
        <f t="shared" ref="J40" si="25">E40-D40</f>
        <v>-1.0371060330519235</v>
      </c>
      <c r="K40" s="11">
        <f t="shared" ref="K40" si="26">F40-E40</f>
        <v>-1.4004841494302305</v>
      </c>
      <c r="L40" s="31">
        <f t="shared" si="4"/>
        <v>-2.437590182482154</v>
      </c>
    </row>
    <row r="41" spans="1:12" s="30" customFormat="1" ht="13" x14ac:dyDescent="0.3">
      <c r="A41" s="126" t="str">
        <f>'Occ T2'!A29</f>
        <v>72 Customer service occupations</v>
      </c>
      <c r="B41" s="126">
        <f>'Occ T2'!B29</f>
        <v>9.0886906437377402</v>
      </c>
      <c r="C41" s="126">
        <f>'Occ T2'!C29</f>
        <v>8.8480017178491579</v>
      </c>
      <c r="D41" s="126">
        <f>'Occ T2'!D29</f>
        <v>9.088846806026746</v>
      </c>
      <c r="E41" s="126">
        <f>'Occ T2'!E29</f>
        <v>10.158634946145103</v>
      </c>
      <c r="F41" s="126">
        <f>'Occ T2'!F29</f>
        <v>11.267733851765355</v>
      </c>
      <c r="G41"/>
      <c r="H41" s="11">
        <f t="shared" ref="H41" si="27">C41-B41</f>
        <v>-0.24068892588858226</v>
      </c>
      <c r="I41" s="31">
        <f t="shared" si="5"/>
        <v>0.2408450881775881</v>
      </c>
      <c r="J41" s="11">
        <f t="shared" ref="J41" si="28">E41-D41</f>
        <v>1.0697881401183569</v>
      </c>
      <c r="K41" s="11">
        <f t="shared" ref="K41" si="29">F41-E41</f>
        <v>1.109098905620252</v>
      </c>
      <c r="L41" s="31">
        <f t="shared" si="4"/>
        <v>2.1788870457386089</v>
      </c>
    </row>
    <row r="42" spans="1:12" ht="13" x14ac:dyDescent="0.3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ht="13" x14ac:dyDescent="0.3">
      <c r="A43" s="30" t="str">
        <f>'Occ T1'!A15</f>
        <v>Process, plant and machine operatives</v>
      </c>
      <c r="B43" s="31">
        <f>'Occ T1'!B15</f>
        <v>47.140684059777129</v>
      </c>
      <c r="C43" s="31">
        <f>'Occ T1'!C15</f>
        <v>46.572468845695909</v>
      </c>
      <c r="D43" s="31">
        <f>'Occ T1'!D15</f>
        <v>40.358374305998041</v>
      </c>
      <c r="E43" s="31">
        <f>'Occ T1'!E15</f>
        <v>41.728305575825772</v>
      </c>
      <c r="F43" s="31">
        <f>'Occ T1'!F15</f>
        <v>40.199737732609378</v>
      </c>
      <c r="H43" s="31">
        <f t="shared" ref="H43:K45" si="30">C43-B43</f>
        <v>-0.56821521408122067</v>
      </c>
      <c r="I43" s="31">
        <f t="shared" si="5"/>
        <v>-6.214094539697868</v>
      </c>
      <c r="J43" s="31">
        <f t="shared" si="30"/>
        <v>1.3699312698277311</v>
      </c>
      <c r="K43" s="31">
        <f t="shared" si="30"/>
        <v>-1.5285678432163934</v>
      </c>
      <c r="L43" s="31">
        <f t="shared" si="4"/>
        <v>-0.15863657338866233</v>
      </c>
    </row>
    <row r="44" spans="1:12" ht="13" x14ac:dyDescent="0.3">
      <c r="A44" s="10" t="str">
        <f>'Occ T2'!A30</f>
        <v>81 Process, plant and machine operatives</v>
      </c>
      <c r="B44" s="10">
        <f>'Occ T2'!B30</f>
        <v>23.01767694669358</v>
      </c>
      <c r="C44" s="10">
        <f>'Occ T2'!C30</f>
        <v>21.737054143198129</v>
      </c>
      <c r="D44" s="10">
        <f>'Occ T2'!D30</f>
        <v>18.382917992462492</v>
      </c>
      <c r="E44" s="10">
        <f>'Occ T2'!E30</f>
        <v>18.988071519329377</v>
      </c>
      <c r="F44" s="10">
        <f>'Occ T2'!F30</f>
        <v>17.514325366127888</v>
      </c>
      <c r="H44" s="11">
        <f t="shared" si="30"/>
        <v>-1.2806228034954508</v>
      </c>
      <c r="I44" s="31">
        <f t="shared" si="5"/>
        <v>-3.3541361507356378</v>
      </c>
      <c r="J44" s="11">
        <f t="shared" si="30"/>
        <v>0.60515352686688573</v>
      </c>
      <c r="K44" s="11">
        <f t="shared" si="30"/>
        <v>-1.4737461532014891</v>
      </c>
      <c r="L44" s="31">
        <f t="shared" si="4"/>
        <v>-0.86859262633460332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24.123007113083549</v>
      </c>
      <c r="C45" s="10">
        <f>'Occ T2'!C31</f>
        <v>24.835414702497779</v>
      </c>
      <c r="D45" s="10">
        <f>'Occ T2'!D31</f>
        <v>21.975456313535553</v>
      </c>
      <c r="E45" s="10">
        <f>'Occ T2'!E31</f>
        <v>22.740234056496391</v>
      </c>
      <c r="F45" s="10">
        <f>'Occ T2'!F31</f>
        <v>22.68541236648149</v>
      </c>
      <c r="H45" s="11">
        <f t="shared" si="30"/>
        <v>0.7124075894142301</v>
      </c>
      <c r="I45" s="31">
        <f t="shared" si="5"/>
        <v>-2.8599583889622266</v>
      </c>
      <c r="J45" s="11">
        <f t="shared" si="30"/>
        <v>0.76477774296083822</v>
      </c>
      <c r="K45" s="11">
        <f t="shared" si="30"/>
        <v>-5.4821690014900781E-2</v>
      </c>
      <c r="L45" s="31">
        <f t="shared" si="4"/>
        <v>0.70995605294593744</v>
      </c>
    </row>
    <row r="46" spans="1:12" ht="13" x14ac:dyDescent="0.3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ht="13" x14ac:dyDescent="0.3">
      <c r="A47" s="30" t="str">
        <f>'Occ T1'!A16</f>
        <v>Elementary occupations</v>
      </c>
      <c r="B47" s="31">
        <f>'Occ T1'!B16</f>
        <v>56.959938314054895</v>
      </c>
      <c r="C47" s="31">
        <f>'Occ T1'!C16</f>
        <v>51.598951207068083</v>
      </c>
      <c r="D47" s="31">
        <f>'Occ T1'!D16</f>
        <v>46.286833202091827</v>
      </c>
      <c r="E47" s="31">
        <f>'Occ T1'!E16</f>
        <v>48.234655478640505</v>
      </c>
      <c r="F47" s="31">
        <f>'Occ T1'!F16</f>
        <v>45.977952071338812</v>
      </c>
      <c r="H47" s="31">
        <f t="shared" ref="H47:K49" si="31">C47-B47</f>
        <v>-5.360987106986812</v>
      </c>
      <c r="I47" s="31">
        <f t="shared" si="5"/>
        <v>-5.3121180049762557</v>
      </c>
      <c r="J47" s="31">
        <f t="shared" si="31"/>
        <v>1.9478222765486777</v>
      </c>
      <c r="K47" s="31">
        <f t="shared" si="31"/>
        <v>-2.2567034073016927</v>
      </c>
      <c r="L47" s="31">
        <f t="shared" si="4"/>
        <v>-0.30888113075301504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11.487443580203085</v>
      </c>
      <c r="C48" s="10">
        <f>'Occ T2'!C32</f>
        <v>9.8320405541299714</v>
      </c>
      <c r="D48" s="10">
        <f>'Occ T2'!D32</f>
        <v>8.59789452449556</v>
      </c>
      <c r="E48" s="10">
        <f>'Occ T2'!E32</f>
        <v>15.010512028853473</v>
      </c>
      <c r="F48" s="10">
        <f>'Occ T2'!F32</f>
        <v>16.496787208058887</v>
      </c>
      <c r="H48" s="11">
        <f t="shared" si="31"/>
        <v>-1.6554030260731132</v>
      </c>
      <c r="I48" s="31">
        <f t="shared" si="5"/>
        <v>-1.2341460296344113</v>
      </c>
      <c r="J48" s="11">
        <f t="shared" si="31"/>
        <v>6.4126175043579128</v>
      </c>
      <c r="K48" s="11">
        <f t="shared" si="31"/>
        <v>1.4862751792054141</v>
      </c>
      <c r="L48" s="31">
        <f t="shared" si="4"/>
        <v>7.8988926835633269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45.472494733851811</v>
      </c>
      <c r="C49" s="10">
        <f>'Occ T2'!C33</f>
        <v>41.766910652938115</v>
      </c>
      <c r="D49" s="10">
        <f>'Occ T2'!D33</f>
        <v>37.688938677596269</v>
      </c>
      <c r="E49" s="10">
        <f>'Occ T2'!E33</f>
        <v>33.224143449787029</v>
      </c>
      <c r="F49" s="10">
        <f>'Occ T2'!F33</f>
        <v>29.481164863279925</v>
      </c>
      <c r="H49" s="11">
        <f t="shared" si="31"/>
        <v>-3.7055840809136953</v>
      </c>
      <c r="I49" s="31">
        <f t="shared" si="5"/>
        <v>-4.0779719753418462</v>
      </c>
      <c r="J49" s="11">
        <f t="shared" si="31"/>
        <v>-4.4647952278092404</v>
      </c>
      <c r="K49" s="11">
        <f t="shared" si="31"/>
        <v>-3.7429785865071032</v>
      </c>
      <c r="L49" s="31">
        <f t="shared" si="4"/>
        <v>-8.2077738143163437</v>
      </c>
    </row>
    <row r="50" spans="1:12" ht="13" x14ac:dyDescent="0.3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ht="13" x14ac:dyDescent="0.3">
      <c r="A51" s="39" t="str">
        <f>'Occ T1'!A18</f>
        <v>All occupations</v>
      </c>
      <c r="B51" s="34">
        <f>'Occ T1'!B18</f>
        <v>505.56200000000013</v>
      </c>
      <c r="C51" s="34">
        <f>'Occ T1'!C18</f>
        <v>509.93099999999964</v>
      </c>
      <c r="D51" s="34">
        <f>'Occ T1'!D18</f>
        <v>496.19399999999968</v>
      </c>
      <c r="E51" s="34">
        <f>'Occ T1'!E18</f>
        <v>508.1280000000001</v>
      </c>
      <c r="F51" s="34">
        <f>'Occ T1'!F18</f>
        <v>521.94399999999951</v>
      </c>
      <c r="G51" s="24"/>
      <c r="H51" s="34">
        <f>C51-B51</f>
        <v>4.3689999999995166</v>
      </c>
      <c r="I51" s="205">
        <f>D51-C51</f>
        <v>-13.736999999999966</v>
      </c>
      <c r="J51" s="34">
        <f>E51-D51</f>
        <v>11.934000000000424</v>
      </c>
      <c r="K51" s="34">
        <f>F51-E51</f>
        <v>13.815999999999406</v>
      </c>
      <c r="L51" s="205">
        <f>F51-D51</f>
        <v>25.749999999999829</v>
      </c>
    </row>
    <row r="53" spans="1:12" ht="15.5" x14ac:dyDescent="0.35">
      <c r="A53" s="19" t="str">
        <f>CONCATENATE(A1," (Continued)")</f>
        <v>Occupation Table 3  Employment Change by Occupation in Occupation Group (SOC 2020), 2015-2035, Black Country (Continued)</v>
      </c>
    </row>
    <row r="55" spans="1:12" x14ac:dyDescent="0.25">
      <c r="L55" s="16" t="s">
        <v>22</v>
      </c>
    </row>
    <row r="56" spans="1:12" ht="13" x14ac:dyDescent="0.3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ht="13" x14ac:dyDescent="0.3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ht="13" x14ac:dyDescent="0.3">
      <c r="A59" s="30" t="str">
        <f>A7</f>
        <v>Managers, directors and senior officials</v>
      </c>
      <c r="B59" s="44">
        <f>IF(AND(C$5-B$5 &lt;&gt; 0,C7 &lt;&gt; 0,B7 &lt;&gt; 0),(EXP(LN(C7/B7)/(C$5-B$5))-1)*100,0)</f>
        <v>2.2535150400792237</v>
      </c>
      <c r="C59" s="44">
        <f>IF(AND(D$5-C$5 &lt;&gt; 0,D7 &lt;&gt; 0,C7 &lt;&gt; 0),(EXP(LN(D7/C7)/(D$5-C$5))-1)*100,0)</f>
        <v>3.1399608056009942</v>
      </c>
      <c r="D59" s="44">
        <f>IF(AND(E$5-D$5 &lt;&gt; 0,E7 &lt;&gt; 0,D7 &lt;&gt; 0),(EXP(LN(E7/D7)/(E$5-D$5))-1)*100,0)</f>
        <v>-1.2719130547734658</v>
      </c>
      <c r="E59" s="44">
        <f>IF(AND(F$5-E$5 &lt;&gt; 0,F7 &lt;&gt; 0,E7 &lt;&gt; 0),(EXP(LN(F7/E7)/(F$5-E$5))-1)*100,0)</f>
        <v>0.93833309451352154</v>
      </c>
      <c r="F59" s="44">
        <f>IF(AND(F$5-D$5 &lt;&gt; 0,F7 &lt;&gt; 0,D7 &lt;&gt; 0),(EXP(LN(F7/D7)/(F$5-D$5))-1)*100,0)</f>
        <v>0.1961404623199936</v>
      </c>
      <c r="H59" s="44">
        <f>(B7/B$51)*100</f>
        <v>8.3852664195490014</v>
      </c>
      <c r="I59" s="44">
        <f>(C7/C$51)*100</f>
        <v>9.0885135458674444</v>
      </c>
      <c r="J59" s="44">
        <f>(D7/D$51)*100</f>
        <v>9.6334029618205399</v>
      </c>
      <c r="K59" s="44">
        <f>(E7/E$51)*100</f>
        <v>8.8239231553748887</v>
      </c>
      <c r="L59" s="44">
        <f>(F7/F$51)*100</f>
        <v>9.4313143338239822</v>
      </c>
    </row>
    <row r="60" spans="1:12" s="30" customFormat="1" ht="13" x14ac:dyDescent="0.3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3.0303782938927437</v>
      </c>
      <c r="C60" s="44">
        <f t="shared" si="32"/>
        <v>2.6330496026515826</v>
      </c>
      <c r="D60" s="44">
        <f t="shared" si="32"/>
        <v>-2.040740970542354</v>
      </c>
      <c r="E60" s="44">
        <f t="shared" si="32"/>
        <v>0.8498281222134807</v>
      </c>
      <c r="F60" s="44">
        <f>IF(AND(F$5-D$5 &lt;&gt; 0,F8 &lt;&gt; 0,D8 &lt;&gt; 0),(EXP(LN(F8/D8)/(F$5-D$5))-1)*100,0)</f>
        <v>-0.12304988831006725</v>
      </c>
      <c r="H60" s="44">
        <f t="shared" ref="H60:L60" si="33">(B8/B$51)*100</f>
        <v>5.9104097619839706</v>
      </c>
      <c r="I60" s="44">
        <f t="shared" si="33"/>
        <v>6.6030072989576665</v>
      </c>
      <c r="J60" s="44">
        <f t="shared" si="33"/>
        <v>6.9644835525859445</v>
      </c>
      <c r="K60" s="44">
        <f t="shared" si="33"/>
        <v>6.1347201436068293</v>
      </c>
      <c r="L60" s="44">
        <f t="shared" si="33"/>
        <v>6.4997342006689953</v>
      </c>
    </row>
    <row r="61" spans="1:12" s="30" customFormat="1" ht="13" x14ac:dyDescent="0.3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0.3229860382378158</v>
      </c>
      <c r="C61" s="44">
        <f>IF(AND(D$5-C$5 &lt;&gt; 0,D9 &lt;&gt; 0,C9 &lt;&gt; 0),(EXP(LN(D9/C9)/(D$5-C$5))-1)*100,0)</f>
        <v>4.4866234330475985</v>
      </c>
      <c r="D61" s="44">
        <f t="shared" si="34"/>
        <v>0.62872023571027835</v>
      </c>
      <c r="E61" s="44">
        <f t="shared" si="34"/>
        <v>1.1376588600769955</v>
      </c>
      <c r="F61" s="44">
        <f>IF(AND(F$5-D$5 &lt;&gt; 0,F9 &lt;&gt; 0,D9 &lt;&gt; 0),(EXP(LN(F9/D9)/(F$5-D$5))-1)*100,0)</f>
        <v>0.96772729272256441</v>
      </c>
      <c r="H61" s="44">
        <f t="shared" ref="H61:L61" si="35">(B9/B$51)*100</f>
        <v>2.4748566575650321</v>
      </c>
      <c r="I61" s="44">
        <f t="shared" si="35"/>
        <v>2.4855062469097775</v>
      </c>
      <c r="J61" s="44">
        <f t="shared" si="35"/>
        <v>2.6689194092345963</v>
      </c>
      <c r="K61" s="44">
        <f t="shared" si="35"/>
        <v>2.689203011768059</v>
      </c>
      <c r="L61" s="44">
        <f t="shared" si="35"/>
        <v>2.9315801331549878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3.0878921424440708</v>
      </c>
      <c r="C63" s="44">
        <f t="shared" si="36"/>
        <v>4.5261949315445138</v>
      </c>
      <c r="D63" s="44">
        <f t="shared" si="36"/>
        <v>1.2101304974909022</v>
      </c>
      <c r="E63" s="44">
        <f t="shared" si="36"/>
        <v>1.0226215468854605</v>
      </c>
      <c r="F63" s="44">
        <f>IF(AND(F$5-D$5 &lt;&gt; 0,F11 &lt;&gt; 0,D11 &lt;&gt; 0),(EXP(LN(F11/D11)/(F$5-D$5))-1)*100,0)</f>
        <v>1.0850858994736923</v>
      </c>
      <c r="H63" s="44">
        <f>(B11/B$51)*100</f>
        <v>17.349782547889351</v>
      </c>
      <c r="I63" s="44">
        <f>(C11/C$51)*100</f>
        <v>19.426192278862214</v>
      </c>
      <c r="J63" s="44">
        <f>(D11/D$51)*100</f>
        <v>20.867610902124678</v>
      </c>
      <c r="K63" s="44">
        <f>(E11/E$51)*100</f>
        <v>21.640686609265416</v>
      </c>
      <c r="L63" s="44">
        <f>(F11/F$51)*100</f>
        <v>23.32419138807051</v>
      </c>
    </row>
    <row r="64" spans="1:12" ht="13" x14ac:dyDescent="0.3">
      <c r="A64" t="str">
        <f>A12</f>
        <v>21 Science, research, engineering and technology professionals</v>
      </c>
      <c r="B64" s="49">
        <f t="shared" si="36"/>
        <v>1.8773236967932538</v>
      </c>
      <c r="C64" s="44">
        <f t="shared" si="36"/>
        <v>4.5125374341252522</v>
      </c>
      <c r="D64" s="49">
        <f t="shared" si="36"/>
        <v>3.9217974408579437</v>
      </c>
      <c r="E64" s="49">
        <f t="shared" si="36"/>
        <v>1.2090748903252235</v>
      </c>
      <c r="F64" s="44">
        <f>IF(AND(F$5-D$5 &lt;&gt; 0,F12 &lt;&gt; 0,D12 &lt;&gt; 0),(EXP(LN(F12/D12)/(F$5-D$5))-1)*100,0)</f>
        <v>2.1053550953749944</v>
      </c>
      <c r="H64" s="40">
        <f t="shared" ref="H64:L67" si="37">(B12/B$11)*100</f>
        <v>27.011186652397299</v>
      </c>
      <c r="I64" s="40">
        <f t="shared" si="37"/>
        <v>25.764584072237025</v>
      </c>
      <c r="J64" s="40">
        <f t="shared" si="37"/>
        <v>25.761217645852657</v>
      </c>
      <c r="K64" s="40">
        <f t="shared" si="37"/>
        <v>29.402192139313488</v>
      </c>
      <c r="L64" s="40">
        <f t="shared" si="37"/>
        <v>29.949385775117417</v>
      </c>
    </row>
    <row r="65" spans="1:12" ht="13" x14ac:dyDescent="0.3">
      <c r="A65" t="str">
        <f>A13</f>
        <v>22 Health professionals</v>
      </c>
      <c r="B65" s="49">
        <f t="shared" si="36"/>
        <v>5.9533902611244471</v>
      </c>
      <c r="C65" s="44">
        <f t="shared" si="36"/>
        <v>-1.5760066522252481</v>
      </c>
      <c r="D65" s="49">
        <f t="shared" si="36"/>
        <v>-0.25509433363543055</v>
      </c>
      <c r="E65" s="49">
        <f t="shared" si="36"/>
        <v>0.74158810770108552</v>
      </c>
      <c r="F65" s="44">
        <f>IF(AND(F$5-D$5 &lt;&gt; 0,F13 &lt;&gt; 0,D13 &lt;&gt; 0),(EXP(LN(F13/D13)/(F$5-D$5))-1)*100,0)</f>
        <v>0.40825893933129631</v>
      </c>
      <c r="H65" s="40">
        <f t="shared" si="37"/>
        <v>24.710758519247157</v>
      </c>
      <c r="I65" s="40">
        <f t="shared" si="37"/>
        <v>27.574958590487686</v>
      </c>
      <c r="J65" s="40">
        <f t="shared" si="37"/>
        <v>25.965142447333712</v>
      </c>
      <c r="K65" s="40">
        <f t="shared" si="37"/>
        <v>24.13928515597156</v>
      </c>
      <c r="L65" s="40">
        <f t="shared" si="37"/>
        <v>23.476102156032034</v>
      </c>
    </row>
    <row r="66" spans="1:12" ht="13" x14ac:dyDescent="0.3">
      <c r="A66" t="str">
        <f>A14</f>
        <v>23 Teaching and other educational professionals</v>
      </c>
      <c r="B66" s="49">
        <f t="shared" si="36"/>
        <v>1.5319874948684697</v>
      </c>
      <c r="C66" s="44">
        <f t="shared" si="36"/>
        <v>6.0726399362236227</v>
      </c>
      <c r="D66" s="49">
        <f t="shared" si="36"/>
        <v>-5.1741183103570787E-2</v>
      </c>
      <c r="E66" s="49">
        <f t="shared" si="36"/>
        <v>0.95711284592294721</v>
      </c>
      <c r="F66" s="44">
        <f>IF(AND(F$5-D$5 &lt;&gt; 0,F14 &lt;&gt; 0,D14 &lt;&gt; 0),(EXP(LN(F14/D14)/(F$5-D$5))-1)*100,0)</f>
        <v>0.61970175648629056</v>
      </c>
      <c r="H66" s="40">
        <f t="shared" si="37"/>
        <v>22.2773962423489</v>
      </c>
      <c r="I66" s="40">
        <f t="shared" si="37"/>
        <v>20.96260937388784</v>
      </c>
      <c r="J66" s="40">
        <f t="shared" si="37"/>
        <v>21.272747158703588</v>
      </c>
      <c r="K66" s="40">
        <f t="shared" si="37"/>
        <v>19.97927928542434</v>
      </c>
      <c r="L66" s="40">
        <f t="shared" si="37"/>
        <v>19.850099898143846</v>
      </c>
    </row>
    <row r="67" spans="1:12" ht="13" x14ac:dyDescent="0.3">
      <c r="A67" t="str">
        <f>A15</f>
        <v>24 Business, media and public service professionals</v>
      </c>
      <c r="B67" s="49">
        <f t="shared" si="36"/>
        <v>2.7864250271628199</v>
      </c>
      <c r="C67" s="44">
        <f t="shared" si="36"/>
        <v>9.826339650530258</v>
      </c>
      <c r="D67" s="49">
        <f t="shared" si="36"/>
        <v>0.81600283389537953</v>
      </c>
      <c r="E67" s="49">
        <f t="shared" si="36"/>
        <v>1.1157699664662291</v>
      </c>
      <c r="F67" s="44">
        <f>IF(AND(F$5-D$5 &lt;&gt; 0,F15 &lt;&gt; 0,D15 &lt;&gt; 0),(EXP(LN(F15/D15)/(F$5-D$5))-1)*100,0)</f>
        <v>1.015748682921247</v>
      </c>
      <c r="H67" s="40">
        <f t="shared" si="37"/>
        <v>26.000658586006658</v>
      </c>
      <c r="I67" s="40">
        <f t="shared" si="37"/>
        <v>25.697847963387449</v>
      </c>
      <c r="J67" s="40">
        <f t="shared" si="37"/>
        <v>27.000892748110051</v>
      </c>
      <c r="K67" s="40">
        <f t="shared" si="37"/>
        <v>26.479243419290611</v>
      </c>
      <c r="L67" s="40">
        <f t="shared" si="37"/>
        <v>26.724412170706703</v>
      </c>
    </row>
    <row r="68" spans="1:12" ht="13" x14ac:dyDescent="0.3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ht="13" x14ac:dyDescent="0.3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1.1337518594024765</v>
      </c>
      <c r="C69" s="44">
        <f t="shared" si="39"/>
        <v>3.5751861850356059</v>
      </c>
      <c r="D69" s="44">
        <f t="shared" si="39"/>
        <v>1.3892586990257971</v>
      </c>
      <c r="E69" s="44">
        <f t="shared" si="39"/>
        <v>0.93439153499115246</v>
      </c>
      <c r="F69" s="44">
        <f t="shared" ref="F69:F74" si="40">IF(AND(F$5-D$5 &lt;&gt; 0,F17 &lt;&gt; 0,D17 &lt;&gt; 0),(EXP(LN(F17/D17)/(F$5-D$5))-1)*100,0)</f>
        <v>1.0857867262725973</v>
      </c>
      <c r="H69" s="44">
        <f>(B17/B$51)*100</f>
        <v>11.101978662129754</v>
      </c>
      <c r="I69" s="44">
        <f>(C17/C$51)*100</f>
        <v>11.514573938806162</v>
      </c>
      <c r="J69" s="44">
        <f>(D17/D$51)*100</f>
        <v>12.256416242568559</v>
      </c>
      <c r="K69" s="44">
        <f>(E17/E$51)*100</f>
        <v>12.823353715513775</v>
      </c>
      <c r="L69" s="44">
        <f>(F17/F$51)*100</f>
        <v>13.7006929196234</v>
      </c>
    </row>
    <row r="70" spans="1:12" ht="13" x14ac:dyDescent="0.3">
      <c r="A70" t="str">
        <f t="shared" si="38"/>
        <v>31 Science, engineering and technology associate professionals</v>
      </c>
      <c r="B70" s="49">
        <f t="shared" si="39"/>
        <v>1.4040679544263135</v>
      </c>
      <c r="C70" s="44">
        <f t="shared" si="39"/>
        <v>7.8496821858051735</v>
      </c>
      <c r="D70" s="49">
        <f t="shared" si="39"/>
        <v>-1.6546214430430584</v>
      </c>
      <c r="E70" s="49">
        <f t="shared" si="39"/>
        <v>0.50457032122892542</v>
      </c>
      <c r="F70" s="44">
        <f t="shared" si="40"/>
        <v>-0.22037679293600565</v>
      </c>
      <c r="H70" s="40">
        <f t="shared" ref="H70:L74" si="41">(B18/B$17)*100</f>
        <v>13.61124114020611</v>
      </c>
      <c r="I70" s="40">
        <f t="shared" si="41"/>
        <v>13.757349251719619</v>
      </c>
      <c r="J70" s="40">
        <f t="shared" si="41"/>
        <v>14.32510815733829</v>
      </c>
      <c r="K70" s="40">
        <f t="shared" si="41"/>
        <v>12.30008047314743</v>
      </c>
      <c r="L70" s="40">
        <f t="shared" si="41"/>
        <v>11.786215348807136</v>
      </c>
    </row>
    <row r="71" spans="1:12" ht="13" x14ac:dyDescent="0.3">
      <c r="A71" t="str">
        <f t="shared" si="38"/>
        <v>32 Health and social care associate professionals</v>
      </c>
      <c r="B71" s="49">
        <f t="shared" si="39"/>
        <v>4.9454369661249942</v>
      </c>
      <c r="C71" s="44">
        <f t="shared" si="39"/>
        <v>0.41211142353445585</v>
      </c>
      <c r="D71" s="49">
        <f t="shared" si="39"/>
        <v>9.9521623238132193</v>
      </c>
      <c r="E71" s="49">
        <f t="shared" si="39"/>
        <v>1.7627013040600659</v>
      </c>
      <c r="F71" s="44">
        <f t="shared" si="40"/>
        <v>4.422401319894731</v>
      </c>
      <c r="H71" s="40">
        <f t="shared" si="41"/>
        <v>16.093551658302687</v>
      </c>
      <c r="I71" s="40">
        <f t="shared" si="41"/>
        <v>18.660430686067894</v>
      </c>
      <c r="J71" s="40">
        <f t="shared" si="41"/>
        <v>18.090561207519269</v>
      </c>
      <c r="K71" s="40">
        <f t="shared" si="41"/>
        <v>27.133834655168997</v>
      </c>
      <c r="L71" s="40">
        <f t="shared" si="41"/>
        <v>29.444606166804039</v>
      </c>
    </row>
    <row r="72" spans="1:12" ht="13" x14ac:dyDescent="0.3">
      <c r="A72" t="str">
        <f t="shared" si="38"/>
        <v>33 Protective service occupations</v>
      </c>
      <c r="B72" s="49">
        <f t="shared" si="39"/>
        <v>-9.8102447829739869E-2</v>
      </c>
      <c r="C72" s="44">
        <f t="shared" si="39"/>
        <v>5.8801117407166981</v>
      </c>
      <c r="D72" s="49">
        <f t="shared" si="39"/>
        <v>-2.8414754351979266</v>
      </c>
      <c r="E72" s="49">
        <f t="shared" si="39"/>
        <v>0.93036786339304456</v>
      </c>
      <c r="F72" s="44">
        <f t="shared" si="40"/>
        <v>-0.34290857454674084</v>
      </c>
      <c r="H72" s="40">
        <f t="shared" si="41"/>
        <v>7.918457746322642</v>
      </c>
      <c r="I72" s="40">
        <f t="shared" si="41"/>
        <v>7.5396481120216947</v>
      </c>
      <c r="J72" s="40">
        <f t="shared" si="41"/>
        <v>7.7074327741047099</v>
      </c>
      <c r="K72" s="40">
        <f t="shared" si="41"/>
        <v>6.2280854414094575</v>
      </c>
      <c r="L72" s="40">
        <f t="shared" si="41"/>
        <v>6.2256031085643118</v>
      </c>
    </row>
    <row r="73" spans="1:12" ht="13" x14ac:dyDescent="0.3">
      <c r="A73" t="str">
        <f t="shared" si="38"/>
        <v>34 Culture, media and sports occupations</v>
      </c>
      <c r="B73" s="49">
        <f t="shared" si="39"/>
        <v>-0.18747154936609167</v>
      </c>
      <c r="C73" s="44">
        <f t="shared" si="39"/>
        <v>3.0103116288981768</v>
      </c>
      <c r="D73" s="49">
        <f t="shared" si="39"/>
        <v>-2.9551296495780921</v>
      </c>
      <c r="E73" s="49">
        <f t="shared" si="39"/>
        <v>0.89609841967528414</v>
      </c>
      <c r="F73" s="44">
        <f t="shared" si="40"/>
        <v>-0.40433329111217997</v>
      </c>
      <c r="H73" s="40">
        <f t="shared" si="41"/>
        <v>13.410561470258411</v>
      </c>
      <c r="I73" s="40">
        <f t="shared" si="41"/>
        <v>12.723386332786962</v>
      </c>
      <c r="J73" s="40">
        <f t="shared" si="41"/>
        <v>12.65399599450209</v>
      </c>
      <c r="K73" s="40">
        <f t="shared" si="41"/>
        <v>10.165549857135101</v>
      </c>
      <c r="L73" s="40">
        <f t="shared" si="41"/>
        <v>10.127048939712754</v>
      </c>
    </row>
    <row r="74" spans="1:12" ht="13" x14ac:dyDescent="0.3">
      <c r="A74" t="str">
        <f t="shared" si="38"/>
        <v>35 Business and public service associate professionals</v>
      </c>
      <c r="B74" s="49">
        <f t="shared" si="39"/>
        <v>0.27238861763787536</v>
      </c>
      <c r="C74" s="44">
        <f t="shared" si="39"/>
        <v>3.364434303052688</v>
      </c>
      <c r="D74" s="49">
        <f t="shared" si="39"/>
        <v>4.4152660554086509E-2</v>
      </c>
      <c r="E74" s="49">
        <f t="shared" si="39"/>
        <v>0.52579838303723481</v>
      </c>
      <c r="F74" s="44">
        <f t="shared" si="40"/>
        <v>0.36499271392635979</v>
      </c>
      <c r="H74" s="40">
        <f t="shared" si="41"/>
        <v>48.966187984910157</v>
      </c>
      <c r="I74" s="40">
        <f t="shared" si="41"/>
        <v>47.319185617403839</v>
      </c>
      <c r="J74" s="40">
        <f t="shared" si="41"/>
        <v>47.222901866535651</v>
      </c>
      <c r="K74" s="40">
        <f t="shared" si="41"/>
        <v>44.172449573139019</v>
      </c>
      <c r="L74" s="40">
        <f t="shared" si="41"/>
        <v>42.416526436111774</v>
      </c>
    </row>
    <row r="75" spans="1:12" ht="13" x14ac:dyDescent="0.3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ht="13" x14ac:dyDescent="0.3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-2.3594366184096605</v>
      </c>
      <c r="C76" s="44">
        <f t="shared" si="42"/>
        <v>3.3267194873393358</v>
      </c>
      <c r="D76" s="44">
        <f t="shared" si="42"/>
        <v>0.3601177891572549</v>
      </c>
      <c r="E76" s="44">
        <f t="shared" si="42"/>
        <v>-0.71384547920831931</v>
      </c>
      <c r="F76" s="44">
        <f>IF(AND(F$5-D$5 &lt;&gt; 0,F24 &lt;&gt; 0,D24 &lt;&gt; 0),(EXP(LN(F24/D24)/(F$5-D$5))-1)*100,0)</f>
        <v>-0.35714078831445839</v>
      </c>
      <c r="H76" s="44">
        <f>(B24/B$51)*100</f>
        <v>11.895267590496077</v>
      </c>
      <c r="I76" s="44">
        <f>(C24/C$51)*100</f>
        <v>10.719100214587177</v>
      </c>
      <c r="J76" s="44">
        <f>(D24/D$51)*100</f>
        <v>11.38232229394443</v>
      </c>
      <c r="K76" s="44">
        <f>(E24/E$51)*100</f>
        <v>11.316576715065061</v>
      </c>
      <c r="L76" s="44">
        <f>(F24/F$51)*100</f>
        <v>10.255366647766293</v>
      </c>
    </row>
    <row r="77" spans="1:12" ht="13" x14ac:dyDescent="0.3">
      <c r="A77" t="str">
        <f>A25</f>
        <v>41 Administrative occupations</v>
      </c>
      <c r="B77" s="49">
        <f t="shared" si="42"/>
        <v>-2.0858141688019138</v>
      </c>
      <c r="C77" s="44">
        <f t="shared" si="42"/>
        <v>4.5010701401460018</v>
      </c>
      <c r="D77" s="49">
        <f t="shared" si="42"/>
        <v>0.72514798014069459</v>
      </c>
      <c r="E77" s="49">
        <f t="shared" si="42"/>
        <v>-0.16771556923627085</v>
      </c>
      <c r="F77" s="44">
        <f>IF(AND(F$5-D$5 &lt;&gt; 0,F25 &lt;&gt; 0,D25 &lt;&gt; 0),(EXP(LN(F25/D25)/(F$5-D$5))-1)*100,0)</f>
        <v>0.12902272457058217</v>
      </c>
      <c r="H77" s="40">
        <f t="shared" ref="H77:L78" si="43">(B25/B$24)*100</f>
        <v>81.709465023663725</v>
      </c>
      <c r="I77" s="40">
        <f t="shared" si="43"/>
        <v>82.629234397900447</v>
      </c>
      <c r="J77" s="40">
        <f t="shared" si="43"/>
        <v>83.56834962228325</v>
      </c>
      <c r="K77" s="40">
        <f t="shared" si="43"/>
        <v>85.099220921956871</v>
      </c>
      <c r="L77" s="40">
        <f t="shared" si="43"/>
        <v>89.89773966752135</v>
      </c>
    </row>
    <row r="78" spans="1:12" ht="13" x14ac:dyDescent="0.3">
      <c r="A78" t="str">
        <f>A26</f>
        <v>42 Secretarial and related occupations</v>
      </c>
      <c r="B78" s="49">
        <f t="shared" si="42"/>
        <v>-3.6107913934231406</v>
      </c>
      <c r="C78" s="44">
        <f t="shared" si="42"/>
        <v>-2.2594301147462414</v>
      </c>
      <c r="D78" s="49">
        <f t="shared" si="42"/>
        <v>-1.5837709631233654</v>
      </c>
      <c r="E78" s="49">
        <f t="shared" si="42"/>
        <v>-4.4986197690612295</v>
      </c>
      <c r="F78" s="44">
        <f>IF(AND(F$5-D$5 &lt;&gt; 0,F26 &lt;&gt; 0,D26 &lt;&gt; 0),(EXP(LN(F26/D26)/(F$5-D$5))-1)*100,0)</f>
        <v>-3.5367242946928501</v>
      </c>
      <c r="H78" s="40">
        <f t="shared" si="43"/>
        <v>18.290534976336286</v>
      </c>
      <c r="I78" s="40">
        <f t="shared" si="43"/>
        <v>17.370765602099542</v>
      </c>
      <c r="J78" s="40">
        <f t="shared" si="43"/>
        <v>16.431650377716753</v>
      </c>
      <c r="K78" s="40">
        <f t="shared" si="43"/>
        <v>14.900779078043143</v>
      </c>
      <c r="L78" s="40">
        <f t="shared" si="43"/>
        <v>10.102260332478645</v>
      </c>
    </row>
    <row r="79" spans="1:12" ht="13" x14ac:dyDescent="0.3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ht="13" x14ac:dyDescent="0.3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0.25885294966077055</v>
      </c>
      <c r="C80" s="44">
        <f t="shared" si="44"/>
        <v>-15.666269572160873</v>
      </c>
      <c r="D80" s="44">
        <f t="shared" si="44"/>
        <v>-0.46328174189397275</v>
      </c>
      <c r="E80" s="44">
        <f t="shared" si="44"/>
        <v>-0.87022126320748239</v>
      </c>
      <c r="F80" s="44">
        <f>IF(AND(F$5-D$5 &lt;&gt; 0,F28 &lt;&gt; 0,D28 &lt;&gt; 0),(EXP(LN(F28/D28)/(F$5-D$5))-1)*100,0)</f>
        <v>-0.73475994895060293</v>
      </c>
      <c r="H80" s="44">
        <f>(B28/B$51)*100</f>
        <v>12.124868521552321</v>
      </c>
      <c r="I80" s="44">
        <f>(C28/C$51)*100</f>
        <v>12.145935567296101</v>
      </c>
      <c r="J80" s="44">
        <f>(D28/D$51)*100</f>
        <v>10.526698649933895</v>
      </c>
      <c r="K80" s="44">
        <f>(E28/E$51)*100</f>
        <v>10.043548042439408</v>
      </c>
      <c r="L80" s="44">
        <f>(F28/F$51)*100</f>
        <v>8.9593756663077997</v>
      </c>
    </row>
    <row r="81" spans="1:12" ht="13" x14ac:dyDescent="0.3">
      <c r="A81" t="str">
        <f>A29</f>
        <v>51 Skilled agricultural and related trades</v>
      </c>
      <c r="B81" s="49">
        <f t="shared" si="44"/>
        <v>-3.1768746082801003</v>
      </c>
      <c r="C81" s="44">
        <f t="shared" si="44"/>
        <v>-16.115367966831041</v>
      </c>
      <c r="D81" s="49">
        <f t="shared" si="44"/>
        <v>-9.2963988318128798E-2</v>
      </c>
      <c r="E81" s="49">
        <f t="shared" si="44"/>
        <v>1.0692981736385443</v>
      </c>
      <c r="F81" s="44">
        <f>IF(AND(F$5-D$5 &lt;&gt; 0,F29 &lt;&gt; 0,D29 &lt;&gt; 0),(EXP(LN(F29/D29)/(F$5-D$5))-1)*100,0)</f>
        <v>0.6803828236388032</v>
      </c>
      <c r="H81" s="40">
        <f t="shared" ref="H81:L84" si="45">(B29/B$28)*100</f>
        <v>7.0659148183522831</v>
      </c>
      <c r="I81" s="40">
        <f t="shared" si="45"/>
        <v>6.1460184605486985</v>
      </c>
      <c r="J81" s="40">
        <f t="shared" si="45"/>
        <v>6.1132893614060082</v>
      </c>
      <c r="K81" s="40">
        <f t="shared" si="45"/>
        <v>6.2278585072364594</v>
      </c>
      <c r="L81" s="40">
        <f t="shared" si="45"/>
        <v>7.5594442529882784</v>
      </c>
    </row>
    <row r="82" spans="1:12" ht="13" x14ac:dyDescent="0.3">
      <c r="A82" t="str">
        <f>A30</f>
        <v>52 Skilled metal, electrical and electronic trades</v>
      </c>
      <c r="B82" s="49">
        <f t="shared" si="44"/>
        <v>-0.24461951394744164</v>
      </c>
      <c r="C82" s="44">
        <f t="shared" si="44"/>
        <v>-18.017486150227302</v>
      </c>
      <c r="D82" s="49">
        <f t="shared" si="44"/>
        <v>-0.5331607328017407</v>
      </c>
      <c r="E82" s="49">
        <f t="shared" si="44"/>
        <v>-0.81744418681882758</v>
      </c>
      <c r="F82" s="44">
        <f>IF(AND(F$5-D$5 &lt;&gt; 0,F30 &lt;&gt; 0,D30 &lt;&gt; 0),(EXP(LN(F30/D30)/(F$5-D$5))-1)*100,0)</f>
        <v>-0.72277342843283243</v>
      </c>
      <c r="H82" s="40">
        <f t="shared" si="45"/>
        <v>46.693755101531934</v>
      </c>
      <c r="I82" s="40">
        <f t="shared" si="45"/>
        <v>45.762863612015401</v>
      </c>
      <c r="J82" s="40">
        <f t="shared" si="45"/>
        <v>44.486999221355831</v>
      </c>
      <c r="K82" s="40">
        <f t="shared" si="45"/>
        <v>44.331059541791404</v>
      </c>
      <c r="L82" s="40">
        <f t="shared" si="45"/>
        <v>44.567646076967335</v>
      </c>
    </row>
    <row r="83" spans="1:12" ht="13" x14ac:dyDescent="0.3">
      <c r="A83" t="str">
        <f>A31</f>
        <v>53 Skilled construction and building trades</v>
      </c>
      <c r="B83" s="49">
        <f t="shared" si="44"/>
        <v>3.3897609176739563</v>
      </c>
      <c r="C83" s="44">
        <f t="shared" si="44"/>
        <v>-18.11698135541614</v>
      </c>
      <c r="D83" s="49">
        <f t="shared" si="44"/>
        <v>-0.76746755060049798</v>
      </c>
      <c r="E83" s="49">
        <f t="shared" si="44"/>
        <v>-1.5363216021304082</v>
      </c>
      <c r="F83" s="44">
        <f>IF(AND(F$5-D$5 &lt;&gt; 0,F31 &lt;&gt; 0,D31 &lt;&gt; 0),(EXP(LN(F31/D31)/(F$5-D$5))-1)*100,0)</f>
        <v>-1.2807011061727547</v>
      </c>
      <c r="H83" s="40">
        <f t="shared" si="45"/>
        <v>30.466587547034635</v>
      </c>
      <c r="I83" s="40">
        <f t="shared" si="45"/>
        <v>34.454266690374233</v>
      </c>
      <c r="J83" s="40">
        <f t="shared" si="45"/>
        <v>33.453036495372132</v>
      </c>
      <c r="K83" s="40">
        <f t="shared" si="45"/>
        <v>32.94498613706584</v>
      </c>
      <c r="L83" s="40">
        <f t="shared" si="45"/>
        <v>30.79700771361642</v>
      </c>
    </row>
    <row r="84" spans="1:12" ht="13" x14ac:dyDescent="0.3">
      <c r="A84" t="str">
        <f>A32</f>
        <v>54 Textiles, printing and other skilled trades</v>
      </c>
      <c r="B84" s="49">
        <f t="shared" si="44"/>
        <v>-3.3242454604982097</v>
      </c>
      <c r="C84" s="44">
        <f t="shared" si="44"/>
        <v>-1.3817368318814527</v>
      </c>
      <c r="D84" s="49">
        <f t="shared" si="44"/>
        <v>0.21333696076419884</v>
      </c>
      <c r="E84" s="49">
        <f t="shared" si="44"/>
        <v>-0.52719033089673184</v>
      </c>
      <c r="F84" s="44">
        <f>IF(AND(F$5-D$5 &lt;&gt; 0,F32 &lt;&gt; 0,D32 &lt;&gt; 0),(EXP(LN(F32/D32)/(F$5-D$5))-1)*100,0)</f>
        <v>-0.28095792058610014</v>
      </c>
      <c r="H84" s="40">
        <f t="shared" si="45"/>
        <v>15.773742533081144</v>
      </c>
      <c r="I84" s="40">
        <f t="shared" si="45"/>
        <v>13.636851237061679</v>
      </c>
      <c r="J84" s="40">
        <f t="shared" si="45"/>
        <v>15.946674921866022</v>
      </c>
      <c r="K84" s="40">
        <f t="shared" si="45"/>
        <v>16.496095813906305</v>
      </c>
      <c r="L84" s="40">
        <f t="shared" si="45"/>
        <v>17.075901956427959</v>
      </c>
    </row>
    <row r="85" spans="1:12" ht="13" x14ac:dyDescent="0.3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ht="13" x14ac:dyDescent="0.3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0.48162865360097395</v>
      </c>
      <c r="C86" s="44">
        <f t="shared" si="46"/>
        <v>-4.1194100247277321</v>
      </c>
      <c r="D86" s="44">
        <f t="shared" si="46"/>
        <v>0.38598983071498338</v>
      </c>
      <c r="E86" s="44">
        <f t="shared" si="46"/>
        <v>0.69782059897185444</v>
      </c>
      <c r="F86" s="44">
        <f>IF(AND(F$5-D$5 &lt;&gt; 0,F34 &lt;&gt; 0,D34 &lt;&gt; 0),(EXP(LN(F34/D34)/(F$5-D$5))-1)*100,0)</f>
        <v>0.5937695306053703</v>
      </c>
      <c r="H86" s="44">
        <f>(B34/B$51)*100</f>
        <v>9.9845701671974023</v>
      </c>
      <c r="I86" s="44">
        <f>(C34/C$51)*100</f>
        <v>10.0911124272574</v>
      </c>
      <c r="J86" s="44">
        <f>(D34/D$51)*100</f>
        <v>9.9432795290016358</v>
      </c>
      <c r="K86" s="44">
        <f>(E34/E$51)*100</f>
        <v>9.8985950582185183</v>
      </c>
      <c r="L86" s="44">
        <f>(F34/F$51)*100</f>
        <v>10.330551042017369</v>
      </c>
    </row>
    <row r="87" spans="1:12" ht="13" x14ac:dyDescent="0.3">
      <c r="A87" t="str">
        <f>A35</f>
        <v>61 Caring personal service occupations</v>
      </c>
      <c r="B87" s="49">
        <f t="shared" si="46"/>
        <v>1.5911233789775325</v>
      </c>
      <c r="C87" s="44">
        <f t="shared" si="46"/>
        <v>-3.2946756072271932</v>
      </c>
      <c r="D87" s="49">
        <f t="shared" si="46"/>
        <v>0.87416262505255471</v>
      </c>
      <c r="E87" s="49">
        <f t="shared" si="46"/>
        <v>0.84840468771609778</v>
      </c>
      <c r="F87" s="44">
        <f>IF(AND(F$5-D$5 &lt;&gt; 0,F35 &lt;&gt; 0,D35 &lt;&gt; 0),(EXP(LN(F35/D35)/(F$5-D$5))-1)*100,0)</f>
        <v>0.85698993594331974</v>
      </c>
      <c r="H87" s="40">
        <f t="shared" ref="H87:L89" si="47">(B35/B$34)*100</f>
        <v>76.368079588883816</v>
      </c>
      <c r="I87" s="40">
        <f t="shared" si="47"/>
        <v>79.797311163089717</v>
      </c>
      <c r="J87" s="40">
        <f t="shared" si="47"/>
        <v>80.483702318558954</v>
      </c>
      <c r="K87" s="40">
        <f t="shared" si="47"/>
        <v>82.459772260200708</v>
      </c>
      <c r="L87" s="40">
        <f t="shared" si="47"/>
        <v>83.70121150691827</v>
      </c>
    </row>
    <row r="88" spans="1:12" ht="13" x14ac:dyDescent="0.3">
      <c r="A88" t="str">
        <f>A36</f>
        <v>62 Leisure, travel and related personal service occupations</v>
      </c>
      <c r="B88" s="49">
        <f t="shared" si="46"/>
        <v>-3.3280468770378491</v>
      </c>
      <c r="C88" s="44">
        <f t="shared" si="46"/>
        <v>-8.43974979631823</v>
      </c>
      <c r="D88" s="49">
        <f t="shared" si="46"/>
        <v>-1.5748271236748157</v>
      </c>
      <c r="E88" s="49">
        <f t="shared" si="46"/>
        <v>-8.0715107663675845E-2</v>
      </c>
      <c r="F88" s="44">
        <f>IF(AND(F$5-D$5 &lt;&gt; 0,F36 &lt;&gt; 0,D36 &lt;&gt; 0),(EXP(LN(F36/D36)/(F$5-D$5))-1)*100,0)</f>
        <v>-0.58125569202476246</v>
      </c>
      <c r="H88" s="40">
        <f t="shared" si="47"/>
        <v>22.74704161878163</v>
      </c>
      <c r="I88" s="40">
        <f t="shared" si="47"/>
        <v>19.488581580730084</v>
      </c>
      <c r="J88" s="40">
        <f t="shared" si="47"/>
        <v>18.610434146334565</v>
      </c>
      <c r="K88" s="40">
        <f t="shared" si="47"/>
        <v>16.862497871515746</v>
      </c>
      <c r="L88" s="40">
        <f t="shared" si="47"/>
        <v>15.603224871573399</v>
      </c>
    </row>
    <row r="89" spans="1:12" ht="13" x14ac:dyDescent="0.3">
      <c r="A89" t="str">
        <f>A37</f>
        <v>63 Community and civil enforcement occupations</v>
      </c>
      <c r="B89" s="49">
        <f t="shared" si="46"/>
        <v>-4.7628083290662921</v>
      </c>
      <c r="C89" s="44">
        <f t="shared" si="46"/>
        <v>21.627009712358291</v>
      </c>
      <c r="D89" s="49">
        <f t="shared" si="46"/>
        <v>-5.2734162135968372</v>
      </c>
      <c r="E89" s="49">
        <f t="shared" si="46"/>
        <v>0.95971005104840135</v>
      </c>
      <c r="F89" s="44">
        <f>IF(AND(F$5-D$5 &lt;&gt; 0,F37 &lt;&gt; 0,D37 &lt;&gt; 0),(EXP(LN(F37/D37)/(F$5-D$5))-1)*100,0)</f>
        <v>-1.1622869012287262</v>
      </c>
      <c r="H89" s="40">
        <f t="shared" si="47"/>
        <v>0.88487879233455269</v>
      </c>
      <c r="I89" s="40">
        <f t="shared" si="47"/>
        <v>0.71410725618020154</v>
      </c>
      <c r="J89" s="40">
        <f t="shared" si="47"/>
        <v>0.90586353510647821</v>
      </c>
      <c r="K89" s="40">
        <f t="shared" si="47"/>
        <v>0.67772986828353932</v>
      </c>
      <c r="L89" s="40">
        <f t="shared" si="47"/>
        <v>0.69556362150832707</v>
      </c>
    </row>
    <row r="90" spans="1:12" ht="13" x14ac:dyDescent="0.3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ht="13" x14ac:dyDescent="0.3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-2.2251102304149506</v>
      </c>
      <c r="C91" s="44">
        <f t="shared" si="48"/>
        <v>-0.61759726767566248</v>
      </c>
      <c r="D91" s="44">
        <f t="shared" si="48"/>
        <v>1.6609776204212778E-2</v>
      </c>
      <c r="E91" s="44">
        <f t="shared" si="48"/>
        <v>-7.4254991029398809E-2</v>
      </c>
      <c r="F91" s="44">
        <f t="shared" ref="F91:F93" si="49">IF(AND(F$5-D$5 &lt;&gt; 0,F39 &lt;&gt; 0,D39 &lt;&gt; 0),(EXP(LN(F39/D39)/(F$5-D$5))-1)*100,0)</f>
        <v>-4.3975911251237232E-2</v>
      </c>
      <c r="H91" s="44">
        <f>(B39/B$51)*100</f>
        <v>8.5671966726316882</v>
      </c>
      <c r="I91" s="44">
        <f>(C39/C$51)*100</f>
        <v>7.7626693085705707</v>
      </c>
      <c r="J91" s="44">
        <f>(D39/D$51)*100</f>
        <v>7.9283074645790057</v>
      </c>
      <c r="K91" s="44">
        <f>(E39/E$51)*100</f>
        <v>7.7485334498117693</v>
      </c>
      <c r="L91" s="44">
        <f>(F39/F$51)*100</f>
        <v>7.4876007395524455</v>
      </c>
    </row>
    <row r="92" spans="1:12" s="30" customFormat="1" ht="13" x14ac:dyDescent="0.3">
      <c r="A92" t="str">
        <f>A40</f>
        <v>71 Sales occupations</v>
      </c>
      <c r="B92" s="49">
        <f t="shared" si="48"/>
        <v>-2.651182269893948</v>
      </c>
      <c r="C92" s="44">
        <f t="shared" si="48"/>
        <v>-1.578970408577518</v>
      </c>
      <c r="D92" s="49">
        <f t="shared" si="48"/>
        <v>-0.69526966492304831</v>
      </c>
      <c r="E92" s="49">
        <f t="shared" si="48"/>
        <v>-0.49005777806445661</v>
      </c>
      <c r="F92" s="44">
        <f t="shared" si="49"/>
        <v>-0.55850881574924793</v>
      </c>
      <c r="G92"/>
      <c r="H92" s="40">
        <f>(B40/B$34)*100</f>
        <v>67.799179043710936</v>
      </c>
      <c r="I92" s="40">
        <f t="shared" ref="H92:L93" si="50">(C40/C$34)*100</f>
        <v>59.731098038661926</v>
      </c>
      <c r="J92" s="40">
        <f t="shared" si="50"/>
        <v>61.313725427716413</v>
      </c>
      <c r="K92" s="40">
        <f t="shared" si="50"/>
        <v>58.082039620369173</v>
      </c>
      <c r="L92" s="40">
        <f t="shared" si="50"/>
        <v>51.582915750899303</v>
      </c>
    </row>
    <row r="93" spans="1:12" s="30" customFormat="1" ht="13" x14ac:dyDescent="0.3">
      <c r="A93" t="str">
        <f>A41</f>
        <v>72 Customer service occupations</v>
      </c>
      <c r="B93" s="49">
        <f t="shared" si="48"/>
        <v>-0.66873433519801795</v>
      </c>
      <c r="C93" s="44">
        <f t="shared" si="48"/>
        <v>2.7220280449508527</v>
      </c>
      <c r="D93" s="49">
        <f t="shared" si="48"/>
        <v>2.2504702823146205</v>
      </c>
      <c r="E93" s="49">
        <f t="shared" si="48"/>
        <v>1.0415785798042476</v>
      </c>
      <c r="F93" s="44">
        <f t="shared" si="49"/>
        <v>1.4429460177838527</v>
      </c>
      <c r="G93"/>
      <c r="H93" s="40">
        <f t="shared" si="50"/>
        <v>18.005182377652478</v>
      </c>
      <c r="I93" s="40">
        <f t="shared" si="50"/>
        <v>17.194705380221777</v>
      </c>
      <c r="J93" s="40">
        <f t="shared" si="50"/>
        <v>18.42161180638681</v>
      </c>
      <c r="K93" s="40">
        <f t="shared" si="50"/>
        <v>20.197083873811813</v>
      </c>
      <c r="L93" s="40">
        <f t="shared" si="50"/>
        <v>20.897252142354269</v>
      </c>
    </row>
    <row r="94" spans="1:12" ht="13" x14ac:dyDescent="0.3">
      <c r="C94" s="44"/>
      <c r="F94" s="44"/>
    </row>
    <row r="95" spans="1:12" s="30" customFormat="1" ht="13" x14ac:dyDescent="0.3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-0.30271188587898124</v>
      </c>
      <c r="C95" s="44">
        <f t="shared" si="51"/>
        <v>-13.342849743023999</v>
      </c>
      <c r="D95" s="44">
        <f t="shared" si="51"/>
        <v>0.66984900938593661</v>
      </c>
      <c r="E95" s="44">
        <f t="shared" si="51"/>
        <v>-0.37249668122506518</v>
      </c>
      <c r="F95" s="44">
        <f>IF(AND(F$5-D$5 &lt;&gt; 0,F43 &lt;&gt; 0,D43 &lt;&gt; 0),(EXP(LN(F43/D43)/(F$5-D$5))-1)*100,0)</f>
        <v>-2.6252842027107981E-2</v>
      </c>
      <c r="H95" s="44">
        <f>(B43/B$51)*100</f>
        <v>9.3244120522857958</v>
      </c>
      <c r="I95" s="44">
        <f>(C43/C$51)*100</f>
        <v>9.1330922900737441</v>
      </c>
      <c r="J95" s="44">
        <f>(D43/D$51)*100</f>
        <v>8.1335877310080456</v>
      </c>
      <c r="K95" s="44">
        <f>(E43/E$51)*100</f>
        <v>8.2121641743469684</v>
      </c>
      <c r="L95" s="44">
        <f>(F43/F$51)*100</f>
        <v>7.701925442692974</v>
      </c>
    </row>
    <row r="96" spans="1:12" ht="13" x14ac:dyDescent="0.3">
      <c r="A96" t="str">
        <f>A44</f>
        <v>81 Process, plant and machine operatives</v>
      </c>
      <c r="B96" s="49">
        <f t="shared" si="51"/>
        <v>-1.4209112760451226</v>
      </c>
      <c r="C96" s="44">
        <f t="shared" si="51"/>
        <v>-15.430500051384378</v>
      </c>
      <c r="D96" s="49">
        <f t="shared" si="51"/>
        <v>0.64988472179161594</v>
      </c>
      <c r="E96" s="49">
        <f t="shared" si="51"/>
        <v>-0.80466339991328573</v>
      </c>
      <c r="F96" s="44">
        <f>IF(AND(F$5-D$5 &lt;&gt; 0,F44 &lt;&gt; 0,D44 &lt;&gt; 0),(EXP(LN(F44/D44)/(F$5-D$5))-1)*100,0)</f>
        <v>-0.32216476551590878</v>
      </c>
      <c r="H96" s="40">
        <f>(B44/B$43)*100</f>
        <v>48.827626085157839</v>
      </c>
      <c r="I96" s="40">
        <f t="shared" ref="H96:L97" si="52">(C44/C$43)*100</f>
        <v>46.673613578909517</v>
      </c>
      <c r="J96" s="40">
        <f t="shared" si="52"/>
        <v>45.549203377427503</v>
      </c>
      <c r="K96" s="40">
        <f t="shared" si="52"/>
        <v>45.504055957473696</v>
      </c>
      <c r="L96" s="40">
        <f t="shared" si="52"/>
        <v>43.56825778970331</v>
      </c>
    </row>
    <row r="97" spans="1:12" ht="13" x14ac:dyDescent="0.3">
      <c r="A97" t="str">
        <f>A45</f>
        <v>82 Transport and mobile machine drivers and operatives</v>
      </c>
      <c r="B97" s="49">
        <f t="shared" si="51"/>
        <v>0.73026879235229547</v>
      </c>
      <c r="C97" s="44">
        <f t="shared" si="51"/>
        <v>-11.515645795415653</v>
      </c>
      <c r="D97" s="49">
        <f t="shared" si="51"/>
        <v>0.68653738717692203</v>
      </c>
      <c r="E97" s="49">
        <f t="shared" si="51"/>
        <v>-2.4133988329189116E-2</v>
      </c>
      <c r="F97" s="44">
        <f>IF(AND(F$5-D$5 &lt;&gt; 0,F45 &lt;&gt; 0,D45 &lt;&gt; 0),(EXP(LN(F45/D45)/(F$5-D$5))-1)*100,0)</f>
        <v>0.2121973700340174</v>
      </c>
      <c r="H97" s="40">
        <f t="shared" si="52"/>
        <v>51.172373914842161</v>
      </c>
      <c r="I97" s="40">
        <f t="shared" si="52"/>
        <v>53.32638642109049</v>
      </c>
      <c r="J97" s="40">
        <f t="shared" si="52"/>
        <v>54.450796622572504</v>
      </c>
      <c r="K97" s="40">
        <f t="shared" si="52"/>
        <v>54.49594404252629</v>
      </c>
      <c r="L97" s="40">
        <f t="shared" si="52"/>
        <v>56.43174221029669</v>
      </c>
    </row>
    <row r="98" spans="1:12" ht="13" x14ac:dyDescent="0.3">
      <c r="C98" s="44"/>
      <c r="F98" s="44"/>
    </row>
    <row r="99" spans="1:12" s="30" customFormat="1" ht="13" x14ac:dyDescent="0.3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-2.4408874684440196</v>
      </c>
      <c r="C99" s="44">
        <f t="shared" si="53"/>
        <v>-10.295011585911062</v>
      </c>
      <c r="D99" s="44">
        <f t="shared" si="53"/>
        <v>0.82781187940927925</v>
      </c>
      <c r="E99" s="44">
        <f t="shared" si="53"/>
        <v>-0.4780116429422443</v>
      </c>
      <c r="F99" s="44">
        <f>IF(AND(F$5-D$5 &lt;&gt; 0,F47 &lt;&gt; 0,D47 &lt;&gt; 0),(EXP(LN(F47/D47)/(F$5-D$5))-1)*100,0)</f>
        <v>-4.462711763347782E-2</v>
      </c>
      <c r="H99" s="44">
        <f>(B47/B$51)*100</f>
        <v>11.266657366268603</v>
      </c>
      <c r="I99" s="44">
        <f>(C47/C$51)*100</f>
        <v>10.118810428679199</v>
      </c>
      <c r="J99" s="44">
        <f>(D47/D$51)*100</f>
        <v>9.3283742250192176</v>
      </c>
      <c r="K99" s="44">
        <f>(E47/E$51)*100</f>
        <v>9.4926190799642018</v>
      </c>
      <c r="L99" s="44">
        <f>(F47/F$51)*100</f>
        <v>8.8089818201452363</v>
      </c>
    </row>
    <row r="100" spans="1:12" ht="13" x14ac:dyDescent="0.3">
      <c r="A100" t="str">
        <f>A48</f>
        <v>91 Elementary trades and related occupations</v>
      </c>
      <c r="B100" s="49">
        <f t="shared" si="53"/>
        <v>-3.8155053733908484</v>
      </c>
      <c r="C100" s="44">
        <f t="shared" si="53"/>
        <v>-12.552287827128673</v>
      </c>
      <c r="D100" s="49">
        <f t="shared" si="53"/>
        <v>11.789413787200198</v>
      </c>
      <c r="E100" s="49">
        <f t="shared" si="53"/>
        <v>0.9486200430991909</v>
      </c>
      <c r="F100" s="44">
        <f>IF(AND(F$5-D$5 &lt;&gt; 0,F48 &lt;&gt; 0,D48 &lt;&gt; 0),(EXP(LN(F48/D48)/(F$5-D$5))-1)*100,0)</f>
        <v>4.4400691329606889</v>
      </c>
      <c r="H100" s="40">
        <f t="shared" ref="H100:L101" si="54">(B48/B$47)*100</f>
        <v>20.167584306123715</v>
      </c>
      <c r="I100" s="40">
        <f t="shared" si="54"/>
        <v>19.054729455011028</v>
      </c>
      <c r="J100" s="40">
        <f t="shared" si="54"/>
        <v>18.575249006464752</v>
      </c>
      <c r="K100" s="40">
        <f t="shared" si="54"/>
        <v>31.119766234259714</v>
      </c>
      <c r="L100" s="40">
        <f t="shared" si="54"/>
        <v>35.879778165114182</v>
      </c>
    </row>
    <row r="101" spans="1:12" ht="13" x14ac:dyDescent="0.3">
      <c r="A101" t="str">
        <f>A49</f>
        <v>92 Elementary administration and service occupations</v>
      </c>
      <c r="B101" s="49">
        <f t="shared" si="53"/>
        <v>-2.1026596902286032</v>
      </c>
      <c r="C101" s="44">
        <f t="shared" si="53"/>
        <v>-9.7636428253641494</v>
      </c>
      <c r="D101" s="49">
        <f t="shared" si="53"/>
        <v>-2.4902647967316005</v>
      </c>
      <c r="E101" s="49">
        <f t="shared" si="53"/>
        <v>-1.1881376702847057</v>
      </c>
      <c r="F101" s="44">
        <f>IF(AND(F$5-D$5 &lt;&gt; 0,F49 &lt;&gt; 0,D49 &lt;&gt; 0),(EXP(LN(F49/D49)/(F$5-D$5))-1)*100,0)</f>
        <v>-1.6241007083510617</v>
      </c>
      <c r="H101" s="40">
        <f t="shared" si="54"/>
        <v>79.832415693876285</v>
      </c>
      <c r="I101" s="40">
        <f t="shared" si="54"/>
        <v>80.945270544988972</v>
      </c>
      <c r="J101" s="40">
        <f t="shared" si="54"/>
        <v>81.424750993535255</v>
      </c>
      <c r="K101" s="40">
        <f t="shared" si="54"/>
        <v>68.880233765740272</v>
      </c>
      <c r="L101" s="40">
        <f t="shared" si="54"/>
        <v>64.120221834885811</v>
      </c>
    </row>
    <row r="102" spans="1:12" ht="13" x14ac:dyDescent="0.3">
      <c r="A102" s="13"/>
      <c r="C102" s="44"/>
      <c r="F102" s="44"/>
    </row>
    <row r="103" spans="1:12" ht="13" x14ac:dyDescent="0.3">
      <c r="A103" s="39" t="str">
        <f t="shared" ref="A103" si="55">A51</f>
        <v>All occupations</v>
      </c>
      <c r="B103" s="50">
        <f>IF(AND(C$5-B$5 &lt;&gt; 0,C51 &lt;&gt; 0,B51 &lt;&gt; 0),(EXP(LN(C51/B51)/(C$5-B$5))-1)*100,0)</f>
        <v>0.21535006256827582</v>
      </c>
      <c r="C103" s="206">
        <f t="shared" ref="C103" si="56">IF(AND(D$5-C$5 &lt;&gt; 0,D51 &lt;&gt; 0,C51 &lt;&gt; 0),(EXP(LN(D51/C51)/(D$5-C$5))-1)*100,0)</f>
        <v>-2.6938938797602008</v>
      </c>
      <c r="D103" s="50">
        <f>IF(AND(E$5-D$5 &lt;&gt; 0,E51 &lt;&gt; 0,D51 &lt;&gt; 0),(EXP(LN(E51/D51)/(E$5-D$5))-1)*100,0)</f>
        <v>0.47645957720003906</v>
      </c>
      <c r="E103" s="50">
        <f>IF(AND(F$5-E$5 &lt;&gt; 0,F51 &lt;&gt; 0,E51 &lt;&gt; 0),(EXP(LN(F51/E51)/(F$5-E$5))-1)*100,0)</f>
        <v>0.26862934467042354</v>
      </c>
      <c r="F103" s="206">
        <f>IF(AND(F$5-D$5 &lt;&gt; 0,F51 &lt;&gt; 0,D51 &lt;&gt; 0),(EXP(LN(F51/D51)/(F$5-D$5))-1)*100,0)</f>
        <v>0.33785827979151417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5" x14ac:dyDescent="0.25"/>
  <cols>
    <col min="1" max="1" width="35.54296875" style="91" customWidth="1"/>
    <col min="2" max="13" width="5.7265625" style="91" customWidth="1"/>
    <col min="14" max="15" width="7.7265625" style="91" customWidth="1"/>
    <col min="16" max="16" width="5.7265625" style="91" customWidth="1"/>
    <col min="17" max="18" width="7.7265625" style="91" customWidth="1"/>
    <col min="19" max="19" width="5.7265625" style="91" customWidth="1"/>
    <col min="20" max="21" width="7.7265625" style="91" customWidth="1"/>
    <col min="22" max="254" width="9.1796875" style="91"/>
    <col min="255" max="255" width="33.1796875" style="91" bestFit="1" customWidth="1"/>
    <col min="256" max="258" width="7.1796875" style="91" customWidth="1"/>
    <col min="259" max="259" width="5" style="91" customWidth="1"/>
    <col min="260" max="262" width="7.1796875" style="91" customWidth="1"/>
    <col min="263" max="263" width="5" style="91" customWidth="1"/>
    <col min="264" max="266" width="7.1796875" style="91" customWidth="1"/>
    <col min="267" max="510" width="9.1796875" style="91"/>
    <col min="511" max="511" width="33.1796875" style="91" bestFit="1" customWidth="1"/>
    <col min="512" max="514" width="7.1796875" style="91" customWidth="1"/>
    <col min="515" max="515" width="5" style="91" customWidth="1"/>
    <col min="516" max="518" width="7.1796875" style="91" customWidth="1"/>
    <col min="519" max="519" width="5" style="91" customWidth="1"/>
    <col min="520" max="522" width="7.1796875" style="91" customWidth="1"/>
    <col min="523" max="766" width="9.1796875" style="91"/>
    <col min="767" max="767" width="33.1796875" style="91" bestFit="1" customWidth="1"/>
    <col min="768" max="770" width="7.1796875" style="91" customWidth="1"/>
    <col min="771" max="771" width="5" style="91" customWidth="1"/>
    <col min="772" max="774" width="7.1796875" style="91" customWidth="1"/>
    <col min="775" max="775" width="5" style="91" customWidth="1"/>
    <col min="776" max="778" width="7.1796875" style="91" customWidth="1"/>
    <col min="779" max="1022" width="9.1796875" style="91"/>
    <col min="1023" max="1023" width="33.1796875" style="91" bestFit="1" customWidth="1"/>
    <col min="1024" max="1026" width="7.1796875" style="91" customWidth="1"/>
    <col min="1027" max="1027" width="5" style="91" customWidth="1"/>
    <col min="1028" max="1030" width="7.1796875" style="91" customWidth="1"/>
    <col min="1031" max="1031" width="5" style="91" customWidth="1"/>
    <col min="1032" max="1034" width="7.1796875" style="91" customWidth="1"/>
    <col min="1035" max="1278" width="9.1796875" style="91"/>
    <col min="1279" max="1279" width="33.1796875" style="91" bestFit="1" customWidth="1"/>
    <col min="1280" max="1282" width="7.1796875" style="91" customWidth="1"/>
    <col min="1283" max="1283" width="5" style="91" customWidth="1"/>
    <col min="1284" max="1286" width="7.1796875" style="91" customWidth="1"/>
    <col min="1287" max="1287" width="5" style="91" customWidth="1"/>
    <col min="1288" max="1290" width="7.1796875" style="91" customWidth="1"/>
    <col min="1291" max="1534" width="9.1796875" style="91"/>
    <col min="1535" max="1535" width="33.1796875" style="91" bestFit="1" customWidth="1"/>
    <col min="1536" max="1538" width="7.1796875" style="91" customWidth="1"/>
    <col min="1539" max="1539" width="5" style="91" customWidth="1"/>
    <col min="1540" max="1542" width="7.1796875" style="91" customWidth="1"/>
    <col min="1543" max="1543" width="5" style="91" customWidth="1"/>
    <col min="1544" max="1546" width="7.1796875" style="91" customWidth="1"/>
    <col min="1547" max="1790" width="9.1796875" style="91"/>
    <col min="1791" max="1791" width="33.1796875" style="91" bestFit="1" customWidth="1"/>
    <col min="1792" max="1794" width="7.1796875" style="91" customWidth="1"/>
    <col min="1795" max="1795" width="5" style="91" customWidth="1"/>
    <col min="1796" max="1798" width="7.1796875" style="91" customWidth="1"/>
    <col min="1799" max="1799" width="5" style="91" customWidth="1"/>
    <col min="1800" max="1802" width="7.1796875" style="91" customWidth="1"/>
    <col min="1803" max="2046" width="9.1796875" style="91"/>
    <col min="2047" max="2047" width="33.1796875" style="91" bestFit="1" customWidth="1"/>
    <col min="2048" max="2050" width="7.1796875" style="91" customWidth="1"/>
    <col min="2051" max="2051" width="5" style="91" customWidth="1"/>
    <col min="2052" max="2054" width="7.1796875" style="91" customWidth="1"/>
    <col min="2055" max="2055" width="5" style="91" customWidth="1"/>
    <col min="2056" max="2058" width="7.1796875" style="91" customWidth="1"/>
    <col min="2059" max="2302" width="9.1796875" style="91"/>
    <col min="2303" max="2303" width="33.1796875" style="91" bestFit="1" customWidth="1"/>
    <col min="2304" max="2306" width="7.1796875" style="91" customWidth="1"/>
    <col min="2307" max="2307" width="5" style="91" customWidth="1"/>
    <col min="2308" max="2310" width="7.1796875" style="91" customWidth="1"/>
    <col min="2311" max="2311" width="5" style="91" customWidth="1"/>
    <col min="2312" max="2314" width="7.1796875" style="91" customWidth="1"/>
    <col min="2315" max="2558" width="9.1796875" style="91"/>
    <col min="2559" max="2559" width="33.1796875" style="91" bestFit="1" customWidth="1"/>
    <col min="2560" max="2562" width="7.1796875" style="91" customWidth="1"/>
    <col min="2563" max="2563" width="5" style="91" customWidth="1"/>
    <col min="2564" max="2566" width="7.1796875" style="91" customWidth="1"/>
    <col min="2567" max="2567" width="5" style="91" customWidth="1"/>
    <col min="2568" max="2570" width="7.1796875" style="91" customWidth="1"/>
    <col min="2571" max="2814" width="9.1796875" style="91"/>
    <col min="2815" max="2815" width="33.1796875" style="91" bestFit="1" customWidth="1"/>
    <col min="2816" max="2818" width="7.1796875" style="91" customWidth="1"/>
    <col min="2819" max="2819" width="5" style="91" customWidth="1"/>
    <col min="2820" max="2822" width="7.1796875" style="91" customWidth="1"/>
    <col min="2823" max="2823" width="5" style="91" customWidth="1"/>
    <col min="2824" max="2826" width="7.1796875" style="91" customWidth="1"/>
    <col min="2827" max="3070" width="9.1796875" style="91"/>
    <col min="3071" max="3071" width="33.1796875" style="91" bestFit="1" customWidth="1"/>
    <col min="3072" max="3074" width="7.1796875" style="91" customWidth="1"/>
    <col min="3075" max="3075" width="5" style="91" customWidth="1"/>
    <col min="3076" max="3078" width="7.1796875" style="91" customWidth="1"/>
    <col min="3079" max="3079" width="5" style="91" customWidth="1"/>
    <col min="3080" max="3082" width="7.1796875" style="91" customWidth="1"/>
    <col min="3083" max="3326" width="9.1796875" style="91"/>
    <col min="3327" max="3327" width="33.1796875" style="91" bestFit="1" customWidth="1"/>
    <col min="3328" max="3330" width="7.1796875" style="91" customWidth="1"/>
    <col min="3331" max="3331" width="5" style="91" customWidth="1"/>
    <col min="3332" max="3334" width="7.1796875" style="91" customWidth="1"/>
    <col min="3335" max="3335" width="5" style="91" customWidth="1"/>
    <col min="3336" max="3338" width="7.1796875" style="91" customWidth="1"/>
    <col min="3339" max="3582" width="9.1796875" style="91"/>
    <col min="3583" max="3583" width="33.1796875" style="91" bestFit="1" customWidth="1"/>
    <col min="3584" max="3586" width="7.1796875" style="91" customWidth="1"/>
    <col min="3587" max="3587" width="5" style="91" customWidth="1"/>
    <col min="3588" max="3590" width="7.1796875" style="91" customWidth="1"/>
    <col min="3591" max="3591" width="5" style="91" customWidth="1"/>
    <col min="3592" max="3594" width="7.1796875" style="91" customWidth="1"/>
    <col min="3595" max="3838" width="9.1796875" style="91"/>
    <col min="3839" max="3839" width="33.1796875" style="91" bestFit="1" customWidth="1"/>
    <col min="3840" max="3842" width="7.1796875" style="91" customWidth="1"/>
    <col min="3843" max="3843" width="5" style="91" customWidth="1"/>
    <col min="3844" max="3846" width="7.1796875" style="91" customWidth="1"/>
    <col min="3847" max="3847" width="5" style="91" customWidth="1"/>
    <col min="3848" max="3850" width="7.1796875" style="91" customWidth="1"/>
    <col min="3851" max="4094" width="9.1796875" style="91"/>
    <col min="4095" max="4095" width="33.1796875" style="91" bestFit="1" customWidth="1"/>
    <col min="4096" max="4098" width="7.1796875" style="91" customWidth="1"/>
    <col min="4099" max="4099" width="5" style="91" customWidth="1"/>
    <col min="4100" max="4102" width="7.1796875" style="91" customWidth="1"/>
    <col min="4103" max="4103" width="5" style="91" customWidth="1"/>
    <col min="4104" max="4106" width="7.1796875" style="91" customWidth="1"/>
    <col min="4107" max="4350" width="9.1796875" style="91"/>
    <col min="4351" max="4351" width="33.1796875" style="91" bestFit="1" customWidth="1"/>
    <col min="4352" max="4354" width="7.1796875" style="91" customWidth="1"/>
    <col min="4355" max="4355" width="5" style="91" customWidth="1"/>
    <col min="4356" max="4358" width="7.1796875" style="91" customWidth="1"/>
    <col min="4359" max="4359" width="5" style="91" customWidth="1"/>
    <col min="4360" max="4362" width="7.1796875" style="91" customWidth="1"/>
    <col min="4363" max="4606" width="9.1796875" style="91"/>
    <col min="4607" max="4607" width="33.1796875" style="91" bestFit="1" customWidth="1"/>
    <col min="4608" max="4610" width="7.1796875" style="91" customWidth="1"/>
    <col min="4611" max="4611" width="5" style="91" customWidth="1"/>
    <col min="4612" max="4614" width="7.1796875" style="91" customWidth="1"/>
    <col min="4615" max="4615" width="5" style="91" customWidth="1"/>
    <col min="4616" max="4618" width="7.1796875" style="91" customWidth="1"/>
    <col min="4619" max="4862" width="9.1796875" style="91"/>
    <col min="4863" max="4863" width="33.1796875" style="91" bestFit="1" customWidth="1"/>
    <col min="4864" max="4866" width="7.1796875" style="91" customWidth="1"/>
    <col min="4867" max="4867" width="5" style="91" customWidth="1"/>
    <col min="4868" max="4870" width="7.1796875" style="91" customWidth="1"/>
    <col min="4871" max="4871" width="5" style="91" customWidth="1"/>
    <col min="4872" max="4874" width="7.1796875" style="91" customWidth="1"/>
    <col min="4875" max="5118" width="9.1796875" style="91"/>
    <col min="5119" max="5119" width="33.1796875" style="91" bestFit="1" customWidth="1"/>
    <col min="5120" max="5122" width="7.1796875" style="91" customWidth="1"/>
    <col min="5123" max="5123" width="5" style="91" customWidth="1"/>
    <col min="5124" max="5126" width="7.1796875" style="91" customWidth="1"/>
    <col min="5127" max="5127" width="5" style="91" customWidth="1"/>
    <col min="5128" max="5130" width="7.1796875" style="91" customWidth="1"/>
    <col min="5131" max="5374" width="9.1796875" style="91"/>
    <col min="5375" max="5375" width="33.1796875" style="91" bestFit="1" customWidth="1"/>
    <col min="5376" max="5378" width="7.1796875" style="91" customWidth="1"/>
    <col min="5379" max="5379" width="5" style="91" customWidth="1"/>
    <col min="5380" max="5382" width="7.1796875" style="91" customWidth="1"/>
    <col min="5383" max="5383" width="5" style="91" customWidth="1"/>
    <col min="5384" max="5386" width="7.1796875" style="91" customWidth="1"/>
    <col min="5387" max="5630" width="9.1796875" style="91"/>
    <col min="5631" max="5631" width="33.1796875" style="91" bestFit="1" customWidth="1"/>
    <col min="5632" max="5634" width="7.1796875" style="91" customWidth="1"/>
    <col min="5635" max="5635" width="5" style="91" customWidth="1"/>
    <col min="5636" max="5638" width="7.1796875" style="91" customWidth="1"/>
    <col min="5639" max="5639" width="5" style="91" customWidth="1"/>
    <col min="5640" max="5642" width="7.1796875" style="91" customWidth="1"/>
    <col min="5643" max="5886" width="9.1796875" style="91"/>
    <col min="5887" max="5887" width="33.1796875" style="91" bestFit="1" customWidth="1"/>
    <col min="5888" max="5890" width="7.1796875" style="91" customWidth="1"/>
    <col min="5891" max="5891" width="5" style="91" customWidth="1"/>
    <col min="5892" max="5894" width="7.1796875" style="91" customWidth="1"/>
    <col min="5895" max="5895" width="5" style="91" customWidth="1"/>
    <col min="5896" max="5898" width="7.1796875" style="91" customWidth="1"/>
    <col min="5899" max="6142" width="9.1796875" style="91"/>
    <col min="6143" max="6143" width="33.1796875" style="91" bestFit="1" customWidth="1"/>
    <col min="6144" max="6146" width="7.1796875" style="91" customWidth="1"/>
    <col min="6147" max="6147" width="5" style="91" customWidth="1"/>
    <col min="6148" max="6150" width="7.1796875" style="91" customWidth="1"/>
    <col min="6151" max="6151" width="5" style="91" customWidth="1"/>
    <col min="6152" max="6154" width="7.1796875" style="91" customWidth="1"/>
    <col min="6155" max="6398" width="9.1796875" style="91"/>
    <col min="6399" max="6399" width="33.1796875" style="91" bestFit="1" customWidth="1"/>
    <col min="6400" max="6402" width="7.1796875" style="91" customWidth="1"/>
    <col min="6403" max="6403" width="5" style="91" customWidth="1"/>
    <col min="6404" max="6406" width="7.1796875" style="91" customWidth="1"/>
    <col min="6407" max="6407" width="5" style="91" customWidth="1"/>
    <col min="6408" max="6410" width="7.1796875" style="91" customWidth="1"/>
    <col min="6411" max="6654" width="9.1796875" style="91"/>
    <col min="6655" max="6655" width="33.1796875" style="91" bestFit="1" customWidth="1"/>
    <col min="6656" max="6658" width="7.1796875" style="91" customWidth="1"/>
    <col min="6659" max="6659" width="5" style="91" customWidth="1"/>
    <col min="6660" max="6662" width="7.1796875" style="91" customWidth="1"/>
    <col min="6663" max="6663" width="5" style="91" customWidth="1"/>
    <col min="6664" max="6666" width="7.1796875" style="91" customWidth="1"/>
    <col min="6667" max="6910" width="9.1796875" style="91"/>
    <col min="6911" max="6911" width="33.1796875" style="91" bestFit="1" customWidth="1"/>
    <col min="6912" max="6914" width="7.1796875" style="91" customWidth="1"/>
    <col min="6915" max="6915" width="5" style="91" customWidth="1"/>
    <col min="6916" max="6918" width="7.1796875" style="91" customWidth="1"/>
    <col min="6919" max="6919" width="5" style="91" customWidth="1"/>
    <col min="6920" max="6922" width="7.1796875" style="91" customWidth="1"/>
    <col min="6923" max="7166" width="9.1796875" style="91"/>
    <col min="7167" max="7167" width="33.1796875" style="91" bestFit="1" customWidth="1"/>
    <col min="7168" max="7170" width="7.1796875" style="91" customWidth="1"/>
    <col min="7171" max="7171" width="5" style="91" customWidth="1"/>
    <col min="7172" max="7174" width="7.1796875" style="91" customWidth="1"/>
    <col min="7175" max="7175" width="5" style="91" customWidth="1"/>
    <col min="7176" max="7178" width="7.1796875" style="91" customWidth="1"/>
    <col min="7179" max="7422" width="9.1796875" style="91"/>
    <col min="7423" max="7423" width="33.1796875" style="91" bestFit="1" customWidth="1"/>
    <col min="7424" max="7426" width="7.1796875" style="91" customWidth="1"/>
    <col min="7427" max="7427" width="5" style="91" customWidth="1"/>
    <col min="7428" max="7430" width="7.1796875" style="91" customWidth="1"/>
    <col min="7431" max="7431" width="5" style="91" customWidth="1"/>
    <col min="7432" max="7434" width="7.1796875" style="91" customWidth="1"/>
    <col min="7435" max="7678" width="9.1796875" style="91"/>
    <col min="7679" max="7679" width="33.1796875" style="91" bestFit="1" customWidth="1"/>
    <col min="7680" max="7682" width="7.1796875" style="91" customWidth="1"/>
    <col min="7683" max="7683" width="5" style="91" customWidth="1"/>
    <col min="7684" max="7686" width="7.1796875" style="91" customWidth="1"/>
    <col min="7687" max="7687" width="5" style="91" customWidth="1"/>
    <col min="7688" max="7690" width="7.1796875" style="91" customWidth="1"/>
    <col min="7691" max="7934" width="9.1796875" style="91"/>
    <col min="7935" max="7935" width="33.1796875" style="91" bestFit="1" customWidth="1"/>
    <col min="7936" max="7938" width="7.1796875" style="91" customWidth="1"/>
    <col min="7939" max="7939" width="5" style="91" customWidth="1"/>
    <col min="7940" max="7942" width="7.1796875" style="91" customWidth="1"/>
    <col min="7943" max="7943" width="5" style="91" customWidth="1"/>
    <col min="7944" max="7946" width="7.1796875" style="91" customWidth="1"/>
    <col min="7947" max="8190" width="9.1796875" style="91"/>
    <col min="8191" max="8191" width="33.1796875" style="91" bestFit="1" customWidth="1"/>
    <col min="8192" max="8194" width="7.1796875" style="91" customWidth="1"/>
    <col min="8195" max="8195" width="5" style="91" customWidth="1"/>
    <col min="8196" max="8198" width="7.1796875" style="91" customWidth="1"/>
    <col min="8199" max="8199" width="5" style="91" customWidth="1"/>
    <col min="8200" max="8202" width="7.1796875" style="91" customWidth="1"/>
    <col min="8203" max="8446" width="9.1796875" style="91"/>
    <col min="8447" max="8447" width="33.1796875" style="91" bestFit="1" customWidth="1"/>
    <col min="8448" max="8450" width="7.1796875" style="91" customWidth="1"/>
    <col min="8451" max="8451" width="5" style="91" customWidth="1"/>
    <col min="8452" max="8454" width="7.1796875" style="91" customWidth="1"/>
    <col min="8455" max="8455" width="5" style="91" customWidth="1"/>
    <col min="8456" max="8458" width="7.1796875" style="91" customWidth="1"/>
    <col min="8459" max="8702" width="9.1796875" style="91"/>
    <col min="8703" max="8703" width="33.1796875" style="91" bestFit="1" customWidth="1"/>
    <col min="8704" max="8706" width="7.1796875" style="91" customWidth="1"/>
    <col min="8707" max="8707" width="5" style="91" customWidth="1"/>
    <col min="8708" max="8710" width="7.1796875" style="91" customWidth="1"/>
    <col min="8711" max="8711" width="5" style="91" customWidth="1"/>
    <col min="8712" max="8714" width="7.1796875" style="91" customWidth="1"/>
    <col min="8715" max="8958" width="9.1796875" style="91"/>
    <col min="8959" max="8959" width="33.1796875" style="91" bestFit="1" customWidth="1"/>
    <col min="8960" max="8962" width="7.1796875" style="91" customWidth="1"/>
    <col min="8963" max="8963" width="5" style="91" customWidth="1"/>
    <col min="8964" max="8966" width="7.1796875" style="91" customWidth="1"/>
    <col min="8967" max="8967" width="5" style="91" customWidth="1"/>
    <col min="8968" max="8970" width="7.1796875" style="91" customWidth="1"/>
    <col min="8971" max="9214" width="9.1796875" style="91"/>
    <col min="9215" max="9215" width="33.1796875" style="91" bestFit="1" customWidth="1"/>
    <col min="9216" max="9218" width="7.1796875" style="91" customWidth="1"/>
    <col min="9219" max="9219" width="5" style="91" customWidth="1"/>
    <col min="9220" max="9222" width="7.1796875" style="91" customWidth="1"/>
    <col min="9223" max="9223" width="5" style="91" customWidth="1"/>
    <col min="9224" max="9226" width="7.1796875" style="91" customWidth="1"/>
    <col min="9227" max="9470" width="9.1796875" style="91"/>
    <col min="9471" max="9471" width="33.1796875" style="91" bestFit="1" customWidth="1"/>
    <col min="9472" max="9474" width="7.1796875" style="91" customWidth="1"/>
    <col min="9475" max="9475" width="5" style="91" customWidth="1"/>
    <col min="9476" max="9478" width="7.1796875" style="91" customWidth="1"/>
    <col min="9479" max="9479" width="5" style="91" customWidth="1"/>
    <col min="9480" max="9482" width="7.1796875" style="91" customWidth="1"/>
    <col min="9483" max="9726" width="9.1796875" style="91"/>
    <col min="9727" max="9727" width="33.1796875" style="91" bestFit="1" customWidth="1"/>
    <col min="9728" max="9730" width="7.1796875" style="91" customWidth="1"/>
    <col min="9731" max="9731" width="5" style="91" customWidth="1"/>
    <col min="9732" max="9734" width="7.1796875" style="91" customWidth="1"/>
    <col min="9735" max="9735" width="5" style="91" customWidth="1"/>
    <col min="9736" max="9738" width="7.1796875" style="91" customWidth="1"/>
    <col min="9739" max="9982" width="9.1796875" style="91"/>
    <col min="9983" max="9983" width="33.1796875" style="91" bestFit="1" customWidth="1"/>
    <col min="9984" max="9986" width="7.1796875" style="91" customWidth="1"/>
    <col min="9987" max="9987" width="5" style="91" customWidth="1"/>
    <col min="9988" max="9990" width="7.1796875" style="91" customWidth="1"/>
    <col min="9991" max="9991" width="5" style="91" customWidth="1"/>
    <col min="9992" max="9994" width="7.1796875" style="91" customWidth="1"/>
    <col min="9995" max="10238" width="9.1796875" style="91"/>
    <col min="10239" max="10239" width="33.1796875" style="91" bestFit="1" customWidth="1"/>
    <col min="10240" max="10242" width="7.1796875" style="91" customWidth="1"/>
    <col min="10243" max="10243" width="5" style="91" customWidth="1"/>
    <col min="10244" max="10246" width="7.1796875" style="91" customWidth="1"/>
    <col min="10247" max="10247" width="5" style="91" customWidth="1"/>
    <col min="10248" max="10250" width="7.1796875" style="91" customWidth="1"/>
    <col min="10251" max="10494" width="9.1796875" style="91"/>
    <col min="10495" max="10495" width="33.1796875" style="91" bestFit="1" customWidth="1"/>
    <col min="10496" max="10498" width="7.1796875" style="91" customWidth="1"/>
    <col min="10499" max="10499" width="5" style="91" customWidth="1"/>
    <col min="10500" max="10502" width="7.1796875" style="91" customWidth="1"/>
    <col min="10503" max="10503" width="5" style="91" customWidth="1"/>
    <col min="10504" max="10506" width="7.1796875" style="91" customWidth="1"/>
    <col min="10507" max="10750" width="9.1796875" style="91"/>
    <col min="10751" max="10751" width="33.1796875" style="91" bestFit="1" customWidth="1"/>
    <col min="10752" max="10754" width="7.1796875" style="91" customWidth="1"/>
    <col min="10755" max="10755" width="5" style="91" customWidth="1"/>
    <col min="10756" max="10758" width="7.1796875" style="91" customWidth="1"/>
    <col min="10759" max="10759" width="5" style="91" customWidth="1"/>
    <col min="10760" max="10762" width="7.1796875" style="91" customWidth="1"/>
    <col min="10763" max="11006" width="9.1796875" style="91"/>
    <col min="11007" max="11007" width="33.1796875" style="91" bestFit="1" customWidth="1"/>
    <col min="11008" max="11010" width="7.1796875" style="91" customWidth="1"/>
    <col min="11011" max="11011" width="5" style="91" customWidth="1"/>
    <col min="11012" max="11014" width="7.1796875" style="91" customWidth="1"/>
    <col min="11015" max="11015" width="5" style="91" customWidth="1"/>
    <col min="11016" max="11018" width="7.1796875" style="91" customWidth="1"/>
    <col min="11019" max="11262" width="9.1796875" style="91"/>
    <col min="11263" max="11263" width="33.1796875" style="91" bestFit="1" customWidth="1"/>
    <col min="11264" max="11266" width="7.1796875" style="91" customWidth="1"/>
    <col min="11267" max="11267" width="5" style="91" customWidth="1"/>
    <col min="11268" max="11270" width="7.1796875" style="91" customWidth="1"/>
    <col min="11271" max="11271" width="5" style="91" customWidth="1"/>
    <col min="11272" max="11274" width="7.1796875" style="91" customWidth="1"/>
    <col min="11275" max="11518" width="9.1796875" style="91"/>
    <col min="11519" max="11519" width="33.1796875" style="91" bestFit="1" customWidth="1"/>
    <col min="11520" max="11522" width="7.1796875" style="91" customWidth="1"/>
    <col min="11523" max="11523" width="5" style="91" customWidth="1"/>
    <col min="11524" max="11526" width="7.1796875" style="91" customWidth="1"/>
    <col min="11527" max="11527" width="5" style="91" customWidth="1"/>
    <col min="11528" max="11530" width="7.1796875" style="91" customWidth="1"/>
    <col min="11531" max="11774" width="9.1796875" style="91"/>
    <col min="11775" max="11775" width="33.1796875" style="91" bestFit="1" customWidth="1"/>
    <col min="11776" max="11778" width="7.1796875" style="91" customWidth="1"/>
    <col min="11779" max="11779" width="5" style="91" customWidth="1"/>
    <col min="11780" max="11782" width="7.1796875" style="91" customWidth="1"/>
    <col min="11783" max="11783" width="5" style="91" customWidth="1"/>
    <col min="11784" max="11786" width="7.1796875" style="91" customWidth="1"/>
    <col min="11787" max="12030" width="9.1796875" style="91"/>
    <col min="12031" max="12031" width="33.1796875" style="91" bestFit="1" customWidth="1"/>
    <col min="12032" max="12034" width="7.1796875" style="91" customWidth="1"/>
    <col min="12035" max="12035" width="5" style="91" customWidth="1"/>
    <col min="12036" max="12038" width="7.1796875" style="91" customWidth="1"/>
    <col min="12039" max="12039" width="5" style="91" customWidth="1"/>
    <col min="12040" max="12042" width="7.1796875" style="91" customWidth="1"/>
    <col min="12043" max="12286" width="9.1796875" style="91"/>
    <col min="12287" max="12287" width="33.1796875" style="91" bestFit="1" customWidth="1"/>
    <col min="12288" max="12290" width="7.1796875" style="91" customWidth="1"/>
    <col min="12291" max="12291" width="5" style="91" customWidth="1"/>
    <col min="12292" max="12294" width="7.1796875" style="91" customWidth="1"/>
    <col min="12295" max="12295" width="5" style="91" customWidth="1"/>
    <col min="12296" max="12298" width="7.1796875" style="91" customWidth="1"/>
    <col min="12299" max="12542" width="9.1796875" style="91"/>
    <col min="12543" max="12543" width="33.1796875" style="91" bestFit="1" customWidth="1"/>
    <col min="12544" max="12546" width="7.1796875" style="91" customWidth="1"/>
    <col min="12547" max="12547" width="5" style="91" customWidth="1"/>
    <col min="12548" max="12550" width="7.1796875" style="91" customWidth="1"/>
    <col min="12551" max="12551" width="5" style="91" customWidth="1"/>
    <col min="12552" max="12554" width="7.1796875" style="91" customWidth="1"/>
    <col min="12555" max="12798" width="9.1796875" style="91"/>
    <col min="12799" max="12799" width="33.1796875" style="91" bestFit="1" customWidth="1"/>
    <col min="12800" max="12802" width="7.1796875" style="91" customWidth="1"/>
    <col min="12803" max="12803" width="5" style="91" customWidth="1"/>
    <col min="12804" max="12806" width="7.1796875" style="91" customWidth="1"/>
    <col min="12807" max="12807" width="5" style="91" customWidth="1"/>
    <col min="12808" max="12810" width="7.1796875" style="91" customWidth="1"/>
    <col min="12811" max="13054" width="9.1796875" style="91"/>
    <col min="13055" max="13055" width="33.1796875" style="91" bestFit="1" customWidth="1"/>
    <col min="13056" max="13058" width="7.1796875" style="91" customWidth="1"/>
    <col min="13059" max="13059" width="5" style="91" customWidth="1"/>
    <col min="13060" max="13062" width="7.1796875" style="91" customWidth="1"/>
    <col min="13063" max="13063" width="5" style="91" customWidth="1"/>
    <col min="13064" max="13066" width="7.1796875" style="91" customWidth="1"/>
    <col min="13067" max="13310" width="9.1796875" style="91"/>
    <col min="13311" max="13311" width="33.1796875" style="91" bestFit="1" customWidth="1"/>
    <col min="13312" max="13314" width="7.1796875" style="91" customWidth="1"/>
    <col min="13315" max="13315" width="5" style="91" customWidth="1"/>
    <col min="13316" max="13318" width="7.1796875" style="91" customWidth="1"/>
    <col min="13319" max="13319" width="5" style="91" customWidth="1"/>
    <col min="13320" max="13322" width="7.1796875" style="91" customWidth="1"/>
    <col min="13323" max="13566" width="9.1796875" style="91"/>
    <col min="13567" max="13567" width="33.1796875" style="91" bestFit="1" customWidth="1"/>
    <col min="13568" max="13570" width="7.1796875" style="91" customWidth="1"/>
    <col min="13571" max="13571" width="5" style="91" customWidth="1"/>
    <col min="13572" max="13574" width="7.1796875" style="91" customWidth="1"/>
    <col min="13575" max="13575" width="5" style="91" customWidth="1"/>
    <col min="13576" max="13578" width="7.1796875" style="91" customWidth="1"/>
    <col min="13579" max="13822" width="9.1796875" style="91"/>
    <col min="13823" max="13823" width="33.1796875" style="91" bestFit="1" customWidth="1"/>
    <col min="13824" max="13826" width="7.1796875" style="91" customWidth="1"/>
    <col min="13827" max="13827" width="5" style="91" customWidth="1"/>
    <col min="13828" max="13830" width="7.1796875" style="91" customWidth="1"/>
    <col min="13831" max="13831" width="5" style="91" customWidth="1"/>
    <col min="13832" max="13834" width="7.1796875" style="91" customWidth="1"/>
    <col min="13835" max="14078" width="9.1796875" style="91"/>
    <col min="14079" max="14079" width="33.1796875" style="91" bestFit="1" customWidth="1"/>
    <col min="14080" max="14082" width="7.1796875" style="91" customWidth="1"/>
    <col min="14083" max="14083" width="5" style="91" customWidth="1"/>
    <col min="14084" max="14086" width="7.1796875" style="91" customWidth="1"/>
    <col min="14087" max="14087" width="5" style="91" customWidth="1"/>
    <col min="14088" max="14090" width="7.1796875" style="91" customWidth="1"/>
    <col min="14091" max="14334" width="9.1796875" style="91"/>
    <col min="14335" max="14335" width="33.1796875" style="91" bestFit="1" customWidth="1"/>
    <col min="14336" max="14338" width="7.1796875" style="91" customWidth="1"/>
    <col min="14339" max="14339" width="5" style="91" customWidth="1"/>
    <col min="14340" max="14342" width="7.1796875" style="91" customWidth="1"/>
    <col min="14343" max="14343" width="5" style="91" customWidth="1"/>
    <col min="14344" max="14346" width="7.1796875" style="91" customWidth="1"/>
    <col min="14347" max="14590" width="9.1796875" style="91"/>
    <col min="14591" max="14591" width="33.1796875" style="91" bestFit="1" customWidth="1"/>
    <col min="14592" max="14594" width="7.1796875" style="91" customWidth="1"/>
    <col min="14595" max="14595" width="5" style="91" customWidth="1"/>
    <col min="14596" max="14598" width="7.1796875" style="91" customWidth="1"/>
    <col min="14599" max="14599" width="5" style="91" customWidth="1"/>
    <col min="14600" max="14602" width="7.1796875" style="91" customWidth="1"/>
    <col min="14603" max="14846" width="9.1796875" style="91"/>
    <col min="14847" max="14847" width="33.1796875" style="91" bestFit="1" customWidth="1"/>
    <col min="14848" max="14850" width="7.1796875" style="91" customWidth="1"/>
    <col min="14851" max="14851" width="5" style="91" customWidth="1"/>
    <col min="14852" max="14854" width="7.1796875" style="91" customWidth="1"/>
    <col min="14855" max="14855" width="5" style="91" customWidth="1"/>
    <col min="14856" max="14858" width="7.1796875" style="91" customWidth="1"/>
    <col min="14859" max="15102" width="9.1796875" style="91"/>
    <col min="15103" max="15103" width="33.1796875" style="91" bestFit="1" customWidth="1"/>
    <col min="15104" max="15106" width="7.1796875" style="91" customWidth="1"/>
    <col min="15107" max="15107" width="5" style="91" customWidth="1"/>
    <col min="15108" max="15110" width="7.1796875" style="91" customWidth="1"/>
    <col min="15111" max="15111" width="5" style="91" customWidth="1"/>
    <col min="15112" max="15114" width="7.1796875" style="91" customWidth="1"/>
    <col min="15115" max="15358" width="9.1796875" style="91"/>
    <col min="15359" max="15359" width="33.1796875" style="91" bestFit="1" customWidth="1"/>
    <col min="15360" max="15362" width="7.1796875" style="91" customWidth="1"/>
    <col min="15363" max="15363" width="5" style="91" customWidth="1"/>
    <col min="15364" max="15366" width="7.1796875" style="91" customWidth="1"/>
    <col min="15367" max="15367" width="5" style="91" customWidth="1"/>
    <col min="15368" max="15370" width="7.1796875" style="91" customWidth="1"/>
    <col min="15371" max="15614" width="9.1796875" style="91"/>
    <col min="15615" max="15615" width="33.1796875" style="91" bestFit="1" customWidth="1"/>
    <col min="15616" max="15618" width="7.1796875" style="91" customWidth="1"/>
    <col min="15619" max="15619" width="5" style="91" customWidth="1"/>
    <col min="15620" max="15622" width="7.1796875" style="91" customWidth="1"/>
    <col min="15623" max="15623" width="5" style="91" customWidth="1"/>
    <col min="15624" max="15626" width="7.1796875" style="91" customWidth="1"/>
    <col min="15627" max="15870" width="9.1796875" style="91"/>
    <col min="15871" max="15871" width="33.1796875" style="91" bestFit="1" customWidth="1"/>
    <col min="15872" max="15874" width="7.1796875" style="91" customWidth="1"/>
    <col min="15875" max="15875" width="5" style="91" customWidth="1"/>
    <col min="15876" max="15878" width="7.1796875" style="91" customWidth="1"/>
    <col min="15879" max="15879" width="5" style="91" customWidth="1"/>
    <col min="15880" max="15882" width="7.1796875" style="91" customWidth="1"/>
    <col min="15883" max="16126" width="9.1796875" style="91"/>
    <col min="16127" max="16127" width="33.1796875" style="91" bestFit="1" customWidth="1"/>
    <col min="16128" max="16130" width="7.1796875" style="91" customWidth="1"/>
    <col min="16131" max="16131" width="5" style="91" customWidth="1"/>
    <col min="16132" max="16134" width="7.1796875" style="91" customWidth="1"/>
    <col min="16135" max="16135" width="5" style="91" customWidth="1"/>
    <col min="16136" max="16138" width="7.1796875" style="91" customWidth="1"/>
    <col min="16139" max="16384" width="9.1796875" style="91"/>
  </cols>
  <sheetData>
    <row r="1" spans="1:21" ht="15.5" x14ac:dyDescent="0.35">
      <c r="A1" s="19" t="str">
        <f>CONCATENATE("Occupation Table 4  Occuptation composition (SOC2020) by gender, ",B$6,"-",J$6,", ",Info!B5)</f>
        <v>Occupation Table 4  Occuptation composition (SOC2020) by gender, 2015-2035, Black Country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ht="13" x14ac:dyDescent="0.3">
      <c r="A2" s="182" t="s">
        <v>522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ht="13" x14ac:dyDescent="0.3">
      <c r="B3" s="122"/>
      <c r="D3" s="122"/>
      <c r="F3" s="122"/>
      <c r="H3" s="122"/>
      <c r="J3" s="122"/>
      <c r="K3" s="236"/>
      <c r="L3" s="248"/>
      <c r="M3" s="236"/>
    </row>
    <row r="4" spans="1:21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3">
      <c r="A6" s="241" t="s">
        <v>0</v>
      </c>
      <c r="B6" s="376">
        <v>2015</v>
      </c>
      <c r="C6" s="377"/>
      <c r="D6" s="377"/>
      <c r="E6" s="325"/>
      <c r="F6" s="376">
        <v>2020</v>
      </c>
      <c r="G6" s="377"/>
      <c r="H6" s="377"/>
      <c r="I6" s="325"/>
      <c r="J6" s="376">
        <v>2035</v>
      </c>
      <c r="K6" s="377"/>
      <c r="L6" s="377"/>
      <c r="M6" s="324"/>
      <c r="N6" s="377" t="s">
        <v>105</v>
      </c>
      <c r="O6" s="377"/>
      <c r="P6" s="326"/>
      <c r="Q6" s="377" t="s">
        <v>104</v>
      </c>
      <c r="R6" s="377"/>
      <c r="S6" s="326"/>
      <c r="T6" s="377" t="s">
        <v>33</v>
      </c>
      <c r="U6" s="377"/>
    </row>
    <row r="7" spans="1:21" ht="15" customHeight="1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5">
      <c r="A9" s="329" t="str">
        <f>name!D4</f>
        <v>11 Corporate managers and directors</v>
      </c>
      <c r="B9" s="330">
        <v>8.4261277432802579</v>
      </c>
      <c r="C9" s="330">
        <v>21.454658057601161</v>
      </c>
      <c r="D9" s="330">
        <f>SUM(B9:C9)</f>
        <v>29.880785800881419</v>
      </c>
      <c r="E9" s="331"/>
      <c r="F9" s="330">
        <v>11.015297763742437</v>
      </c>
      <c r="G9" s="330">
        <v>23.54205175517588</v>
      </c>
      <c r="H9" s="330">
        <f>SUM(F9:G9)</f>
        <v>34.557349518918315</v>
      </c>
      <c r="I9" s="331"/>
      <c r="J9" s="330">
        <v>12.622071960941076</v>
      </c>
      <c r="K9" s="330">
        <v>21.302900715398657</v>
      </c>
      <c r="L9" s="330">
        <f>SUM(J9:K9)</f>
        <v>33.924972676339735</v>
      </c>
      <c r="M9" s="236"/>
      <c r="N9" s="328">
        <f>IF(B9&gt;0,(EXP(LN(F9/B9)/($F$6-$B$6))-1)*100,0)</f>
        <v>5.5051454399718702</v>
      </c>
      <c r="O9" s="328">
        <f>IF(F9&gt;0,(EXP(LN(J9/F9)/($J$6-$F$6))-1)*100,0)</f>
        <v>0.91187926170008815</v>
      </c>
      <c r="P9" s="328"/>
      <c r="Q9" s="328">
        <f>IF(C9&gt;0,(EXP(LN(G9/C9)/($F$6-$B$6))-1)*100,0)</f>
        <v>1.8742777063866845</v>
      </c>
      <c r="R9" s="328">
        <f>IF(G9&gt;0,(EXP(LN(K9/G9)/($J$6-$F$6))-1)*100,0)</f>
        <v>-0.66408521726293301</v>
      </c>
      <c r="S9" s="327"/>
      <c r="T9" s="328">
        <f>IF(D9&gt;0,(EXP(LN(H9/D9)/($F$6-$B$6))-1)*100,0)</f>
        <v>2.9507896898499641</v>
      </c>
      <c r="U9" s="328">
        <f>IF(H9&gt;0,(EXP(LN(L9/H9)/($J$6-$F$6))-1)*100,0)</f>
        <v>-0.12304988831007835</v>
      </c>
    </row>
    <row r="10" spans="1:21" x14ac:dyDescent="0.25">
      <c r="A10" s="329" t="str">
        <f>name!D5</f>
        <v>12 Other managers and proprietors</v>
      </c>
      <c r="B10" s="330">
        <v>4.9323680541309223</v>
      </c>
      <c r="C10" s="330">
        <v>7.5795667609880075</v>
      </c>
      <c r="D10" s="330">
        <f t="shared" ref="D10:D33" si="0">SUM(B10:C10)</f>
        <v>12.511934815118931</v>
      </c>
      <c r="E10" s="331"/>
      <c r="F10" s="330">
        <v>5.8568844128301869</v>
      </c>
      <c r="G10" s="330">
        <v>7.3861335606273251</v>
      </c>
      <c r="H10" s="330">
        <f t="shared" ref="H10:H33" si="1">SUM(F10:G10)</f>
        <v>13.243017973457512</v>
      </c>
      <c r="I10" s="331"/>
      <c r="J10" s="330">
        <v>6.0331290968371736</v>
      </c>
      <c r="K10" s="330">
        <v>9.2680775133572819</v>
      </c>
      <c r="L10" s="330">
        <f t="shared" ref="L10:L33" si="2">SUM(J10:K10)</f>
        <v>15.301206610194455</v>
      </c>
      <c r="M10" s="236"/>
      <c r="N10" s="328">
        <f t="shared" ref="N10:N36" si="3">IF(B10&gt;0,(EXP(LN(F10/B10)/($F$6-$B$6))-1)*100,0)</f>
        <v>3.4956831090892093</v>
      </c>
      <c r="O10" s="328">
        <f t="shared" ref="O10:O34" si="4">IF(F10&gt;0,(EXP(LN(J10/F10)/($J$6-$F$6))-1)*100,0)</f>
        <v>0.19784883397389041</v>
      </c>
      <c r="P10" s="328"/>
      <c r="Q10" s="328">
        <f t="shared" ref="Q10:Q34" si="5">IF(C10&gt;0,(EXP(LN(G10/C10)/($F$6-$B$6))-1)*100,0)</f>
        <v>-0.51569855102747697</v>
      </c>
      <c r="R10" s="328">
        <f t="shared" ref="R10:R34" si="6">IF(G10&gt;0,(EXP(LN(K10/G10)/($J$6-$F$6))-1)*100,0)</f>
        <v>1.5246497874580989</v>
      </c>
      <c r="S10" s="327"/>
      <c r="T10" s="328">
        <f t="shared" ref="T10:T34" si="7">IF(D10&gt;0,(EXP(LN(H10/D10)/($F$6-$B$6))-1)*100,0)</f>
        <v>1.1422240086861324</v>
      </c>
      <c r="U10" s="328">
        <f t="shared" ref="U10:U34" si="8">IF(H10&gt;0,(EXP(LN(L10/H10)/($J$6-$F$6))-1)*100,0)</f>
        <v>0.96772729272256441</v>
      </c>
    </row>
    <row r="11" spans="1:21" x14ac:dyDescent="0.25">
      <c r="A11" s="329" t="str">
        <f>name!D6</f>
        <v>21 Science, research, engineering and technology professionals</v>
      </c>
      <c r="B11" s="330">
        <v>3.7065420095005157</v>
      </c>
      <c r="C11" s="330">
        <v>19.986025304537037</v>
      </c>
      <c r="D11" s="330">
        <f t="shared" si="0"/>
        <v>23.692567314037554</v>
      </c>
      <c r="E11" s="331"/>
      <c r="F11" s="330">
        <v>4.8675743673321961</v>
      </c>
      <c r="G11" s="330">
        <v>21.806577872402684</v>
      </c>
      <c r="H11" s="330">
        <f t="shared" si="1"/>
        <v>26.67415223973488</v>
      </c>
      <c r="I11" s="331"/>
      <c r="J11" s="330">
        <v>8.1593881141135594</v>
      </c>
      <c r="K11" s="330">
        <v>28.300759774136683</v>
      </c>
      <c r="L11" s="330">
        <f t="shared" si="2"/>
        <v>36.460147888250241</v>
      </c>
      <c r="M11" s="236"/>
      <c r="N11" s="328">
        <f t="shared" si="3"/>
        <v>5.6011709206503779</v>
      </c>
      <c r="O11" s="328">
        <f t="shared" si="4"/>
        <v>3.5038091660962278</v>
      </c>
      <c r="P11" s="328"/>
      <c r="Q11" s="328">
        <f t="shared" si="5"/>
        <v>1.7588562032113675</v>
      </c>
      <c r="R11" s="328">
        <f t="shared" si="6"/>
        <v>1.75303500942805</v>
      </c>
      <c r="S11" s="327"/>
      <c r="T11" s="328">
        <f t="shared" si="7"/>
        <v>2.3989964645567685</v>
      </c>
      <c r="U11" s="328">
        <f t="shared" si="8"/>
        <v>2.1053550953750166</v>
      </c>
    </row>
    <row r="12" spans="1:21" x14ac:dyDescent="0.25">
      <c r="A12" s="329" t="str">
        <f>name!D7</f>
        <v>22 Health professionals</v>
      </c>
      <c r="B12" s="330">
        <v>16.592217505810641</v>
      </c>
      <c r="C12" s="330">
        <v>5.0825544000815421</v>
      </c>
      <c r="D12" s="330">
        <f t="shared" si="0"/>
        <v>21.674771905892182</v>
      </c>
      <c r="E12" s="331"/>
      <c r="F12" s="330">
        <v>20.01271215751045</v>
      </c>
      <c r="G12" s="330">
        <v>6.8725916386043506</v>
      </c>
      <c r="H12" s="330">
        <f t="shared" si="1"/>
        <v>26.885303796114801</v>
      </c>
      <c r="I12" s="331"/>
      <c r="J12" s="330">
        <v>21.371542838754806</v>
      </c>
      <c r="K12" s="330">
        <v>7.2080802251589775</v>
      </c>
      <c r="L12" s="330">
        <f t="shared" si="2"/>
        <v>28.579623063913782</v>
      </c>
      <c r="M12" s="236"/>
      <c r="N12" s="328">
        <f t="shared" si="3"/>
        <v>3.8198275962954664</v>
      </c>
      <c r="O12" s="328">
        <f t="shared" si="4"/>
        <v>0.43891096289416787</v>
      </c>
      <c r="P12" s="328"/>
      <c r="Q12" s="328">
        <f t="shared" si="5"/>
        <v>6.2203433070944447</v>
      </c>
      <c r="R12" s="328">
        <f t="shared" si="6"/>
        <v>0.3182478378464193</v>
      </c>
      <c r="S12" s="327"/>
      <c r="T12" s="328">
        <f t="shared" si="7"/>
        <v>4.4027846668945436</v>
      </c>
      <c r="U12" s="328">
        <f t="shared" si="8"/>
        <v>0.40825893933129631</v>
      </c>
    </row>
    <row r="13" spans="1:21" x14ac:dyDescent="0.25">
      <c r="A13" s="329" t="str">
        <f>name!D8</f>
        <v>23 Teaching and other educational professionals</v>
      </c>
      <c r="B13" s="330">
        <v>12.968034708711482</v>
      </c>
      <c r="C13" s="330">
        <v>6.5723400569597734</v>
      </c>
      <c r="D13" s="330">
        <f t="shared" si="0"/>
        <v>19.540374765671256</v>
      </c>
      <c r="E13" s="331"/>
      <c r="F13" s="330">
        <v>14.881510499738123</v>
      </c>
      <c r="G13" s="330">
        <v>7.1451073437704435</v>
      </c>
      <c r="H13" s="330">
        <f t="shared" si="1"/>
        <v>22.026617843508568</v>
      </c>
      <c r="I13" s="331"/>
      <c r="J13" s="330">
        <v>16.343114258621309</v>
      </c>
      <c r="K13" s="330">
        <v>7.8222420300595887</v>
      </c>
      <c r="L13" s="330">
        <f t="shared" si="2"/>
        <v>24.165356288680897</v>
      </c>
      <c r="M13" s="236"/>
      <c r="N13" s="328">
        <f t="shared" si="3"/>
        <v>2.7908767043660632</v>
      </c>
      <c r="O13" s="328">
        <f t="shared" si="4"/>
        <v>0.62653541359121157</v>
      </c>
      <c r="P13" s="328"/>
      <c r="Q13" s="328">
        <f t="shared" si="5"/>
        <v>1.6851998099975285</v>
      </c>
      <c r="R13" s="328">
        <f t="shared" si="6"/>
        <v>0.60544802665907227</v>
      </c>
      <c r="S13" s="327"/>
      <c r="T13" s="328">
        <f t="shared" si="7"/>
        <v>2.4242955423133372</v>
      </c>
      <c r="U13" s="328">
        <f t="shared" si="8"/>
        <v>0.61970175648629056</v>
      </c>
    </row>
    <row r="14" spans="1:21" x14ac:dyDescent="0.25">
      <c r="A14" s="329" t="str">
        <f>name!D9</f>
        <v>24 Business, media and public service professionals</v>
      </c>
      <c r="B14" s="330">
        <v>8.9126522533407151</v>
      </c>
      <c r="C14" s="330">
        <v>13.893541405818606</v>
      </c>
      <c r="D14" s="330">
        <f t="shared" si="0"/>
        <v>22.80619365915932</v>
      </c>
      <c r="E14" s="331"/>
      <c r="F14" s="330">
        <v>11.742490185681445</v>
      </c>
      <c r="G14" s="330">
        <v>16.215269174648807</v>
      </c>
      <c r="H14" s="330">
        <f t="shared" si="1"/>
        <v>27.95775936033025</v>
      </c>
      <c r="I14" s="331"/>
      <c r="J14" s="330">
        <v>14.099328155504613</v>
      </c>
      <c r="K14" s="330">
        <v>18.434762102201113</v>
      </c>
      <c r="L14" s="330">
        <f t="shared" si="2"/>
        <v>32.534090257705728</v>
      </c>
      <c r="M14" s="236"/>
      <c r="N14" s="328">
        <f t="shared" si="3"/>
        <v>5.6697424208443925</v>
      </c>
      <c r="O14" s="328">
        <f t="shared" si="4"/>
        <v>1.2268868895596308</v>
      </c>
      <c r="P14" s="328"/>
      <c r="Q14" s="328">
        <f t="shared" si="5"/>
        <v>3.1388395104178013</v>
      </c>
      <c r="R14" s="328">
        <f t="shared" si="6"/>
        <v>0.85889946905082226</v>
      </c>
      <c r="S14" s="327"/>
      <c r="T14" s="328">
        <f t="shared" si="7"/>
        <v>4.1573473635407865</v>
      </c>
      <c r="U14" s="328">
        <f t="shared" si="8"/>
        <v>1.0157486829212248</v>
      </c>
    </row>
    <row r="15" spans="1:21" x14ac:dyDescent="0.25">
      <c r="A15" s="329" t="str">
        <f>name!D10</f>
        <v>31 Science, engineering and technology associate professionals</v>
      </c>
      <c r="B15" s="330">
        <v>1.6543689012758929</v>
      </c>
      <c r="C15" s="330">
        <v>5.9852648662886345</v>
      </c>
      <c r="D15" s="330">
        <f t="shared" si="0"/>
        <v>7.6396337675645274</v>
      </c>
      <c r="E15" s="331"/>
      <c r="F15" s="330">
        <v>1.9910445740489724</v>
      </c>
      <c r="G15" s="330">
        <v>6.7208561905131106</v>
      </c>
      <c r="H15" s="330">
        <f t="shared" si="1"/>
        <v>8.711900764562083</v>
      </c>
      <c r="I15" s="331"/>
      <c r="J15" s="330">
        <v>2.4589707307479522</v>
      </c>
      <c r="K15" s="330">
        <v>5.9693453417966023</v>
      </c>
      <c r="L15" s="330">
        <f t="shared" si="2"/>
        <v>8.4283160725445541</v>
      </c>
      <c r="M15" s="236"/>
      <c r="N15" s="328">
        <f t="shared" si="3"/>
        <v>3.7742790832917317</v>
      </c>
      <c r="O15" s="328">
        <f t="shared" si="4"/>
        <v>1.4171709756978013</v>
      </c>
      <c r="P15" s="328"/>
      <c r="Q15" s="328">
        <f t="shared" si="5"/>
        <v>2.3453806818395817</v>
      </c>
      <c r="R15" s="328">
        <f t="shared" si="6"/>
        <v>-0.78740554141478736</v>
      </c>
      <c r="S15" s="327"/>
      <c r="T15" s="328">
        <f t="shared" si="7"/>
        <v>2.6616112272142445</v>
      </c>
      <c r="U15" s="328">
        <f t="shared" si="8"/>
        <v>-0.22037679293599455</v>
      </c>
    </row>
    <row r="16" spans="1:21" x14ac:dyDescent="0.25">
      <c r="A16" s="329" t="str">
        <f>name!D11</f>
        <v>32 Health and social care associate professionals</v>
      </c>
      <c r="B16" s="330">
        <v>6.9430805108852143</v>
      </c>
      <c r="C16" s="330">
        <v>2.0898092470984437</v>
      </c>
      <c r="D16" s="330">
        <f t="shared" si="0"/>
        <v>9.0328897579836571</v>
      </c>
      <c r="E16" s="331"/>
      <c r="F16" s="330">
        <v>8.5411023673706872</v>
      </c>
      <c r="G16" s="330">
        <v>2.4607813380873722</v>
      </c>
      <c r="H16" s="330">
        <f t="shared" si="1"/>
        <v>11.001883705458059</v>
      </c>
      <c r="I16" s="331"/>
      <c r="J16" s="330">
        <v>17.400620944753129</v>
      </c>
      <c r="K16" s="330">
        <v>3.6552006282453262</v>
      </c>
      <c r="L16" s="330">
        <f t="shared" si="2"/>
        <v>21.055821572998454</v>
      </c>
      <c r="M16" s="236"/>
      <c r="N16" s="328">
        <f t="shared" si="3"/>
        <v>4.2299057719797029</v>
      </c>
      <c r="O16" s="328">
        <f t="shared" si="4"/>
        <v>4.8584389427574814</v>
      </c>
      <c r="P16" s="328"/>
      <c r="Q16" s="328">
        <f t="shared" si="5"/>
        <v>3.3221121498853146</v>
      </c>
      <c r="R16" s="328">
        <f t="shared" si="6"/>
        <v>2.6729120135512208</v>
      </c>
      <c r="S16" s="327"/>
      <c r="T16" s="328">
        <f t="shared" si="7"/>
        <v>4.0226870496866907</v>
      </c>
      <c r="U16" s="328">
        <f t="shared" si="8"/>
        <v>4.422401319894731</v>
      </c>
    </row>
    <row r="17" spans="1:21" x14ac:dyDescent="0.25">
      <c r="A17" s="329" t="str">
        <f>name!D12</f>
        <v>33 Protective service occupations</v>
      </c>
      <c r="B17" s="330">
        <v>1.0152730971083521</v>
      </c>
      <c r="C17" s="330">
        <v>3.4291501970427154</v>
      </c>
      <c r="D17" s="330">
        <f t="shared" si="0"/>
        <v>4.4444232941510675</v>
      </c>
      <c r="E17" s="331"/>
      <c r="F17" s="330">
        <v>1.2724165885171148</v>
      </c>
      <c r="G17" s="330">
        <v>3.4149050526208469</v>
      </c>
      <c r="H17" s="330">
        <f t="shared" si="1"/>
        <v>4.6873216411379612</v>
      </c>
      <c r="I17" s="331"/>
      <c r="J17" s="330">
        <v>1.5112739368933152</v>
      </c>
      <c r="K17" s="330">
        <v>2.9406514003190516</v>
      </c>
      <c r="L17" s="330">
        <f t="shared" si="2"/>
        <v>4.4519253372123666</v>
      </c>
      <c r="M17" s="236"/>
      <c r="N17" s="328">
        <f t="shared" si="3"/>
        <v>4.6186926919124849</v>
      </c>
      <c r="O17" s="328">
        <f t="shared" si="4"/>
        <v>1.1535024102477198</v>
      </c>
      <c r="P17" s="328"/>
      <c r="Q17" s="328">
        <f t="shared" si="5"/>
        <v>-8.3221050461312895E-2</v>
      </c>
      <c r="R17" s="328">
        <f t="shared" si="6"/>
        <v>-0.99183896330080623</v>
      </c>
      <c r="S17" s="327"/>
      <c r="T17" s="328">
        <f t="shared" si="7"/>
        <v>1.0699074651868035</v>
      </c>
      <c r="U17" s="328">
        <f t="shared" si="8"/>
        <v>-0.34290857454675194</v>
      </c>
    </row>
    <row r="18" spans="1:21" x14ac:dyDescent="0.25">
      <c r="A18" s="329" t="str">
        <f>name!D13</f>
        <v>34 Culture, media and sports occupations</v>
      </c>
      <c r="B18" s="330">
        <v>3.0100112278818068</v>
      </c>
      <c r="C18" s="330">
        <v>4.5169862879842979</v>
      </c>
      <c r="D18" s="330">
        <f t="shared" si="0"/>
        <v>7.5269975158661051</v>
      </c>
      <c r="E18" s="331"/>
      <c r="F18" s="330">
        <v>3.1518429128138599</v>
      </c>
      <c r="G18" s="330">
        <v>4.5437609296462051</v>
      </c>
      <c r="H18" s="330">
        <f t="shared" si="1"/>
        <v>7.6956038424600646</v>
      </c>
      <c r="I18" s="331"/>
      <c r="J18" s="330">
        <v>3.1045321629251275</v>
      </c>
      <c r="K18" s="330">
        <v>4.137314928784833</v>
      </c>
      <c r="L18" s="330">
        <f t="shared" si="2"/>
        <v>7.2418470917099604</v>
      </c>
      <c r="M18" s="236"/>
      <c r="N18" s="328">
        <f t="shared" si="3"/>
        <v>0.9251235473493935</v>
      </c>
      <c r="O18" s="328">
        <f t="shared" si="4"/>
        <v>-0.10077786217630447</v>
      </c>
      <c r="P18" s="327"/>
      <c r="Q18" s="328">
        <f t="shared" si="5"/>
        <v>0.11827081883093449</v>
      </c>
      <c r="R18" s="328">
        <f t="shared" si="6"/>
        <v>-0.62277306753838468</v>
      </c>
      <c r="S18" s="327"/>
      <c r="T18" s="328">
        <f t="shared" si="7"/>
        <v>0.44404316777673092</v>
      </c>
      <c r="U18" s="328">
        <f t="shared" si="8"/>
        <v>-0.40433329111219107</v>
      </c>
    </row>
    <row r="19" spans="1:21" x14ac:dyDescent="0.25">
      <c r="A19" s="329" t="str">
        <f>name!D14</f>
        <v>35 Business and public service associate professionals</v>
      </c>
      <c r="B19" s="330">
        <v>12.059444259451524</v>
      </c>
      <c r="C19" s="330">
        <v>15.423996768819533</v>
      </c>
      <c r="D19" s="330">
        <f t="shared" si="0"/>
        <v>27.483441028271059</v>
      </c>
      <c r="E19" s="331"/>
      <c r="F19" s="330">
        <v>13.018113488948627</v>
      </c>
      <c r="G19" s="330">
        <v>15.700778568083784</v>
      </c>
      <c r="H19" s="330">
        <f t="shared" si="1"/>
        <v>28.718892057032413</v>
      </c>
      <c r="I19" s="331"/>
      <c r="J19" s="330">
        <v>14.578632487117588</v>
      </c>
      <c r="K19" s="330">
        <v>15.753402090816163</v>
      </c>
      <c r="L19" s="330">
        <f t="shared" si="2"/>
        <v>30.332034577933751</v>
      </c>
      <c r="M19" s="236"/>
      <c r="N19" s="328">
        <f t="shared" si="3"/>
        <v>1.541634936590186</v>
      </c>
      <c r="O19" s="328">
        <f t="shared" si="4"/>
        <v>0.75762352299144631</v>
      </c>
      <c r="P19" s="327"/>
      <c r="Q19" s="328">
        <f t="shared" si="5"/>
        <v>0.35634887969591134</v>
      </c>
      <c r="R19" s="328">
        <f t="shared" si="6"/>
        <v>2.2309463279701625E-2</v>
      </c>
      <c r="S19" s="327"/>
      <c r="T19" s="328">
        <f t="shared" si="7"/>
        <v>0.88330808713676934</v>
      </c>
      <c r="U19" s="328">
        <f t="shared" si="8"/>
        <v>0.36499271392635979</v>
      </c>
    </row>
    <row r="20" spans="1:21" x14ac:dyDescent="0.25">
      <c r="A20" s="329" t="str">
        <f>name!D15</f>
        <v>41 Administrative occupations</v>
      </c>
      <c r="B20" s="330">
        <v>33.524375113282282</v>
      </c>
      <c r="C20" s="330">
        <v>15.614024343375872</v>
      </c>
      <c r="D20" s="330">
        <f t="shared" si="0"/>
        <v>49.138399456658156</v>
      </c>
      <c r="E20" s="331"/>
      <c r="F20" s="330">
        <v>30.967956206585573</v>
      </c>
      <c r="G20" s="330">
        <v>16.23011080316379</v>
      </c>
      <c r="H20" s="330">
        <f t="shared" si="1"/>
        <v>47.198067009749366</v>
      </c>
      <c r="I20" s="331"/>
      <c r="J20" s="330">
        <v>28.468091774549112</v>
      </c>
      <c r="K20" s="330">
        <v>19.651714866681374</v>
      </c>
      <c r="L20" s="330">
        <f t="shared" si="2"/>
        <v>48.119806641230483</v>
      </c>
      <c r="M20" s="236"/>
      <c r="N20" s="328">
        <f t="shared" si="3"/>
        <v>-1.5738788276272619</v>
      </c>
      <c r="O20" s="328">
        <f t="shared" si="4"/>
        <v>-0.55955612621606532</v>
      </c>
      <c r="P20" s="327"/>
      <c r="Q20" s="328">
        <f t="shared" si="5"/>
        <v>0.77697695714709081</v>
      </c>
      <c r="R20" s="328">
        <f t="shared" si="6"/>
        <v>1.283476059456401</v>
      </c>
      <c r="S20" s="327"/>
      <c r="T20" s="328">
        <f t="shared" si="7"/>
        <v>-0.80251961659552062</v>
      </c>
      <c r="U20" s="328">
        <f t="shared" si="8"/>
        <v>0.12902272457058217</v>
      </c>
    </row>
    <row r="21" spans="1:21" x14ac:dyDescent="0.25">
      <c r="A21" s="329" t="str">
        <f>name!D16</f>
        <v>42 Secretarial and related occupations</v>
      </c>
      <c r="B21" s="330">
        <v>10.015629092475114</v>
      </c>
      <c r="C21" s="330">
        <v>0.98392418673063797</v>
      </c>
      <c r="D21" s="330">
        <f t="shared" si="0"/>
        <v>10.999553279205752</v>
      </c>
      <c r="E21" s="331"/>
      <c r="F21" s="330">
        <v>8.5636019135472488</v>
      </c>
      <c r="G21" s="330">
        <v>0.71673135991795822</v>
      </c>
      <c r="H21" s="330">
        <f t="shared" si="1"/>
        <v>9.2803332734652066</v>
      </c>
      <c r="I21" s="331"/>
      <c r="J21" s="330">
        <v>4.6858683269458146</v>
      </c>
      <c r="K21" s="330">
        <v>0.72159592784091953</v>
      </c>
      <c r="L21" s="330">
        <f t="shared" si="2"/>
        <v>5.407464254786734</v>
      </c>
      <c r="M21" s="236"/>
      <c r="N21" s="328">
        <f t="shared" si="3"/>
        <v>-3.0839629008148184</v>
      </c>
      <c r="O21" s="328">
        <f t="shared" si="4"/>
        <v>-3.940075562194234</v>
      </c>
      <c r="P21" s="327"/>
      <c r="Q21" s="328">
        <f t="shared" si="5"/>
        <v>-6.1403448773678644</v>
      </c>
      <c r="R21" s="328">
        <f t="shared" si="6"/>
        <v>4.5105019016000725E-2</v>
      </c>
      <c r="S21" s="327"/>
      <c r="T21" s="328">
        <f t="shared" si="7"/>
        <v>-3.3420221813353579</v>
      </c>
      <c r="U21" s="328">
        <f t="shared" si="8"/>
        <v>-3.5367242946928501</v>
      </c>
    </row>
    <row r="22" spans="1:21" x14ac:dyDescent="0.25">
      <c r="A22" s="329" t="str">
        <f>name!D17</f>
        <v>51 Skilled agricultural and related trades</v>
      </c>
      <c r="B22" s="330">
        <v>0.61074669559458605</v>
      </c>
      <c r="C22" s="330">
        <v>3.720569195128824</v>
      </c>
      <c r="D22" s="330">
        <f t="shared" si="0"/>
        <v>4.3313158907234097</v>
      </c>
      <c r="E22" s="331"/>
      <c r="F22" s="330">
        <v>0.57319109986958328</v>
      </c>
      <c r="G22" s="330">
        <v>2.619953984996287</v>
      </c>
      <c r="H22" s="330">
        <f t="shared" si="1"/>
        <v>3.1931450848658702</v>
      </c>
      <c r="I22" s="331"/>
      <c r="J22" s="330">
        <v>0.74085933110293289</v>
      </c>
      <c r="K22" s="330">
        <v>2.7941578191640217</v>
      </c>
      <c r="L22" s="330">
        <f t="shared" si="2"/>
        <v>3.5350171502669547</v>
      </c>
      <c r="M22" s="236"/>
      <c r="N22" s="328">
        <f t="shared" si="3"/>
        <v>-1.2612414539911909</v>
      </c>
      <c r="O22" s="328">
        <f t="shared" si="4"/>
        <v>1.7253254084360403</v>
      </c>
      <c r="P22" s="327"/>
      <c r="Q22" s="328">
        <f t="shared" si="5"/>
        <v>-6.7740418614765652</v>
      </c>
      <c r="R22" s="328">
        <f t="shared" si="6"/>
        <v>0.43008214084976348</v>
      </c>
      <c r="S22" s="327"/>
      <c r="T22" s="328">
        <f t="shared" si="7"/>
        <v>-5.9151366231925291</v>
      </c>
      <c r="U22" s="328">
        <f t="shared" si="8"/>
        <v>0.6803828236388032</v>
      </c>
    </row>
    <row r="23" spans="1:21" x14ac:dyDescent="0.25">
      <c r="A23" s="329" t="str">
        <f>name!D18</f>
        <v>52 Skilled metal, electrical and electronic trades</v>
      </c>
      <c r="B23" s="330">
        <v>0.36485032937425493</v>
      </c>
      <c r="C23" s="330">
        <v>28.257827507545212</v>
      </c>
      <c r="D23" s="330">
        <f t="shared" si="0"/>
        <v>28.622677836919468</v>
      </c>
      <c r="E23" s="331"/>
      <c r="F23" s="330">
        <v>0.45132702183413442</v>
      </c>
      <c r="G23" s="330">
        <v>22.785499260413552</v>
      </c>
      <c r="H23" s="330">
        <f t="shared" si="1"/>
        <v>23.236826282247687</v>
      </c>
      <c r="I23" s="331"/>
      <c r="J23" s="330">
        <v>0.8713928892013374</v>
      </c>
      <c r="K23" s="330">
        <v>19.96974145302606</v>
      </c>
      <c r="L23" s="330">
        <f t="shared" si="2"/>
        <v>20.841134342227399</v>
      </c>
      <c r="M23" s="236"/>
      <c r="N23" s="328">
        <f t="shared" si="3"/>
        <v>4.3458830549371052</v>
      </c>
      <c r="O23" s="328">
        <f t="shared" si="4"/>
        <v>4.4836121433426301</v>
      </c>
      <c r="P23" s="327"/>
      <c r="Q23" s="328">
        <f t="shared" si="5"/>
        <v>-4.213576921125572</v>
      </c>
      <c r="R23" s="328">
        <f t="shared" si="6"/>
        <v>-0.87551905154897858</v>
      </c>
      <c r="S23" s="327"/>
      <c r="T23" s="328">
        <f t="shared" si="7"/>
        <v>-4.0835029096187414</v>
      </c>
      <c r="U23" s="328">
        <f t="shared" si="8"/>
        <v>-0.72277342843283243</v>
      </c>
    </row>
    <row r="24" spans="1:21" x14ac:dyDescent="0.25">
      <c r="A24" s="329" t="str">
        <f>name!D19</f>
        <v>53 Skilled construction and building trades</v>
      </c>
      <c r="B24" s="330">
        <v>0.24411524455905587</v>
      </c>
      <c r="C24" s="330">
        <v>18.431515324301849</v>
      </c>
      <c r="D24" s="330">
        <f t="shared" si="0"/>
        <v>18.675630568860903</v>
      </c>
      <c r="E24" s="331"/>
      <c r="F24" s="330">
        <v>0.28546637828323057</v>
      </c>
      <c r="G24" s="330">
        <v>17.18800702433489</v>
      </c>
      <c r="H24" s="330">
        <f t="shared" si="1"/>
        <v>17.473473402618122</v>
      </c>
      <c r="I24" s="331"/>
      <c r="J24" s="330">
        <v>0.17595713769719329</v>
      </c>
      <c r="K24" s="330">
        <v>14.225624089851634</v>
      </c>
      <c r="L24" s="330">
        <f t="shared" si="2"/>
        <v>14.401581227548826</v>
      </c>
      <c r="M24" s="236"/>
      <c r="N24" s="328">
        <f t="shared" si="3"/>
        <v>3.1791659196217514</v>
      </c>
      <c r="O24" s="328">
        <f t="shared" si="4"/>
        <v>-3.1744153008046005</v>
      </c>
      <c r="P24" s="327"/>
      <c r="Q24" s="328">
        <f t="shared" si="5"/>
        <v>-1.3872894897872134</v>
      </c>
      <c r="R24" s="328">
        <f t="shared" si="6"/>
        <v>-1.2531947720970216</v>
      </c>
      <c r="S24" s="327"/>
      <c r="T24" s="328">
        <f t="shared" si="7"/>
        <v>-1.3218965885935186</v>
      </c>
      <c r="U24" s="328">
        <f t="shared" si="8"/>
        <v>-1.2807011061727547</v>
      </c>
    </row>
    <row r="25" spans="1:21" x14ac:dyDescent="0.25">
      <c r="A25" s="329" t="str">
        <f>name!D20</f>
        <v>54 Textiles, printing and other skilled trades</v>
      </c>
      <c r="B25" s="330">
        <v>3.3245063011950369</v>
      </c>
      <c r="C25" s="330">
        <v>6.3445971972315247</v>
      </c>
      <c r="D25" s="330">
        <f t="shared" si="0"/>
        <v>9.669103498426562</v>
      </c>
      <c r="E25" s="331"/>
      <c r="F25" s="330">
        <v>3.3753602290378462</v>
      </c>
      <c r="G25" s="330">
        <v>4.9540421002834485</v>
      </c>
      <c r="H25" s="330">
        <f t="shared" si="1"/>
        <v>8.3294023293212938</v>
      </c>
      <c r="I25" s="331"/>
      <c r="J25" s="330">
        <v>3.2951079142314197</v>
      </c>
      <c r="K25" s="330">
        <v>4.6900830934789584</v>
      </c>
      <c r="L25" s="330">
        <f t="shared" si="2"/>
        <v>7.9851910077103785</v>
      </c>
      <c r="M25" s="236"/>
      <c r="N25" s="328">
        <f t="shared" si="3"/>
        <v>0.30407880288649825</v>
      </c>
      <c r="O25" s="328">
        <f t="shared" si="4"/>
        <v>-0.16029229335854378</v>
      </c>
      <c r="P25" s="327"/>
      <c r="Q25" s="328">
        <f t="shared" si="5"/>
        <v>-4.827576690966751</v>
      </c>
      <c r="R25" s="328">
        <f t="shared" si="6"/>
        <v>-0.36435813104567227</v>
      </c>
      <c r="S25" s="327"/>
      <c r="T25" s="328">
        <f t="shared" si="7"/>
        <v>-2.9388290827512376</v>
      </c>
      <c r="U25" s="328">
        <f t="shared" si="8"/>
        <v>-0.28095792058608904</v>
      </c>
    </row>
    <row r="26" spans="1:21" x14ac:dyDescent="0.25">
      <c r="A26" s="329" t="str">
        <f>name!D21</f>
        <v>61 Caring personal service occupations</v>
      </c>
      <c r="B26" s="330">
        <v>34.306178701304844</v>
      </c>
      <c r="C26" s="330">
        <v>4.2430476204005672</v>
      </c>
      <c r="D26" s="330">
        <f t="shared" si="0"/>
        <v>38.549226321705412</v>
      </c>
      <c r="E26" s="331"/>
      <c r="F26" s="330">
        <v>35.463517984676812</v>
      </c>
      <c r="G26" s="330">
        <v>4.2454959953934797</v>
      </c>
      <c r="H26" s="330">
        <f t="shared" si="1"/>
        <v>39.709013980070296</v>
      </c>
      <c r="I26" s="331"/>
      <c r="J26" s="330">
        <v>39.407328289565072</v>
      </c>
      <c r="K26" s="330">
        <v>5.7241065950610333</v>
      </c>
      <c r="L26" s="330">
        <f t="shared" si="2"/>
        <v>45.131434884626103</v>
      </c>
      <c r="M26" s="236"/>
      <c r="N26" s="328">
        <f t="shared" si="3"/>
        <v>0.66578718739822573</v>
      </c>
      <c r="O26" s="328">
        <f t="shared" si="4"/>
        <v>0.70545865514246575</v>
      </c>
      <c r="P26" s="327"/>
      <c r="Q26" s="328">
        <f t="shared" si="5"/>
        <v>1.1537980673415049E-2</v>
      </c>
      <c r="R26" s="328">
        <f t="shared" si="6"/>
        <v>2.012161976642779</v>
      </c>
      <c r="S26" s="327"/>
      <c r="T26" s="328">
        <f t="shared" si="7"/>
        <v>0.59460447567796226</v>
      </c>
      <c r="U26" s="328">
        <f t="shared" si="8"/>
        <v>0.85698993594331974</v>
      </c>
    </row>
    <row r="27" spans="1:21" x14ac:dyDescent="0.25">
      <c r="A27" s="329" t="str">
        <f>name!D22</f>
        <v>62 Leisure, travel and related personal service occupations</v>
      </c>
      <c r="B27" s="330">
        <v>8.4238038771633352</v>
      </c>
      <c r="C27" s="330">
        <v>3.058491608492754</v>
      </c>
      <c r="D27" s="330">
        <f t="shared" si="0"/>
        <v>11.482295485656088</v>
      </c>
      <c r="E27" s="331"/>
      <c r="F27" s="330">
        <v>6.4233243633020036</v>
      </c>
      <c r="G27" s="330">
        <v>2.7586835265309717</v>
      </c>
      <c r="H27" s="330">
        <f t="shared" si="1"/>
        <v>9.1820078898329758</v>
      </c>
      <c r="I27" s="331"/>
      <c r="J27" s="330">
        <v>5.7034726772162196</v>
      </c>
      <c r="K27" s="330">
        <v>2.7097380111785139</v>
      </c>
      <c r="L27" s="330">
        <f t="shared" si="2"/>
        <v>8.4132106883947344</v>
      </c>
      <c r="M27" s="236"/>
      <c r="N27" s="328">
        <f t="shared" si="3"/>
        <v>-5.278117356487277</v>
      </c>
      <c r="O27" s="328">
        <f t="shared" si="4"/>
        <v>-0.78927253300933309</v>
      </c>
      <c r="P27" s="327"/>
      <c r="Q27" s="328">
        <f t="shared" si="5"/>
        <v>-2.0422237395061105</v>
      </c>
      <c r="R27" s="328">
        <f t="shared" si="6"/>
        <v>-0.11927299594571839</v>
      </c>
      <c r="S27" s="327"/>
      <c r="T27" s="328">
        <f t="shared" si="7"/>
        <v>-4.3727231759594805</v>
      </c>
      <c r="U27" s="328">
        <f t="shared" si="8"/>
        <v>-0.58125569202476246</v>
      </c>
    </row>
    <row r="28" spans="1:21" x14ac:dyDescent="0.25">
      <c r="A28" s="329" t="str">
        <f>name!D23</f>
        <v>63 Community and civil enforcement occupations</v>
      </c>
      <c r="B28" s="330">
        <v>9.9217182587818212E-2</v>
      </c>
      <c r="C28" s="330">
        <v>0.34745363873721236</v>
      </c>
      <c r="D28" s="330">
        <f t="shared" si="0"/>
        <v>0.44667082132503055</v>
      </c>
      <c r="E28" s="331"/>
      <c r="F28" s="330">
        <v>0.10181223493232026</v>
      </c>
      <c r="G28" s="330">
        <v>0.34512232129875436</v>
      </c>
      <c r="H28" s="330">
        <f t="shared" si="1"/>
        <v>0.44693455623107464</v>
      </c>
      <c r="I28" s="331"/>
      <c r="J28" s="330">
        <v>0.1390804794342573</v>
      </c>
      <c r="K28" s="330">
        <v>0.23596527829199901</v>
      </c>
      <c r="L28" s="330">
        <f>SUM(J28:K28)</f>
        <v>0.37504575772625631</v>
      </c>
      <c r="M28" s="236"/>
      <c r="N28" s="328">
        <f t="shared" si="3"/>
        <v>0.51771698697025137</v>
      </c>
      <c r="O28" s="328">
        <f t="shared" si="4"/>
        <v>2.1012550461583013</v>
      </c>
      <c r="P28" s="327"/>
      <c r="Q28" s="328">
        <f t="shared" si="5"/>
        <v>-0.13455606639026785</v>
      </c>
      <c r="R28" s="328">
        <f t="shared" si="6"/>
        <v>-2.502906240561642</v>
      </c>
      <c r="S28" s="327"/>
      <c r="T28" s="328">
        <f t="shared" si="7"/>
        <v>1.1806127781244236E-2</v>
      </c>
      <c r="U28" s="328">
        <f t="shared" si="8"/>
        <v>-1.1622869012287262</v>
      </c>
    </row>
    <row r="29" spans="1:21" x14ac:dyDescent="0.25">
      <c r="A29" s="329" t="str">
        <f>name!D24</f>
        <v>71 Sales occupations</v>
      </c>
      <c r="B29" s="330">
        <v>20.443580260654084</v>
      </c>
      <c r="C29" s="330">
        <v>13.78021993769844</v>
      </c>
      <c r="D29" s="330">
        <f t="shared" si="0"/>
        <v>34.223800198352521</v>
      </c>
      <c r="E29" s="331"/>
      <c r="F29" s="330">
        <v>17.249037813317205</v>
      </c>
      <c r="G29" s="330">
        <v>13.001901321449159</v>
      </c>
      <c r="H29" s="330">
        <f t="shared" si="1"/>
        <v>30.250939134766362</v>
      </c>
      <c r="I29" s="331"/>
      <c r="J29" s="330">
        <v>15.384188016731123</v>
      </c>
      <c r="K29" s="330">
        <v>12.429160935553112</v>
      </c>
      <c r="L29" s="330">
        <f t="shared" si="2"/>
        <v>27.813348952284237</v>
      </c>
      <c r="M29" s="236"/>
      <c r="N29" s="328">
        <f t="shared" si="3"/>
        <v>-3.3411589209488501</v>
      </c>
      <c r="O29" s="328">
        <f t="shared" si="4"/>
        <v>-0.75987248133441154</v>
      </c>
      <c r="P29" s="327"/>
      <c r="Q29" s="328">
        <f t="shared" si="5"/>
        <v>-1.1560384035684268</v>
      </c>
      <c r="R29" s="328">
        <f t="shared" si="6"/>
        <v>-0.29988412784954788</v>
      </c>
      <c r="S29" s="327"/>
      <c r="T29" s="328">
        <f t="shared" si="7"/>
        <v>-2.4376784598332035</v>
      </c>
      <c r="U29" s="328">
        <f t="shared" si="8"/>
        <v>-0.55850881574923683</v>
      </c>
    </row>
    <row r="30" spans="1:21" x14ac:dyDescent="0.25">
      <c r="A30" s="329" t="str">
        <f>name!D25</f>
        <v>72 Customer service occupations</v>
      </c>
      <c r="B30" s="330">
        <v>5.1697765080963762</v>
      </c>
      <c r="C30" s="330">
        <v>3.9189141356413506</v>
      </c>
      <c r="D30" s="330">
        <f t="shared" si="0"/>
        <v>9.0886906437377277</v>
      </c>
      <c r="E30" s="331"/>
      <c r="F30" s="330">
        <v>5.3693675590416552</v>
      </c>
      <c r="G30" s="330">
        <v>3.7194792469850886</v>
      </c>
      <c r="H30" s="330">
        <f t="shared" si="1"/>
        <v>9.0888468060267442</v>
      </c>
      <c r="I30" s="331"/>
      <c r="J30" s="330">
        <v>5.9184498264295753</v>
      </c>
      <c r="K30" s="330">
        <v>5.3492840253357752</v>
      </c>
      <c r="L30" s="330">
        <f t="shared" si="2"/>
        <v>11.26773385176535</v>
      </c>
      <c r="M30" s="236"/>
      <c r="N30" s="328">
        <f t="shared" si="3"/>
        <v>0.76049054390092685</v>
      </c>
      <c r="O30" s="328">
        <f t="shared" si="4"/>
        <v>0.65120741069693011</v>
      </c>
      <c r="P30" s="327"/>
      <c r="Q30" s="328">
        <f t="shared" si="5"/>
        <v>-1.0391815693015061</v>
      </c>
      <c r="R30" s="328">
        <f t="shared" si="6"/>
        <v>2.4521086021363159</v>
      </c>
      <c r="S30" s="327"/>
      <c r="T30" s="328">
        <f t="shared" si="7"/>
        <v>3.4363853249619325E-4</v>
      </c>
      <c r="U30" s="328">
        <f t="shared" si="8"/>
        <v>1.4429460177838527</v>
      </c>
    </row>
    <row r="31" spans="1:21" x14ac:dyDescent="0.25">
      <c r="A31" s="329" t="str">
        <f>name!D26</f>
        <v>81 Process, plant and machine operatives</v>
      </c>
      <c r="B31" s="330">
        <v>4.5016237730952078</v>
      </c>
      <c r="C31" s="330">
        <v>18.516053173598369</v>
      </c>
      <c r="D31" s="330">
        <f t="shared" si="0"/>
        <v>23.017676946693577</v>
      </c>
      <c r="E31" s="331"/>
      <c r="F31" s="330">
        <v>4.0747209731229184</v>
      </c>
      <c r="G31" s="330">
        <v>14.308197019339588</v>
      </c>
      <c r="H31" s="330">
        <f t="shared" si="1"/>
        <v>18.382917992462506</v>
      </c>
      <c r="I31" s="331"/>
      <c r="J31" s="330">
        <v>4.7093151204778412</v>
      </c>
      <c r="K31" s="330">
        <v>12.805010245650058</v>
      </c>
      <c r="L31" s="330">
        <f t="shared" si="2"/>
        <v>17.514325366127899</v>
      </c>
      <c r="M31" s="236"/>
      <c r="N31" s="328">
        <f t="shared" si="3"/>
        <v>-1.972994576423337</v>
      </c>
      <c r="O31" s="328">
        <f t="shared" si="4"/>
        <v>0.96960528126170953</v>
      </c>
      <c r="P31" s="327"/>
      <c r="Q31" s="328">
        <f t="shared" si="5"/>
        <v>-5.0254381981206686</v>
      </c>
      <c r="R31" s="328">
        <f t="shared" si="6"/>
        <v>-0.73724274364790343</v>
      </c>
      <c r="S31" s="327"/>
      <c r="T31" s="328">
        <f t="shared" si="7"/>
        <v>-4.3972044343313481</v>
      </c>
      <c r="U31" s="328">
        <f t="shared" si="8"/>
        <v>-0.32216476551591988</v>
      </c>
    </row>
    <row r="32" spans="1:21" x14ac:dyDescent="0.25">
      <c r="A32" s="329" t="str">
        <f>name!D27</f>
        <v>82 Transport and mobile machine drivers and operatives</v>
      </c>
      <c r="B32" s="330">
        <v>1.097989129744207</v>
      </c>
      <c r="C32" s="330">
        <v>23.025017983339353</v>
      </c>
      <c r="D32" s="330">
        <f t="shared" si="0"/>
        <v>24.12300711308356</v>
      </c>
      <c r="E32" s="331"/>
      <c r="F32" s="330">
        <v>0.9749442515319815</v>
      </c>
      <c r="G32" s="330">
        <v>21.000512062003565</v>
      </c>
      <c r="H32" s="330">
        <f t="shared" si="1"/>
        <v>21.975456313535545</v>
      </c>
      <c r="I32" s="331"/>
      <c r="J32" s="330">
        <v>1.4658564500317817</v>
      </c>
      <c r="K32" s="330">
        <v>21.219555916449671</v>
      </c>
      <c r="L32" s="330">
        <f t="shared" si="2"/>
        <v>22.685412366481454</v>
      </c>
      <c r="M32" s="236"/>
      <c r="N32" s="328">
        <f t="shared" si="3"/>
        <v>-2.3490779295733732</v>
      </c>
      <c r="O32" s="328">
        <f t="shared" si="4"/>
        <v>2.7560600715746286</v>
      </c>
      <c r="P32" s="327"/>
      <c r="Q32" s="328">
        <f t="shared" si="5"/>
        <v>-1.823853588619806</v>
      </c>
      <c r="R32" s="328">
        <f t="shared" si="6"/>
        <v>6.919982564945748E-2</v>
      </c>
      <c r="S32" s="327"/>
      <c r="T32" s="328">
        <f t="shared" si="7"/>
        <v>-1.8475168186695146</v>
      </c>
      <c r="U32" s="328">
        <f t="shared" si="8"/>
        <v>0.2121973700340174</v>
      </c>
    </row>
    <row r="33" spans="1:21" x14ac:dyDescent="0.25">
      <c r="A33" s="329" t="str">
        <f>name!D28</f>
        <v>91 Elementary trades and related occupations</v>
      </c>
      <c r="B33" s="330">
        <v>2.8433770765383448</v>
      </c>
      <c r="C33" s="330">
        <v>8.6440665036647317</v>
      </c>
      <c r="D33" s="330">
        <f t="shared" si="0"/>
        <v>11.487443580203077</v>
      </c>
      <c r="E33" s="331"/>
      <c r="F33" s="330">
        <v>1.9280314464236585</v>
      </c>
      <c r="G33" s="330">
        <v>6.6698630780719155</v>
      </c>
      <c r="H33" s="330">
        <f t="shared" si="1"/>
        <v>8.5978945244955742</v>
      </c>
      <c r="I33" s="331"/>
      <c r="J33" s="330">
        <v>7.0281060387183256</v>
      </c>
      <c r="K33" s="330">
        <v>9.4686811693405577</v>
      </c>
      <c r="L33" s="330">
        <f t="shared" si="2"/>
        <v>16.496787208058883</v>
      </c>
      <c r="M33" s="236"/>
      <c r="N33" s="328">
        <f t="shared" si="3"/>
        <v>-7.475673804878169</v>
      </c>
      <c r="O33" s="328">
        <f t="shared" si="4"/>
        <v>9.0054669099422835</v>
      </c>
      <c r="P33" s="327"/>
      <c r="Q33" s="328">
        <f t="shared" si="5"/>
        <v>-5.0533242722607952</v>
      </c>
      <c r="R33" s="328">
        <f t="shared" si="6"/>
        <v>2.3634319985897712</v>
      </c>
      <c r="S33" s="327"/>
      <c r="T33" s="328">
        <f t="shared" si="7"/>
        <v>-5.630045787091742</v>
      </c>
      <c r="U33" s="328">
        <f t="shared" si="8"/>
        <v>4.4400691329606889</v>
      </c>
    </row>
    <row r="34" spans="1:21" x14ac:dyDescent="0.25">
      <c r="A34" s="329" t="str">
        <f>name!D29</f>
        <v>92 Elementary administration and service occupations</v>
      </c>
      <c r="B34" s="330">
        <v>21.899107967782559</v>
      </c>
      <c r="C34" s="330">
        <v>23.573386766069238</v>
      </c>
      <c r="D34" s="330">
        <f t="shared" ref="D34" si="9">SUM(B34:C34)</f>
        <v>45.472494733851796</v>
      </c>
      <c r="E34" s="331"/>
      <c r="F34" s="330">
        <v>18.941946801818354</v>
      </c>
      <c r="G34" s="330">
        <v>18.746991875777951</v>
      </c>
      <c r="H34" s="330">
        <f t="shared" ref="H34" si="10">SUM(F34:G34)</f>
        <v>37.688938677596305</v>
      </c>
      <c r="I34" s="331"/>
      <c r="J34" s="330">
        <v>12.823853034324475</v>
      </c>
      <c r="K34" s="330">
        <v>16.657311828955478</v>
      </c>
      <c r="L34" s="330">
        <f t="shared" ref="L34" si="11">SUM(J34:K34)</f>
        <v>29.481164863279954</v>
      </c>
      <c r="M34" s="236"/>
      <c r="N34" s="328">
        <f t="shared" si="3"/>
        <v>-2.8596558955751417</v>
      </c>
      <c r="O34" s="328">
        <f t="shared" si="4"/>
        <v>-2.5669581685850984</v>
      </c>
      <c r="P34" s="327"/>
      <c r="Q34" s="328">
        <f t="shared" si="5"/>
        <v>-4.4783266343868311</v>
      </c>
      <c r="R34" s="328">
        <f t="shared" si="6"/>
        <v>-0.78479783650308166</v>
      </c>
      <c r="S34" s="327"/>
      <c r="T34" s="328">
        <f t="shared" si="7"/>
        <v>-3.6852004087132517</v>
      </c>
      <c r="U34" s="328">
        <f t="shared" si="8"/>
        <v>-1.6241007083510617</v>
      </c>
    </row>
    <row r="35" spans="1:21" x14ac:dyDescent="0.25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ht="13" x14ac:dyDescent="0.3">
      <c r="A36" s="332" t="str">
        <f>name!D3</f>
        <v>All occupations</v>
      </c>
      <c r="B36" s="333">
        <f>SUM(B9:B34)</f>
        <v>227.08899752482438</v>
      </c>
      <c r="C36" s="333">
        <f t="shared" ref="C36:D36" si="12">SUM(C9:C34)</f>
        <v>278.47300247517569</v>
      </c>
      <c r="D36" s="333">
        <f t="shared" si="12"/>
        <v>505.56200000000018</v>
      </c>
      <c r="E36" s="333"/>
      <c r="F36" s="333">
        <f>SUM(F9:F34)</f>
        <v>231.09459559585864</v>
      </c>
      <c r="G36" s="333">
        <f t="shared" ref="G36:H36" si="13">SUM(G9:G34)</f>
        <v>265.0994044041413</v>
      </c>
      <c r="H36" s="333">
        <f t="shared" si="13"/>
        <v>496.19399999999996</v>
      </c>
      <c r="I36" s="333"/>
      <c r="J36" s="333">
        <f>SUM(J9:J34)</f>
        <v>248.49953199386613</v>
      </c>
      <c r="K36" s="333">
        <f t="shared" ref="K36:L36" si="14">SUM(K9:K34)</f>
        <v>273.44446800613349</v>
      </c>
      <c r="L36" s="333">
        <f t="shared" si="14"/>
        <v>521.94399999999951</v>
      </c>
      <c r="M36" s="258"/>
      <c r="N36" s="334">
        <f t="shared" si="3"/>
        <v>0.3503147973089149</v>
      </c>
      <c r="O36" s="334">
        <f>IF(F36&gt;0,(EXP(LN(J36/F36)/($J$6-$F$6))-1)*100,0)</f>
        <v>0.4852658244766328</v>
      </c>
      <c r="P36" s="335"/>
      <c r="Q36" s="334">
        <f t="shared" ref="Q36" si="15">IF(C36&gt;0,(EXP(LN(G36/C36)/($F$6-$B$6))-1)*100,0)</f>
        <v>-0.979496358002796</v>
      </c>
      <c r="R36" s="334">
        <f t="shared" ref="R36" si="16">IF(G36&gt;0,(EXP(LN(K36/G36)/($J$6-$F$6))-1)*100,0)</f>
        <v>0.20683823318077277</v>
      </c>
      <c r="S36" s="335"/>
      <c r="T36" s="334">
        <f t="shared" ref="T36" si="17">IF(D36&gt;0,(EXP(LN(H36/D36)/($F$6-$B$6))-1)*100,0)</f>
        <v>-0.37337526450477165</v>
      </c>
      <c r="U36" s="334">
        <f t="shared" ref="U36" si="18">IF(H36&gt;0,(EXP(LN(L36/H36)/($J$6-$F$6))-1)*100,0)</f>
        <v>0.33785827979151417</v>
      </c>
    </row>
    <row r="37" spans="1:21" x14ac:dyDescent="0.25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ht="13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ht="13" x14ac:dyDescent="0.3">
      <c r="A40" s="241"/>
      <c r="B40" s="376"/>
      <c r="C40" s="376"/>
      <c r="D40" s="376"/>
      <c r="E40" s="253"/>
      <c r="F40" s="376"/>
      <c r="G40" s="376"/>
      <c r="H40" s="376"/>
      <c r="I40" s="253"/>
      <c r="J40" s="376"/>
      <c r="K40" s="376"/>
      <c r="L40" s="376"/>
      <c r="M40" s="236"/>
    </row>
    <row r="41" spans="1:21" ht="13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5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5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5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5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5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5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5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5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5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5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5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ht="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ht="13" x14ac:dyDescent="0.3">
      <c r="A57" s="241"/>
      <c r="B57" s="376"/>
      <c r="C57" s="376"/>
      <c r="D57" s="376"/>
      <c r="E57" s="253"/>
      <c r="F57" s="376"/>
      <c r="G57" s="376"/>
      <c r="H57" s="376"/>
      <c r="I57" s="253"/>
      <c r="J57" s="376"/>
      <c r="K57" s="376"/>
      <c r="L57" s="376"/>
      <c r="M57" s="236"/>
    </row>
    <row r="58" spans="1:13" ht="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5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5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5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5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5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5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5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5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5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5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ht="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ht="13" x14ac:dyDescent="0.3">
      <c r="A74" s="241"/>
      <c r="B74" s="376"/>
      <c r="C74" s="376"/>
      <c r="D74" s="376"/>
      <c r="E74" s="253"/>
      <c r="F74" s="376"/>
      <c r="G74" s="376"/>
      <c r="H74" s="376"/>
      <c r="I74" s="253"/>
      <c r="J74" s="376"/>
      <c r="K74" s="376"/>
      <c r="L74" s="376"/>
      <c r="M74" s="236"/>
    </row>
    <row r="75" spans="1:13" ht="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5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5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5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5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5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5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5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5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5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5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ht="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ht="13" x14ac:dyDescent="0.3">
      <c r="A91" s="241"/>
      <c r="B91" s="376"/>
      <c r="C91" s="376"/>
      <c r="D91" s="376"/>
      <c r="E91" s="253"/>
      <c r="F91" s="376"/>
      <c r="G91" s="376"/>
      <c r="H91" s="376"/>
      <c r="I91" s="253"/>
      <c r="J91" s="376"/>
      <c r="K91" s="376"/>
      <c r="L91" s="376"/>
      <c r="M91" s="236"/>
    </row>
    <row r="92" spans="1:13" ht="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5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5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5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5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5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5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5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5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5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5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ht="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ht="13" x14ac:dyDescent="0.3">
      <c r="A108" s="241"/>
      <c r="B108" s="376"/>
      <c r="C108" s="376"/>
      <c r="D108" s="376"/>
      <c r="E108" s="253"/>
      <c r="F108" s="376"/>
      <c r="G108" s="376"/>
      <c r="H108" s="376"/>
      <c r="I108" s="253"/>
      <c r="J108" s="376"/>
      <c r="K108" s="376"/>
      <c r="L108" s="376"/>
      <c r="M108" s="236"/>
    </row>
    <row r="109" spans="1:13" ht="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5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5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5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5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5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5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5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5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5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5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ht="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ht="13" x14ac:dyDescent="0.3">
      <c r="A125" s="241"/>
      <c r="B125" s="376"/>
      <c r="C125" s="376"/>
      <c r="D125" s="376"/>
      <c r="E125" s="253"/>
      <c r="F125" s="376"/>
      <c r="G125" s="376"/>
      <c r="H125" s="376"/>
      <c r="I125" s="253"/>
      <c r="J125" s="376"/>
      <c r="K125" s="376"/>
      <c r="L125" s="376"/>
      <c r="M125" s="236"/>
    </row>
    <row r="126" spans="1:13" ht="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5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5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5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5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5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5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5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5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5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5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ht="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ht="13" x14ac:dyDescent="0.3">
      <c r="A142" s="241"/>
      <c r="B142" s="376"/>
      <c r="C142" s="376"/>
      <c r="D142" s="376"/>
      <c r="E142" s="253"/>
      <c r="F142" s="376"/>
      <c r="G142" s="376"/>
      <c r="H142" s="376"/>
      <c r="I142" s="253"/>
      <c r="J142" s="376"/>
      <c r="K142" s="376"/>
      <c r="L142" s="376"/>
      <c r="M142" s="236"/>
    </row>
    <row r="143" spans="1:13" ht="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5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5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5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5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5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5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5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5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5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5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ht="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ht="13" x14ac:dyDescent="0.3">
      <c r="A159" s="241"/>
      <c r="B159" s="376"/>
      <c r="C159" s="376"/>
      <c r="D159" s="376"/>
      <c r="E159" s="253"/>
      <c r="F159" s="376"/>
      <c r="G159" s="376"/>
      <c r="H159" s="376"/>
      <c r="I159" s="253"/>
      <c r="J159" s="376"/>
      <c r="K159" s="376"/>
      <c r="L159" s="376"/>
      <c r="M159" s="236"/>
    </row>
    <row r="160" spans="1:13" ht="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5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5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5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5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5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5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5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5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5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5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ht="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ht="13" x14ac:dyDescent="0.3">
      <c r="A176" s="241"/>
      <c r="B176" s="376"/>
      <c r="C176" s="376"/>
      <c r="D176" s="376"/>
      <c r="E176" s="253"/>
      <c r="F176" s="376"/>
      <c r="G176" s="376"/>
      <c r="H176" s="376"/>
      <c r="I176" s="253"/>
      <c r="J176" s="376"/>
      <c r="K176" s="376"/>
      <c r="L176" s="376"/>
      <c r="M176" s="236"/>
    </row>
    <row r="177" spans="1:13" ht="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5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5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5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5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5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5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5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5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5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5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ht="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ht="13" x14ac:dyDescent="0.3">
      <c r="A193" s="241"/>
      <c r="B193" s="376"/>
      <c r="C193" s="376"/>
      <c r="D193" s="376"/>
      <c r="E193" s="253"/>
      <c r="F193" s="376"/>
      <c r="G193" s="376"/>
      <c r="H193" s="376"/>
      <c r="I193" s="253"/>
      <c r="J193" s="376"/>
      <c r="K193" s="376"/>
      <c r="L193" s="376"/>
      <c r="M193" s="236"/>
    </row>
    <row r="194" spans="1:13" ht="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5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5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5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5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5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5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5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5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5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5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ht="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ht="13" x14ac:dyDescent="0.3">
      <c r="A210" s="241"/>
      <c r="B210" s="376"/>
      <c r="C210" s="376"/>
      <c r="D210" s="376"/>
      <c r="E210" s="253"/>
      <c r="F210" s="376"/>
      <c r="G210" s="376"/>
      <c r="H210" s="376"/>
      <c r="I210" s="253"/>
      <c r="J210" s="376"/>
      <c r="K210" s="376"/>
      <c r="L210" s="376"/>
      <c r="M210" s="236"/>
    </row>
    <row r="211" spans="1:13" ht="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5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5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5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5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5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5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5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5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5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5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ht="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ht="13" x14ac:dyDescent="0.3">
      <c r="A227" s="241"/>
      <c r="B227" s="376"/>
      <c r="C227" s="376"/>
      <c r="D227" s="376"/>
      <c r="E227" s="253"/>
      <c r="F227" s="376"/>
      <c r="G227" s="376"/>
      <c r="H227" s="376"/>
      <c r="I227" s="253"/>
      <c r="J227" s="376"/>
      <c r="K227" s="376"/>
      <c r="L227" s="376"/>
      <c r="M227" s="236"/>
    </row>
    <row r="228" spans="1:13" ht="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5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5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5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5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5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5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5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5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5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5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ht="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ht="13" x14ac:dyDescent="0.3">
      <c r="A244" s="241"/>
      <c r="B244" s="376"/>
      <c r="C244" s="376"/>
      <c r="D244" s="376"/>
      <c r="E244" s="253"/>
      <c r="F244" s="376"/>
      <c r="G244" s="376"/>
      <c r="H244" s="376"/>
      <c r="I244" s="253"/>
      <c r="J244" s="376"/>
      <c r="K244" s="376"/>
      <c r="L244" s="376"/>
      <c r="M244" s="236"/>
    </row>
    <row r="245" spans="1:13" ht="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5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5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5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5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5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5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5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5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5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5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ht="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ht="13" x14ac:dyDescent="0.3">
      <c r="A261" s="241"/>
      <c r="B261" s="376"/>
      <c r="C261" s="376"/>
      <c r="D261" s="376"/>
      <c r="E261" s="253"/>
      <c r="F261" s="376"/>
      <c r="G261" s="376"/>
      <c r="H261" s="376"/>
      <c r="I261" s="253"/>
      <c r="J261" s="376"/>
      <c r="K261" s="376"/>
      <c r="L261" s="376"/>
      <c r="M261" s="236"/>
    </row>
    <row r="262" spans="1:13" ht="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5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5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5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5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5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5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5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5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5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5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ht="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ht="13" x14ac:dyDescent="0.3">
      <c r="A278" s="241"/>
      <c r="B278" s="376"/>
      <c r="C278" s="376"/>
      <c r="D278" s="376"/>
      <c r="E278" s="253"/>
      <c r="F278" s="376"/>
      <c r="G278" s="376"/>
      <c r="H278" s="376"/>
      <c r="I278" s="253"/>
      <c r="J278" s="376"/>
      <c r="K278" s="376"/>
      <c r="L278" s="376"/>
      <c r="M278" s="236"/>
    </row>
    <row r="279" spans="1:13" ht="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5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5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5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5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5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5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5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5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5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5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ht="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ht="13" x14ac:dyDescent="0.3">
      <c r="A295" s="241"/>
      <c r="B295" s="376"/>
      <c r="C295" s="376"/>
      <c r="D295" s="376"/>
      <c r="E295" s="253"/>
      <c r="F295" s="376"/>
      <c r="G295" s="376"/>
      <c r="H295" s="376"/>
      <c r="I295" s="253"/>
      <c r="J295" s="376"/>
      <c r="K295" s="376"/>
      <c r="L295" s="376"/>
      <c r="M295" s="236"/>
    </row>
    <row r="296" spans="1:13" ht="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5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5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5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5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5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5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5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5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5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5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ht="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ht="13" x14ac:dyDescent="0.3">
      <c r="A312" s="241"/>
      <c r="B312" s="376"/>
      <c r="C312" s="376"/>
      <c r="D312" s="376"/>
      <c r="E312" s="253"/>
      <c r="F312" s="376"/>
      <c r="G312" s="376"/>
      <c r="H312" s="376"/>
      <c r="I312" s="253"/>
      <c r="J312" s="376"/>
      <c r="K312" s="376"/>
      <c r="L312" s="376"/>
      <c r="M312" s="236"/>
    </row>
    <row r="313" spans="1:13" ht="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5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5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5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5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5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5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5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5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5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5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ht="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ht="13" x14ac:dyDescent="0.3">
      <c r="A329" s="241"/>
      <c r="B329" s="376"/>
      <c r="C329" s="376"/>
      <c r="D329" s="376"/>
      <c r="E329" s="253"/>
      <c r="F329" s="376"/>
      <c r="G329" s="376"/>
      <c r="H329" s="376"/>
      <c r="I329" s="253"/>
      <c r="J329" s="376"/>
      <c r="K329" s="376"/>
      <c r="L329" s="376"/>
      <c r="M329" s="236"/>
    </row>
    <row r="330" spans="1:13" ht="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5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5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5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5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5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5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5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5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5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5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ht="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ht="13" x14ac:dyDescent="0.3">
      <c r="A346" s="241"/>
      <c r="B346" s="376"/>
      <c r="C346" s="376"/>
      <c r="D346" s="376"/>
      <c r="E346" s="253"/>
      <c r="F346" s="376"/>
      <c r="G346" s="376"/>
      <c r="H346" s="376"/>
      <c r="I346" s="253"/>
      <c r="J346" s="376"/>
      <c r="K346" s="376"/>
      <c r="L346" s="376"/>
      <c r="M346" s="236"/>
    </row>
    <row r="347" spans="1:13" ht="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5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5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5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5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5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5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5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5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5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5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ht="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ht="13" x14ac:dyDescent="0.3">
      <c r="A363" s="241"/>
      <c r="B363" s="376"/>
      <c r="C363" s="376"/>
      <c r="D363" s="376"/>
      <c r="E363" s="253"/>
      <c r="F363" s="376"/>
      <c r="G363" s="376"/>
      <c r="H363" s="376"/>
      <c r="I363" s="253"/>
      <c r="J363" s="376"/>
      <c r="K363" s="376"/>
      <c r="L363" s="376"/>
      <c r="M363" s="236"/>
    </row>
    <row r="364" spans="1:13" ht="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5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5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5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5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5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5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5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5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5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5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ht="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ht="13" x14ac:dyDescent="0.3">
      <c r="A380" s="241"/>
      <c r="B380" s="376"/>
      <c r="C380" s="376"/>
      <c r="D380" s="376"/>
      <c r="E380" s="253"/>
      <c r="F380" s="376"/>
      <c r="G380" s="376"/>
      <c r="H380" s="376"/>
      <c r="I380" s="253"/>
      <c r="J380" s="376"/>
      <c r="K380" s="376"/>
      <c r="L380" s="376"/>
      <c r="M380" s="236"/>
    </row>
    <row r="381" spans="1:13" ht="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5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5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5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5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5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5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5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5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5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5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5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ht="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ht="13" x14ac:dyDescent="0.3">
      <c r="A397" s="241"/>
      <c r="B397" s="376"/>
      <c r="C397" s="376"/>
      <c r="D397" s="376"/>
      <c r="E397" s="253"/>
      <c r="F397" s="376"/>
      <c r="G397" s="376"/>
      <c r="H397" s="376"/>
      <c r="I397" s="253"/>
      <c r="J397" s="376"/>
      <c r="K397" s="376"/>
      <c r="L397" s="376"/>
      <c r="M397" s="236"/>
    </row>
    <row r="398" spans="1:13" ht="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ht="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5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5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5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5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5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5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5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5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5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5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5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5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5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ht="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ht="13" x14ac:dyDescent="0.3">
      <c r="A414" s="241"/>
      <c r="B414" s="376"/>
      <c r="C414" s="376"/>
      <c r="D414" s="376"/>
      <c r="E414" s="253"/>
      <c r="F414" s="376"/>
      <c r="G414" s="376"/>
      <c r="H414" s="376"/>
      <c r="I414" s="253"/>
      <c r="J414" s="376"/>
      <c r="K414" s="376"/>
      <c r="L414" s="376"/>
      <c r="M414" s="236"/>
    </row>
    <row r="415" spans="1:13" ht="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ht="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5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5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5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5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5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5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5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5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5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5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5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5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5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ht="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ht="13" x14ac:dyDescent="0.3">
      <c r="A431" s="241"/>
      <c r="B431" s="376"/>
      <c r="C431" s="376"/>
      <c r="D431" s="376"/>
      <c r="E431" s="253"/>
      <c r="F431" s="376"/>
      <c r="G431" s="376"/>
      <c r="H431" s="376"/>
      <c r="I431" s="253"/>
      <c r="J431" s="376"/>
      <c r="K431" s="376"/>
      <c r="L431" s="376"/>
      <c r="M431" s="236"/>
    </row>
    <row r="432" spans="1:13" ht="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ht="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5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5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5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5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5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5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5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5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5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5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5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5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5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ht="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ht="13" x14ac:dyDescent="0.3">
      <c r="A448" s="241"/>
      <c r="B448" s="376"/>
      <c r="C448" s="376"/>
      <c r="D448" s="376"/>
      <c r="E448" s="253"/>
      <c r="F448" s="376"/>
      <c r="G448" s="376"/>
      <c r="H448" s="376"/>
      <c r="I448" s="253"/>
      <c r="J448" s="376"/>
      <c r="K448" s="376"/>
      <c r="L448" s="376"/>
      <c r="M448" s="236"/>
    </row>
    <row r="449" spans="1:13" ht="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ht="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5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5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5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5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5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5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5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5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5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5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5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5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5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ht="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ht="13" x14ac:dyDescent="0.3">
      <c r="A465" s="241"/>
      <c r="B465" s="376"/>
      <c r="C465" s="376"/>
      <c r="D465" s="376"/>
      <c r="E465" s="253"/>
      <c r="F465" s="376"/>
      <c r="G465" s="376"/>
      <c r="H465" s="376"/>
      <c r="I465" s="253"/>
      <c r="J465" s="376"/>
      <c r="K465" s="376"/>
      <c r="L465" s="376"/>
      <c r="M465" s="236"/>
    </row>
    <row r="466" spans="1:13" ht="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ht="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5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5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5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5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5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5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5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5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5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5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5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5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5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ht="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ht="13" x14ac:dyDescent="0.3">
      <c r="A482" s="241"/>
      <c r="B482" s="376"/>
      <c r="C482" s="376"/>
      <c r="D482" s="376"/>
      <c r="E482" s="253"/>
      <c r="F482" s="376"/>
      <c r="G482" s="376"/>
      <c r="H482" s="376"/>
      <c r="I482" s="253"/>
      <c r="J482" s="376"/>
      <c r="K482" s="376"/>
      <c r="L482" s="376"/>
      <c r="M482" s="236"/>
    </row>
    <row r="483" spans="1:13" ht="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ht="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5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5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5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5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5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5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5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5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5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5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5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5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5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ht="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ht="13" x14ac:dyDescent="0.3">
      <c r="A499" s="241"/>
      <c r="B499" s="376"/>
      <c r="C499" s="376"/>
      <c r="D499" s="376"/>
      <c r="E499" s="253"/>
      <c r="F499" s="376"/>
      <c r="G499" s="376"/>
      <c r="H499" s="376"/>
      <c r="I499" s="253"/>
      <c r="J499" s="376"/>
      <c r="K499" s="376"/>
      <c r="L499" s="376"/>
      <c r="M499" s="236"/>
    </row>
    <row r="500" spans="1:13" ht="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ht="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5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5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5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5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5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5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5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5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5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5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5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5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5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ht="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ht="13" x14ac:dyDescent="0.3">
      <c r="A516" s="241"/>
      <c r="B516" s="376"/>
      <c r="C516" s="376"/>
      <c r="D516" s="376"/>
      <c r="E516" s="253"/>
      <c r="F516" s="376"/>
      <c r="G516" s="376"/>
      <c r="H516" s="376"/>
      <c r="I516" s="253"/>
      <c r="J516" s="376"/>
      <c r="K516" s="376"/>
      <c r="L516" s="376"/>
      <c r="M516" s="236"/>
    </row>
    <row r="517" spans="1:13" ht="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ht="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5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5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5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5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5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5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5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5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5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5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5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5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5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ht="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ht="13" x14ac:dyDescent="0.3">
      <c r="A533" s="241"/>
      <c r="B533" s="376"/>
      <c r="C533" s="376"/>
      <c r="D533" s="376"/>
      <c r="E533" s="253"/>
      <c r="F533" s="376"/>
      <c r="G533" s="376"/>
      <c r="H533" s="376"/>
      <c r="I533" s="253"/>
      <c r="J533" s="376"/>
      <c r="K533" s="376"/>
      <c r="L533" s="376"/>
      <c r="M533" s="236"/>
    </row>
    <row r="534" spans="1:13" ht="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ht="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5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5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5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5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5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5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5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5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5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5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5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5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5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ht="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ht="13" x14ac:dyDescent="0.3">
      <c r="A550" s="241"/>
      <c r="B550" s="376"/>
      <c r="C550" s="376"/>
      <c r="D550" s="376"/>
      <c r="E550" s="253"/>
      <c r="F550" s="376"/>
      <c r="G550" s="376"/>
      <c r="H550" s="376"/>
      <c r="I550" s="253"/>
      <c r="J550" s="376"/>
      <c r="K550" s="376"/>
      <c r="L550" s="376"/>
      <c r="M550" s="236"/>
    </row>
    <row r="551" spans="1:13" ht="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ht="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5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5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5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5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5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5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5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5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5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5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5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5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5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ht="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ht="13" x14ac:dyDescent="0.3">
      <c r="A567" s="241"/>
      <c r="B567" s="376"/>
      <c r="C567" s="376"/>
      <c r="D567" s="376"/>
      <c r="E567" s="253"/>
      <c r="F567" s="376"/>
      <c r="G567" s="376"/>
      <c r="H567" s="376"/>
      <c r="I567" s="253"/>
      <c r="J567" s="376"/>
      <c r="K567" s="376"/>
      <c r="L567" s="376"/>
      <c r="M567" s="236"/>
    </row>
    <row r="568" spans="1:13" ht="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ht="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5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5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5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5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5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5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5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5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5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5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5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5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5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ht="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ht="13" x14ac:dyDescent="0.3">
      <c r="A584" s="241"/>
      <c r="B584" s="376"/>
      <c r="C584" s="376"/>
      <c r="D584" s="376"/>
      <c r="E584" s="253"/>
      <c r="F584" s="376"/>
      <c r="G584" s="376"/>
      <c r="H584" s="376"/>
      <c r="I584" s="253"/>
      <c r="J584" s="376"/>
      <c r="K584" s="376"/>
      <c r="L584" s="376"/>
      <c r="M584" s="236"/>
    </row>
    <row r="585" spans="1:13" ht="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ht="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5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5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5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5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5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5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5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5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5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5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5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5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5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ht="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ht="13" x14ac:dyDescent="0.3">
      <c r="A601" s="241"/>
      <c r="B601" s="376"/>
      <c r="C601" s="376"/>
      <c r="D601" s="376"/>
      <c r="E601" s="253"/>
      <c r="F601" s="376"/>
      <c r="G601" s="376"/>
      <c r="H601" s="376"/>
      <c r="I601" s="253"/>
      <c r="J601" s="376"/>
      <c r="K601" s="376"/>
      <c r="L601" s="376"/>
      <c r="M601" s="236"/>
    </row>
    <row r="602" spans="1:13" ht="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ht="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5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5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5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5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5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5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5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5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5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5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5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5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5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ht="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ht="13" x14ac:dyDescent="0.3">
      <c r="A618" s="241"/>
      <c r="B618" s="376"/>
      <c r="C618" s="376"/>
      <c r="D618" s="376"/>
      <c r="E618" s="253"/>
      <c r="F618" s="376"/>
      <c r="G618" s="376"/>
      <c r="H618" s="376"/>
      <c r="I618" s="253"/>
      <c r="J618" s="376"/>
      <c r="K618" s="376"/>
      <c r="L618" s="376"/>
      <c r="M618" s="236"/>
    </row>
    <row r="619" spans="1:13" ht="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ht="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5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5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5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5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5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5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5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5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5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5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5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5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5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ht="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ht="13" x14ac:dyDescent="0.3">
      <c r="A635" s="241"/>
      <c r="B635" s="376"/>
      <c r="C635" s="376"/>
      <c r="D635" s="376"/>
      <c r="E635" s="253"/>
      <c r="F635" s="376"/>
      <c r="G635" s="376"/>
      <c r="H635" s="376"/>
      <c r="I635" s="253"/>
      <c r="J635" s="376"/>
      <c r="K635" s="376"/>
      <c r="L635" s="376"/>
      <c r="M635" s="236"/>
    </row>
    <row r="636" spans="1:13" ht="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ht="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5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5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5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5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5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5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5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5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5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5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5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5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5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ht="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ht="13" x14ac:dyDescent="0.3">
      <c r="A652" s="241"/>
      <c r="B652" s="376"/>
      <c r="C652" s="376"/>
      <c r="D652" s="376"/>
      <c r="E652" s="253"/>
      <c r="F652" s="376"/>
      <c r="G652" s="376"/>
      <c r="H652" s="376"/>
      <c r="I652" s="253"/>
      <c r="J652" s="376"/>
      <c r="K652" s="376"/>
      <c r="L652" s="376"/>
      <c r="M652" s="236"/>
    </row>
    <row r="653" spans="1:13" ht="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ht="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5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5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5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5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5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5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5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5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5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5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5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5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5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ht="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ht="13" x14ac:dyDescent="0.3">
      <c r="A669" s="241"/>
      <c r="B669" s="376"/>
      <c r="C669" s="376"/>
      <c r="D669" s="376"/>
      <c r="E669" s="253"/>
      <c r="F669" s="376"/>
      <c r="G669" s="376"/>
      <c r="H669" s="376"/>
      <c r="I669" s="253"/>
      <c r="J669" s="376"/>
      <c r="K669" s="376"/>
      <c r="L669" s="376"/>
      <c r="M669" s="236"/>
    </row>
    <row r="670" spans="1:13" ht="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ht="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5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5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5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5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5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5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5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5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5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5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5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5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5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ht="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ht="13" x14ac:dyDescent="0.3">
      <c r="A686" s="241"/>
      <c r="B686" s="376"/>
      <c r="C686" s="376"/>
      <c r="D686" s="376"/>
      <c r="E686" s="253"/>
      <c r="F686" s="376"/>
      <c r="G686" s="376"/>
      <c r="H686" s="376"/>
      <c r="I686" s="253"/>
      <c r="J686" s="376"/>
      <c r="K686" s="376"/>
      <c r="L686" s="376"/>
      <c r="M686" s="236"/>
    </row>
    <row r="687" spans="1:13" ht="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ht="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5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5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5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5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5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5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5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5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5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5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5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5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5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ht="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ht="13" x14ac:dyDescent="0.3">
      <c r="A703" s="241"/>
      <c r="B703" s="376"/>
      <c r="C703" s="376"/>
      <c r="D703" s="376"/>
      <c r="E703" s="253"/>
      <c r="F703" s="376"/>
      <c r="G703" s="376"/>
      <c r="H703" s="376"/>
      <c r="I703" s="253"/>
      <c r="J703" s="376"/>
      <c r="K703" s="376"/>
      <c r="L703" s="376"/>
      <c r="M703" s="236"/>
    </row>
    <row r="704" spans="1:13" ht="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ht="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5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5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5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5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5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5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5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5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5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5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5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5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5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ht="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ht="13" x14ac:dyDescent="0.3">
      <c r="A720" s="241"/>
      <c r="B720" s="376"/>
      <c r="C720" s="376"/>
      <c r="D720" s="376"/>
      <c r="E720" s="253"/>
      <c r="F720" s="376"/>
      <c r="G720" s="376"/>
      <c r="H720" s="376"/>
      <c r="I720" s="253"/>
      <c r="J720" s="376"/>
      <c r="K720" s="376"/>
      <c r="L720" s="376"/>
      <c r="M720" s="236"/>
    </row>
    <row r="721" spans="1:13" ht="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ht="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5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5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5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5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5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5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5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5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5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5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5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5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5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ht="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ht="13" x14ac:dyDescent="0.3">
      <c r="A737" s="241"/>
      <c r="B737" s="376"/>
      <c r="C737" s="376"/>
      <c r="D737" s="376"/>
      <c r="E737" s="253"/>
      <c r="F737" s="376"/>
      <c r="G737" s="376"/>
      <c r="H737" s="376"/>
      <c r="I737" s="253"/>
      <c r="J737" s="376"/>
      <c r="K737" s="376"/>
      <c r="L737" s="376"/>
      <c r="M737" s="236"/>
    </row>
    <row r="738" spans="1:13" ht="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ht="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5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5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5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5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5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5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5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5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5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5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5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5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5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ht="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ht="13" x14ac:dyDescent="0.3">
      <c r="A754" s="241"/>
      <c r="B754" s="376"/>
      <c r="C754" s="376"/>
      <c r="D754" s="376"/>
      <c r="E754" s="253"/>
      <c r="F754" s="376"/>
      <c r="G754" s="376"/>
      <c r="H754" s="376"/>
      <c r="I754" s="253"/>
      <c r="J754" s="376"/>
      <c r="K754" s="376"/>
      <c r="L754" s="376"/>
      <c r="M754" s="236"/>
    </row>
    <row r="755" spans="1:13" ht="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ht="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5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5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5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5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5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5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5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5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5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5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5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5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5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ht="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ht="13" x14ac:dyDescent="0.3">
      <c r="A771" s="241"/>
      <c r="B771" s="376"/>
      <c r="C771" s="376"/>
      <c r="D771" s="376"/>
      <c r="E771" s="253"/>
      <c r="F771" s="376"/>
      <c r="G771" s="376"/>
      <c r="H771" s="376"/>
      <c r="I771" s="253"/>
      <c r="J771" s="376"/>
      <c r="K771" s="376"/>
      <c r="L771" s="376"/>
      <c r="M771" s="236"/>
    </row>
    <row r="772" spans="1:13" ht="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ht="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5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5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5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5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5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5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5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5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5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5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5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5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5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ht="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ht="13" x14ac:dyDescent="0.3">
      <c r="A788" s="241"/>
      <c r="B788" s="376"/>
      <c r="C788" s="376"/>
      <c r="D788" s="376"/>
      <c r="E788" s="253"/>
      <c r="F788" s="376"/>
      <c r="G788" s="376"/>
      <c r="H788" s="376"/>
      <c r="I788" s="253"/>
      <c r="J788" s="376"/>
      <c r="K788" s="376"/>
      <c r="L788" s="376"/>
      <c r="M788" s="236"/>
    </row>
    <row r="789" spans="1:13" ht="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ht="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5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5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5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5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5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5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5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5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5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5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5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5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5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ht="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ht="13" x14ac:dyDescent="0.3">
      <c r="A805" s="241"/>
      <c r="B805" s="376"/>
      <c r="C805" s="376"/>
      <c r="D805" s="376"/>
      <c r="E805" s="253"/>
      <c r="F805" s="376"/>
      <c r="G805" s="376"/>
      <c r="H805" s="376"/>
      <c r="I805" s="253"/>
      <c r="J805" s="376"/>
      <c r="K805" s="376"/>
      <c r="L805" s="376"/>
      <c r="M805" s="236"/>
    </row>
    <row r="806" spans="1:13" ht="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ht="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5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5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5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5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5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5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5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5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5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5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5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5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5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ht="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ht="13" x14ac:dyDescent="0.3">
      <c r="A822" s="241"/>
      <c r="B822" s="376"/>
      <c r="C822" s="376"/>
      <c r="D822" s="376"/>
      <c r="E822" s="253"/>
      <c r="F822" s="376"/>
      <c r="G822" s="376"/>
      <c r="H822" s="376"/>
      <c r="I822" s="253"/>
      <c r="J822" s="376"/>
      <c r="K822" s="376"/>
      <c r="L822" s="376"/>
      <c r="M822" s="236"/>
    </row>
    <row r="823" spans="1:13" ht="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ht="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5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5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5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5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5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5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5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5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5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5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5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5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5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ht="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ht="13" x14ac:dyDescent="0.3">
      <c r="A839" s="241"/>
      <c r="B839" s="376"/>
      <c r="C839" s="376"/>
      <c r="D839" s="376"/>
      <c r="E839" s="253"/>
      <c r="F839" s="376"/>
      <c r="G839" s="376"/>
      <c r="H839" s="376"/>
      <c r="I839" s="253"/>
      <c r="J839" s="376"/>
      <c r="K839" s="376"/>
      <c r="L839" s="376"/>
      <c r="M839" s="236"/>
    </row>
    <row r="840" spans="1:13" ht="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ht="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5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5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5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5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5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5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5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5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5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5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5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5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5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ht="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ht="13" x14ac:dyDescent="0.3">
      <c r="A856" s="241"/>
      <c r="B856" s="376"/>
      <c r="C856" s="376"/>
      <c r="D856" s="376"/>
      <c r="E856" s="253"/>
      <c r="F856" s="376"/>
      <c r="G856" s="376"/>
      <c r="H856" s="376"/>
      <c r="I856" s="253"/>
      <c r="J856" s="376"/>
      <c r="K856" s="376"/>
      <c r="L856" s="376"/>
      <c r="M856" s="236"/>
    </row>
    <row r="857" spans="1:13" ht="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ht="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5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5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5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5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5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5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5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5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5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5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5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5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5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ht="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ht="13" x14ac:dyDescent="0.3">
      <c r="A873" s="241"/>
      <c r="B873" s="376"/>
      <c r="C873" s="376"/>
      <c r="D873" s="376"/>
      <c r="E873" s="253"/>
      <c r="F873" s="376"/>
      <c r="G873" s="376"/>
      <c r="H873" s="376"/>
      <c r="I873" s="253"/>
      <c r="J873" s="376"/>
      <c r="K873" s="376"/>
      <c r="L873" s="376"/>
      <c r="M873" s="236"/>
    </row>
    <row r="874" spans="1:13" ht="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ht="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5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5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5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5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5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5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5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5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5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5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5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5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5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ht="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ht="13" x14ac:dyDescent="0.3">
      <c r="A890" s="241"/>
      <c r="B890" s="376"/>
      <c r="C890" s="376"/>
      <c r="D890" s="376"/>
      <c r="E890" s="253"/>
      <c r="F890" s="376"/>
      <c r="G890" s="376"/>
      <c r="H890" s="376"/>
      <c r="I890" s="253"/>
      <c r="J890" s="376"/>
      <c r="K890" s="376"/>
      <c r="L890" s="376"/>
      <c r="M890" s="236"/>
    </row>
    <row r="891" spans="1:13" ht="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ht="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5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5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5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5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5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5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5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5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5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5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5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5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5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ht="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ht="13" x14ac:dyDescent="0.3">
      <c r="A907" s="241"/>
      <c r="B907" s="376"/>
      <c r="C907" s="376"/>
      <c r="D907" s="376"/>
      <c r="E907" s="253"/>
      <c r="F907" s="376"/>
      <c r="G907" s="376"/>
      <c r="H907" s="376"/>
      <c r="I907" s="253"/>
      <c r="J907" s="376"/>
      <c r="K907" s="376"/>
      <c r="L907" s="376"/>
      <c r="M907" s="236"/>
    </row>
    <row r="908" spans="1:13" ht="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ht="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5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5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5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5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5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5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5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5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5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5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5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5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5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ht="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ht="13" x14ac:dyDescent="0.3">
      <c r="A924" s="241"/>
      <c r="B924" s="376"/>
      <c r="C924" s="376"/>
      <c r="D924" s="376"/>
      <c r="E924" s="253"/>
      <c r="F924" s="376"/>
      <c r="G924" s="376"/>
      <c r="H924" s="376"/>
      <c r="I924" s="253"/>
      <c r="J924" s="376"/>
      <c r="K924" s="376"/>
      <c r="L924" s="376"/>
      <c r="M924" s="236"/>
    </row>
    <row r="925" spans="1:13" ht="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ht="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5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5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5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5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5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5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5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5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5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5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5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5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5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ht="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ht="13" x14ac:dyDescent="0.3">
      <c r="A941" s="241"/>
      <c r="B941" s="376"/>
      <c r="C941" s="376"/>
      <c r="D941" s="376"/>
      <c r="E941" s="253"/>
      <c r="F941" s="376"/>
      <c r="G941" s="376"/>
      <c r="H941" s="376"/>
      <c r="I941" s="253"/>
      <c r="J941" s="376"/>
      <c r="K941" s="376"/>
      <c r="L941" s="376"/>
      <c r="M941" s="236"/>
    </row>
    <row r="942" spans="1:13" ht="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ht="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5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5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5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5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5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5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5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5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5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5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5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5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5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ht="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ht="13" x14ac:dyDescent="0.3">
      <c r="A958" s="241"/>
      <c r="B958" s="376"/>
      <c r="C958" s="376"/>
      <c r="D958" s="376"/>
      <c r="E958" s="253"/>
      <c r="F958" s="376"/>
      <c r="G958" s="376"/>
      <c r="H958" s="376"/>
      <c r="I958" s="253"/>
      <c r="J958" s="376"/>
      <c r="K958" s="376"/>
      <c r="L958" s="376"/>
      <c r="M958" s="236"/>
    </row>
    <row r="959" spans="1:13" ht="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ht="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5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5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5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5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5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5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5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5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5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5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5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5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5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ht="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ht="13" x14ac:dyDescent="0.3">
      <c r="A975" s="241"/>
      <c r="B975" s="376"/>
      <c r="C975" s="376"/>
      <c r="D975" s="376"/>
      <c r="E975" s="253"/>
      <c r="F975" s="376"/>
      <c r="G975" s="376"/>
      <c r="H975" s="376"/>
      <c r="I975" s="253"/>
      <c r="J975" s="376"/>
      <c r="K975" s="376"/>
      <c r="L975" s="376"/>
      <c r="M975" s="236"/>
    </row>
    <row r="976" spans="1:13" ht="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ht="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5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5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5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5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5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5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5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5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5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5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5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5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5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ht="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ht="13" x14ac:dyDescent="0.3">
      <c r="A992" s="241"/>
      <c r="B992" s="376"/>
      <c r="C992" s="376"/>
      <c r="D992" s="376"/>
      <c r="E992" s="253"/>
      <c r="F992" s="376"/>
      <c r="G992" s="376"/>
      <c r="H992" s="376"/>
      <c r="I992" s="253"/>
      <c r="J992" s="376"/>
      <c r="K992" s="376"/>
      <c r="L992" s="376"/>
      <c r="M992" s="236"/>
    </row>
    <row r="993" spans="1:13" ht="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ht="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5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5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5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5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5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5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5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5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5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5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5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5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5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ht="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ht="13" x14ac:dyDescent="0.3">
      <c r="A1009" s="241"/>
      <c r="B1009" s="376"/>
      <c r="C1009" s="376"/>
      <c r="D1009" s="376"/>
      <c r="E1009" s="253"/>
      <c r="F1009" s="376"/>
      <c r="G1009" s="376"/>
      <c r="H1009" s="376"/>
      <c r="I1009" s="253"/>
      <c r="J1009" s="376"/>
      <c r="K1009" s="376"/>
      <c r="L1009" s="376"/>
      <c r="M1009" s="236"/>
    </row>
    <row r="1010" spans="1:13" ht="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ht="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5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5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5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5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5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5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5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5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5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5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5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5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5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ht="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ht="13" x14ac:dyDescent="0.3">
      <c r="A1026" s="241"/>
      <c r="B1026" s="376"/>
      <c r="C1026" s="376"/>
      <c r="D1026" s="376"/>
      <c r="E1026" s="253"/>
      <c r="F1026" s="376"/>
      <c r="G1026" s="376"/>
      <c r="H1026" s="376"/>
      <c r="I1026" s="253"/>
      <c r="J1026" s="376"/>
      <c r="K1026" s="376"/>
      <c r="L1026" s="376"/>
      <c r="M1026" s="236"/>
    </row>
    <row r="1027" spans="1:13" ht="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ht="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5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5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5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5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5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5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5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5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5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5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5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5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5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ht="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ht="13" x14ac:dyDescent="0.3">
      <c r="A1043" s="241"/>
      <c r="B1043" s="376"/>
      <c r="C1043" s="376"/>
      <c r="D1043" s="376"/>
      <c r="E1043" s="253"/>
      <c r="F1043" s="376"/>
      <c r="G1043" s="376"/>
      <c r="H1043" s="376"/>
      <c r="I1043" s="253"/>
      <c r="J1043" s="376"/>
      <c r="K1043" s="376"/>
      <c r="L1043" s="376"/>
      <c r="M1043" s="236"/>
    </row>
    <row r="1044" spans="1:13" ht="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ht="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5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5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5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5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5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5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5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5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5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5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5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5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5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ht="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ht="13" x14ac:dyDescent="0.3">
      <c r="A1060" s="241"/>
      <c r="B1060" s="376"/>
      <c r="C1060" s="376"/>
      <c r="D1060" s="376"/>
      <c r="E1060" s="253"/>
      <c r="F1060" s="376"/>
      <c r="G1060" s="376"/>
      <c r="H1060" s="376"/>
      <c r="I1060" s="253"/>
      <c r="J1060" s="376"/>
      <c r="K1060" s="376"/>
      <c r="L1060" s="376"/>
      <c r="M1060" s="236"/>
    </row>
    <row r="1061" spans="1:13" ht="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ht="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5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5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5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5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5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5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5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5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5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5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5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5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5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ht="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ht="13" x14ac:dyDescent="0.3">
      <c r="A1077" s="241"/>
      <c r="B1077" s="376"/>
      <c r="C1077" s="376"/>
      <c r="D1077" s="376"/>
      <c r="E1077" s="253"/>
      <c r="F1077" s="376"/>
      <c r="G1077" s="376"/>
      <c r="H1077" s="376"/>
      <c r="I1077" s="253"/>
      <c r="J1077" s="376"/>
      <c r="K1077" s="376"/>
      <c r="L1077" s="376"/>
      <c r="M1077" s="236"/>
    </row>
    <row r="1078" spans="1:13" ht="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ht="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5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5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5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5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5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5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5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5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5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5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5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5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5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ht="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ht="13" x14ac:dyDescent="0.3">
      <c r="A1094" s="241"/>
      <c r="B1094" s="376"/>
      <c r="C1094" s="376"/>
      <c r="D1094" s="376"/>
      <c r="E1094" s="253"/>
      <c r="F1094" s="376"/>
      <c r="G1094" s="376"/>
      <c r="H1094" s="376"/>
      <c r="I1094" s="253"/>
      <c r="J1094" s="376"/>
      <c r="K1094" s="376"/>
      <c r="L1094" s="376"/>
      <c r="M1094" s="236"/>
    </row>
    <row r="1095" spans="1:13" ht="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ht="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5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5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5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5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5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5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5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5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5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5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5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5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5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ht="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ht="13" x14ac:dyDescent="0.3">
      <c r="A1111" s="241"/>
      <c r="B1111" s="376"/>
      <c r="C1111" s="376"/>
      <c r="D1111" s="376"/>
      <c r="E1111" s="253"/>
      <c r="F1111" s="376"/>
      <c r="G1111" s="376"/>
      <c r="H1111" s="376"/>
      <c r="I1111" s="253"/>
      <c r="J1111" s="376"/>
      <c r="K1111" s="376"/>
      <c r="L1111" s="376"/>
      <c r="M1111" s="236"/>
    </row>
    <row r="1112" spans="1:13" ht="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ht="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5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5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5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5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5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5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5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5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5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5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5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5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5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ht="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ht="13" x14ac:dyDescent="0.3">
      <c r="A1128" s="241"/>
      <c r="B1128" s="376"/>
      <c r="C1128" s="376"/>
      <c r="D1128" s="376"/>
      <c r="E1128" s="253"/>
      <c r="F1128" s="376"/>
      <c r="G1128" s="376"/>
      <c r="H1128" s="376"/>
      <c r="I1128" s="253"/>
      <c r="J1128" s="376"/>
      <c r="K1128" s="376"/>
      <c r="L1128" s="376"/>
      <c r="M1128" s="236"/>
    </row>
    <row r="1129" spans="1:13" ht="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ht="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5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5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5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5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5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5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5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5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5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5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5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5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5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ht="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ht="13" x14ac:dyDescent="0.3">
      <c r="A1145" s="241"/>
      <c r="B1145" s="376"/>
      <c r="C1145" s="376"/>
      <c r="D1145" s="376"/>
      <c r="E1145" s="253"/>
      <c r="F1145" s="376"/>
      <c r="G1145" s="376"/>
      <c r="H1145" s="376"/>
      <c r="I1145" s="253"/>
      <c r="J1145" s="376"/>
      <c r="K1145" s="376"/>
      <c r="L1145" s="376"/>
      <c r="M1145" s="236"/>
    </row>
    <row r="1146" spans="1:13" ht="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ht="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5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5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5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5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5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5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5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5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5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5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5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5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5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ht="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ht="13" x14ac:dyDescent="0.3">
      <c r="A1162" s="241"/>
      <c r="B1162" s="376"/>
      <c r="C1162" s="376"/>
      <c r="D1162" s="376"/>
      <c r="E1162" s="253"/>
      <c r="F1162" s="376"/>
      <c r="G1162" s="376"/>
      <c r="H1162" s="376"/>
      <c r="I1162" s="253"/>
      <c r="J1162" s="376"/>
      <c r="K1162" s="376"/>
      <c r="L1162" s="376"/>
      <c r="M1162" s="236"/>
    </row>
    <row r="1163" spans="1:13" ht="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ht="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5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5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5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5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5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5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5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5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5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5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5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5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5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ht="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ht="13" x14ac:dyDescent="0.3">
      <c r="A1179" s="241"/>
      <c r="B1179" s="376"/>
      <c r="C1179" s="376"/>
      <c r="D1179" s="376"/>
      <c r="E1179" s="253"/>
      <c r="F1179" s="376"/>
      <c r="G1179" s="376"/>
      <c r="H1179" s="376"/>
      <c r="I1179" s="253"/>
      <c r="J1179" s="376"/>
      <c r="K1179" s="376"/>
      <c r="L1179" s="376"/>
      <c r="M1179" s="236"/>
    </row>
    <row r="1180" spans="1:13" ht="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ht="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5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5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5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5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5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5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5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5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5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5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5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5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5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ht="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ht="13" x14ac:dyDescent="0.3">
      <c r="A1196" s="241"/>
      <c r="B1196" s="376"/>
      <c r="C1196" s="376"/>
      <c r="D1196" s="376"/>
      <c r="E1196" s="253"/>
      <c r="F1196" s="376"/>
      <c r="G1196" s="376"/>
      <c r="H1196" s="376"/>
      <c r="I1196" s="253"/>
      <c r="J1196" s="376"/>
      <c r="K1196" s="376"/>
      <c r="L1196" s="376"/>
      <c r="M1196" s="236"/>
    </row>
    <row r="1197" spans="1:13" ht="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ht="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5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5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5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5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5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5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5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5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5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5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5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5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5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ht="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ht="13" x14ac:dyDescent="0.3">
      <c r="A1213" s="241"/>
      <c r="B1213" s="376"/>
      <c r="C1213" s="376"/>
      <c r="D1213" s="376"/>
      <c r="E1213" s="253"/>
      <c r="F1213" s="376"/>
      <c r="G1213" s="376"/>
      <c r="H1213" s="376"/>
      <c r="I1213" s="253"/>
      <c r="J1213" s="376"/>
      <c r="K1213" s="376"/>
      <c r="L1213" s="376"/>
      <c r="M1213" s="236"/>
    </row>
    <row r="1214" spans="1:13" ht="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ht="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5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5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5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5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5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5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5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5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5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5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5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5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5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ht="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ht="13" x14ac:dyDescent="0.3">
      <c r="A1230" s="241"/>
      <c r="B1230" s="376"/>
      <c r="C1230" s="376"/>
      <c r="D1230" s="376"/>
      <c r="E1230" s="253"/>
      <c r="F1230" s="376"/>
      <c r="G1230" s="376"/>
      <c r="H1230" s="376"/>
      <c r="I1230" s="253"/>
      <c r="J1230" s="376"/>
      <c r="K1230" s="376"/>
      <c r="L1230" s="376"/>
      <c r="M1230" s="236"/>
    </row>
    <row r="1231" spans="1:13" ht="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ht="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5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5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5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5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5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5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5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5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5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5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5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5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5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ht="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ht="13" x14ac:dyDescent="0.3">
      <c r="A1247" s="241"/>
      <c r="B1247" s="376"/>
      <c r="C1247" s="376"/>
      <c r="D1247" s="376"/>
      <c r="E1247" s="253"/>
      <c r="F1247" s="376"/>
      <c r="G1247" s="376"/>
      <c r="H1247" s="376"/>
      <c r="I1247" s="253"/>
      <c r="J1247" s="376"/>
      <c r="K1247" s="376"/>
      <c r="L1247" s="376"/>
      <c r="M1247" s="236"/>
    </row>
    <row r="1248" spans="1:13" ht="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ht="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5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5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5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5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5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5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5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5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5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5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5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5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5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ht="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ht="13" x14ac:dyDescent="0.3">
      <c r="A1264" s="241"/>
      <c r="B1264" s="376"/>
      <c r="C1264" s="376"/>
      <c r="D1264" s="376"/>
      <c r="E1264" s="253"/>
      <c r="F1264" s="376"/>
      <c r="G1264" s="376"/>
      <c r="H1264" s="376"/>
      <c r="I1264" s="253"/>
      <c r="J1264" s="376"/>
      <c r="K1264" s="376"/>
      <c r="L1264" s="376"/>
      <c r="M1264" s="236"/>
    </row>
    <row r="1265" spans="1:13" ht="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ht="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5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5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5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5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5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5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5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5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5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5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5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5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5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ht="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ht="13" x14ac:dyDescent="0.3">
      <c r="A1281" s="241"/>
      <c r="B1281" s="376"/>
      <c r="C1281" s="376"/>
      <c r="D1281" s="376"/>
      <c r="E1281" s="253"/>
      <c r="F1281" s="376"/>
      <c r="G1281" s="376"/>
      <c r="H1281" s="376"/>
      <c r="I1281" s="253"/>
      <c r="J1281" s="376"/>
      <c r="K1281" s="376"/>
      <c r="L1281" s="376"/>
      <c r="M1281" s="236"/>
    </row>
    <row r="1282" spans="1:13" ht="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ht="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5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5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5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5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5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5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5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5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5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5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5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5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5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ht="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ht="13" x14ac:dyDescent="0.3">
      <c r="A1298" s="241"/>
      <c r="B1298" s="376"/>
      <c r="C1298" s="376"/>
      <c r="D1298" s="376"/>
      <c r="E1298" s="253"/>
      <c r="F1298" s="376"/>
      <c r="G1298" s="376"/>
      <c r="H1298" s="376"/>
      <c r="I1298" s="253"/>
      <c r="J1298" s="376"/>
      <c r="K1298" s="376"/>
      <c r="L1298" s="376"/>
      <c r="M1298" s="236"/>
    </row>
    <row r="1299" spans="1:13" ht="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ht="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5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5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5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5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5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5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5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5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5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5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5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5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9" t="str">
        <f>CONCATENATE("Occupation Table 5  Employment Change by Status (SOC 2020), ",B$5,"-",L$5,", ",Info!B5)</f>
        <v>Occupation Table 5  Employment Change by Status (SOC 2020), 2015-2035, Black Country</v>
      </c>
      <c r="Q1" s="19" t="str">
        <f>CONCATENATE("Occupation Table 5.1  Males: Employment Change by Status (SOC 2020), ",B$5,"-",L$5,", ",Info!B5)</f>
        <v>Occupation Table 5.1  Males: Employment Change by Status (SOC 2020), 2015-2035, Black Country</v>
      </c>
      <c r="AG1" s="19" t="str">
        <f>CONCATENATE("Occupation Table 5.2  Females: Employment Change by Status (SOC 2020), ",R$5,"-",AB$5,", ",Info!B5)</f>
        <v>Occupation Table 5.2  Females: Employment Change by Status (SOC 2020), 2015-2035, Black Country</v>
      </c>
    </row>
    <row r="2" spans="1:47" ht="13" x14ac:dyDescent="0.3">
      <c r="A2" s="1" t="s">
        <v>521</v>
      </c>
    </row>
    <row r="3" spans="1:47" x14ac:dyDescent="0.25">
      <c r="O3" s="16" t="s">
        <v>36</v>
      </c>
      <c r="AE3" s="16" t="s">
        <v>36</v>
      </c>
      <c r="AU3" s="16" t="s">
        <v>36</v>
      </c>
    </row>
    <row r="4" spans="1:47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ht="13" x14ac:dyDescent="0.3">
      <c r="B5" s="379">
        <v>2015</v>
      </c>
      <c r="C5" s="379"/>
      <c r="D5" s="379"/>
      <c r="E5" s="379"/>
      <c r="F5" s="1"/>
      <c r="G5" s="379">
        <v>2020</v>
      </c>
      <c r="H5" s="379"/>
      <c r="I5" s="379"/>
      <c r="J5" s="379"/>
      <c r="K5" s="1"/>
      <c r="L5" s="379">
        <v>2035</v>
      </c>
      <c r="M5" s="379"/>
      <c r="N5" s="379"/>
      <c r="O5" s="379"/>
      <c r="R5" s="379">
        <f>B5</f>
        <v>2015</v>
      </c>
      <c r="S5" s="379"/>
      <c r="T5" s="379"/>
      <c r="U5" s="379"/>
      <c r="V5" s="1"/>
      <c r="W5" s="379">
        <f>G5</f>
        <v>2020</v>
      </c>
      <c r="X5" s="379"/>
      <c r="Y5" s="379"/>
      <c r="Z5" s="379"/>
      <c r="AA5" s="1"/>
      <c r="AB5" s="379">
        <f>L5</f>
        <v>2035</v>
      </c>
      <c r="AC5" s="379"/>
      <c r="AD5" s="379"/>
      <c r="AE5" s="379"/>
      <c r="AH5" s="379">
        <f>B5</f>
        <v>2015</v>
      </c>
      <c r="AI5" s="379"/>
      <c r="AJ5" s="379"/>
      <c r="AK5" s="379"/>
      <c r="AL5" s="1"/>
      <c r="AM5" s="379">
        <f>G5</f>
        <v>2020</v>
      </c>
      <c r="AN5" s="379"/>
      <c r="AO5" s="379"/>
      <c r="AP5" s="379"/>
      <c r="AQ5" s="1"/>
      <c r="AR5" s="379">
        <f>L5</f>
        <v>2035</v>
      </c>
      <c r="AS5" s="379"/>
      <c r="AT5" s="379"/>
      <c r="AU5" s="379"/>
    </row>
    <row r="6" spans="1:47" ht="13" x14ac:dyDescent="0.3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31.133467726633242</v>
      </c>
      <c r="C8" s="11">
        <v>4.2901481335351592</v>
      </c>
      <c r="D8" s="11">
        <v>6.9691047558319577</v>
      </c>
      <c r="E8" s="11">
        <f>SUM(B8:D8)</f>
        <v>42.392720616000361</v>
      </c>
      <c r="F8" s="11"/>
      <c r="G8" s="11">
        <v>33.282767648540492</v>
      </c>
      <c r="H8" s="11">
        <v>6.6628709224389855</v>
      </c>
      <c r="I8" s="11">
        <v>7.8547289213963998</v>
      </c>
      <c r="J8" s="11">
        <f>SUM(G8:I8)</f>
        <v>47.800367492375877</v>
      </c>
      <c r="K8" s="11"/>
      <c r="L8" s="11">
        <v>32.995507163792212</v>
      </c>
      <c r="M8" s="11">
        <v>7.7703462736032822</v>
      </c>
      <c r="N8" s="11">
        <v>8.4603258491387034</v>
      </c>
      <c r="O8" s="11">
        <f>SUM(L8:N8)</f>
        <v>49.226179286534197</v>
      </c>
      <c r="Q8" s="10" t="str">
        <f>name!E4</f>
        <v>Managers, directors and senior officials</v>
      </c>
      <c r="R8" s="11">
        <v>22.219547803074704</v>
      </c>
      <c r="S8" s="11">
        <v>1.8806937793032354</v>
      </c>
      <c r="T8" s="11">
        <v>4.9339832362112359</v>
      </c>
      <c r="U8" s="11">
        <f>SUM(R8:T8)</f>
        <v>29.034224818589177</v>
      </c>
      <c r="V8" s="11"/>
      <c r="W8" s="11">
        <v>22.884150270124206</v>
      </c>
      <c r="X8" s="11">
        <v>3.0139501604199528</v>
      </c>
      <c r="Y8" s="11">
        <v>5.03008488525907</v>
      </c>
      <c r="Z8" s="11">
        <f>SUM(W8:Y8)</f>
        <v>30.928185315803226</v>
      </c>
      <c r="AA8" s="11"/>
      <c r="AB8" s="11">
        <v>21.833356575052683</v>
      </c>
      <c r="AC8" s="11">
        <v>3.2912860829262334</v>
      </c>
      <c r="AD8" s="11">
        <v>5.4463355707770225</v>
      </c>
      <c r="AE8" s="11">
        <f>SUM(AB8:AD8)</f>
        <v>30.570978228755941</v>
      </c>
      <c r="AG8" s="10" t="str">
        <f>name!E4</f>
        <v>Managers, directors and senior officials</v>
      </c>
      <c r="AH8" s="11">
        <v>8.913919923558538</v>
      </c>
      <c r="AI8" s="11">
        <v>2.4094543542319244</v>
      </c>
      <c r="AJ8" s="11">
        <v>2.0351215196207182</v>
      </c>
      <c r="AK8" s="11">
        <f>SUM(AH8:AJ8)</f>
        <v>13.35849579741118</v>
      </c>
      <c r="AL8" s="11"/>
      <c r="AM8" s="11">
        <v>10.398617378416265</v>
      </c>
      <c r="AN8" s="11">
        <v>3.6489207620190309</v>
      </c>
      <c r="AO8" s="11">
        <v>2.8246440361373324</v>
      </c>
      <c r="AP8" s="11">
        <f>SUM(AM8:AO8)</f>
        <v>16.872182176572629</v>
      </c>
      <c r="AQ8" s="11"/>
      <c r="AR8" s="11">
        <v>11.162150588739513</v>
      </c>
      <c r="AS8" s="11">
        <v>4.4790601906770444</v>
      </c>
      <c r="AT8" s="11">
        <v>3.013990278361677</v>
      </c>
      <c r="AU8" s="11">
        <f>SUM(AR8:AT8)</f>
        <v>18.655201057778235</v>
      </c>
    </row>
    <row r="9" spans="1:47" x14ac:dyDescent="0.25">
      <c r="A9" t="str">
        <f>name!E5</f>
        <v>Professional occupations</v>
      </c>
      <c r="B9" s="11">
        <v>60.788175719151361</v>
      </c>
      <c r="C9" s="11">
        <v>17.622403704573049</v>
      </c>
      <c r="D9" s="11">
        <v>9.3033282210359243</v>
      </c>
      <c r="E9" s="11">
        <f t="shared" ref="E9:E18" si="0">SUM(B9:D9)</f>
        <v>87.71390764476034</v>
      </c>
      <c r="F9" s="11"/>
      <c r="G9" s="11">
        <v>70.980159490467202</v>
      </c>
      <c r="H9" s="11">
        <v>21.956036427019846</v>
      </c>
      <c r="I9" s="11">
        <v>10.607637322201459</v>
      </c>
      <c r="J9" s="11">
        <f t="shared" ref="J9:J16" si="1">SUM(G9:I9)</f>
        <v>103.54383323968851</v>
      </c>
      <c r="K9" s="11"/>
      <c r="L9" s="11">
        <v>85.229934199547102</v>
      </c>
      <c r="M9" s="11">
        <v>26.624876266499754</v>
      </c>
      <c r="N9" s="11">
        <v>9.884407032503848</v>
      </c>
      <c r="O9" s="11">
        <f t="shared" ref="O9:O16" si="2">SUM(L9:N9)</f>
        <v>121.7392174985507</v>
      </c>
      <c r="Q9" s="10" t="str">
        <f>name!E5</f>
        <v>Professional occupations</v>
      </c>
      <c r="R9" s="11">
        <v>36.062635435289593</v>
      </c>
      <c r="S9" s="11">
        <v>3.1500377580607148</v>
      </c>
      <c r="T9" s="11">
        <v>6.3217879740466447</v>
      </c>
      <c r="U9" s="11">
        <f t="shared" ref="U9:U16" si="3">SUM(R9:T9)</f>
        <v>45.534461167396948</v>
      </c>
      <c r="V9" s="11"/>
      <c r="W9" s="11">
        <v>40.126867543929812</v>
      </c>
      <c r="X9" s="11">
        <v>4.4641913214266085</v>
      </c>
      <c r="Y9" s="11">
        <v>7.4484871640698449</v>
      </c>
      <c r="Z9" s="11">
        <f t="shared" ref="Z9:Z16" si="4">SUM(W9:Y9)</f>
        <v>52.039546029426269</v>
      </c>
      <c r="AA9" s="11"/>
      <c r="AB9" s="11">
        <v>49.075097221285823</v>
      </c>
      <c r="AC9" s="11">
        <v>6.154863501544825</v>
      </c>
      <c r="AD9" s="11">
        <v>6.5358834087257147</v>
      </c>
      <c r="AE9" s="11">
        <f t="shared" ref="AE9:AE16" si="5">SUM(AB9:AD9)</f>
        <v>61.765844131556364</v>
      </c>
      <c r="AG9" s="10" t="str">
        <f>name!E5</f>
        <v>Professional occupations</v>
      </c>
      <c r="AH9" s="11">
        <v>24.725540283861761</v>
      </c>
      <c r="AI9" s="11">
        <v>14.472365946512333</v>
      </c>
      <c r="AJ9" s="11">
        <v>2.9815402469892835</v>
      </c>
      <c r="AK9" s="11">
        <f t="shared" ref="AK9:AK18" si="6">SUM(AH9:AJ9)</f>
        <v>42.179446477363378</v>
      </c>
      <c r="AL9" s="11"/>
      <c r="AM9" s="11">
        <v>30.853291946537372</v>
      </c>
      <c r="AN9" s="11">
        <v>17.491845105593239</v>
      </c>
      <c r="AO9" s="11">
        <v>3.1591501581316139</v>
      </c>
      <c r="AP9" s="11">
        <f t="shared" ref="AP9:AP18" si="7">SUM(AM9:AO9)</f>
        <v>51.504287210262227</v>
      </c>
      <c r="AQ9" s="11"/>
      <c r="AR9" s="11">
        <v>36.154836978261272</v>
      </c>
      <c r="AS9" s="11">
        <v>20.47001276495493</v>
      </c>
      <c r="AT9" s="11">
        <v>3.3485236237781284</v>
      </c>
      <c r="AU9" s="11">
        <f t="shared" ref="AU9:AU18" si="8">SUM(AR9:AT9)</f>
        <v>59.973373366994331</v>
      </c>
    </row>
    <row r="10" spans="1:47" x14ac:dyDescent="0.25">
      <c r="A10" t="str">
        <f>name!E6</f>
        <v>Associate professional occupations</v>
      </c>
      <c r="B10" s="11">
        <v>37.406265501286313</v>
      </c>
      <c r="C10" s="11">
        <v>11.315431230188345</v>
      </c>
      <c r="D10" s="11">
        <v>7.405688632361775</v>
      </c>
      <c r="E10" s="11">
        <f t="shared" si="0"/>
        <v>56.127385363836432</v>
      </c>
      <c r="F10" s="11"/>
      <c r="G10" s="11">
        <v>40.631885586235995</v>
      </c>
      <c r="H10" s="11">
        <v>13.393550069199675</v>
      </c>
      <c r="I10" s="11">
        <v>6.7901663552149234</v>
      </c>
      <c r="J10" s="11">
        <f t="shared" si="1"/>
        <v>60.815602010650593</v>
      </c>
      <c r="K10" s="11"/>
      <c r="L10" s="11">
        <v>47.136504020032447</v>
      </c>
      <c r="M10" s="11">
        <v>17.290290435750592</v>
      </c>
      <c r="N10" s="11">
        <v>7.0831501966160744</v>
      </c>
      <c r="O10" s="11">
        <f t="shared" si="2"/>
        <v>71.509944652399113</v>
      </c>
      <c r="Q10" s="10" t="str">
        <f>name!E6</f>
        <v>Associate professional occupations</v>
      </c>
      <c r="R10" s="11">
        <v>23.949048777487516</v>
      </c>
      <c r="S10" s="11">
        <v>2.9931229929753664</v>
      </c>
      <c r="T10" s="11">
        <v>4.5030355967707472</v>
      </c>
      <c r="U10" s="11">
        <f t="shared" si="3"/>
        <v>31.445207367233628</v>
      </c>
      <c r="V10" s="11"/>
      <c r="W10" s="11">
        <v>24.544266610331491</v>
      </c>
      <c r="X10" s="11">
        <v>3.9288543078531299</v>
      </c>
      <c r="Y10" s="11">
        <v>4.3679611607666819</v>
      </c>
      <c r="Z10" s="11">
        <f t="shared" si="4"/>
        <v>32.841082078951302</v>
      </c>
      <c r="AA10" s="11"/>
      <c r="AB10" s="11">
        <v>23.697577282735917</v>
      </c>
      <c r="AC10" s="11">
        <v>4.1441361831477241</v>
      </c>
      <c r="AD10" s="11">
        <v>4.6142009240783555</v>
      </c>
      <c r="AE10" s="11">
        <f t="shared" si="5"/>
        <v>32.455914389961997</v>
      </c>
      <c r="AG10" s="10" t="str">
        <f>name!E6</f>
        <v>Associate professional occupations</v>
      </c>
      <c r="AH10" s="11">
        <v>13.457216723798789</v>
      </c>
      <c r="AI10" s="11">
        <v>8.322308237212976</v>
      </c>
      <c r="AJ10" s="11">
        <v>2.9026530355910261</v>
      </c>
      <c r="AK10" s="11">
        <f t="shared" si="6"/>
        <v>24.682177996602793</v>
      </c>
      <c r="AL10" s="11"/>
      <c r="AM10" s="11">
        <v>16.087618975904487</v>
      </c>
      <c r="AN10" s="11">
        <v>9.4646957613465439</v>
      </c>
      <c r="AO10" s="11">
        <v>2.4222051944482397</v>
      </c>
      <c r="AP10" s="11">
        <f t="shared" si="7"/>
        <v>27.97451993169927</v>
      </c>
      <c r="AQ10" s="11"/>
      <c r="AR10" s="11">
        <v>23.438926737296526</v>
      </c>
      <c r="AS10" s="11">
        <v>13.146154252602868</v>
      </c>
      <c r="AT10" s="11">
        <v>2.4689492725377158</v>
      </c>
      <c r="AU10" s="11">
        <f t="shared" si="8"/>
        <v>39.054030262437109</v>
      </c>
    </row>
    <row r="11" spans="1:47" x14ac:dyDescent="0.25">
      <c r="A11" t="str">
        <f>name!E7</f>
        <v>Administrative and secretarial occupations</v>
      </c>
      <c r="B11" s="11">
        <v>33.384017282519288</v>
      </c>
      <c r="C11" s="11">
        <v>24.630183111958107</v>
      </c>
      <c r="D11" s="11">
        <v>2.1237523413864934</v>
      </c>
      <c r="E11" s="11">
        <f t="shared" si="0"/>
        <v>60.137952735863891</v>
      </c>
      <c r="F11" s="11"/>
      <c r="G11" s="11">
        <v>31.524575397802156</v>
      </c>
      <c r="H11" s="11">
        <v>23.339216224237727</v>
      </c>
      <c r="I11" s="11">
        <v>1.6146086611746686</v>
      </c>
      <c r="J11" s="11">
        <f t="shared" si="1"/>
        <v>56.478400283214555</v>
      </c>
      <c r="K11" s="11"/>
      <c r="L11" s="11">
        <v>31.591179016438875</v>
      </c>
      <c r="M11" s="11">
        <v>20.525634016161856</v>
      </c>
      <c r="N11" s="11">
        <v>1.4104578634164717</v>
      </c>
      <c r="O11" s="11">
        <f t="shared" si="2"/>
        <v>53.5272708960172</v>
      </c>
      <c r="Q11" s="10" t="str">
        <f>name!E7</f>
        <v>Administrative and secretarial occupations</v>
      </c>
      <c r="R11" s="11">
        <v>11.999504979802941</v>
      </c>
      <c r="S11" s="11">
        <v>3.9559878528890513</v>
      </c>
      <c r="T11" s="11">
        <v>0.64245569741450126</v>
      </c>
      <c r="U11" s="11">
        <f t="shared" si="3"/>
        <v>16.597948530106493</v>
      </c>
      <c r="V11" s="11"/>
      <c r="W11" s="11">
        <v>12.075394572425957</v>
      </c>
      <c r="X11" s="11">
        <v>4.3493107840337917</v>
      </c>
      <c r="Y11" s="11">
        <v>0.52213680662201167</v>
      </c>
      <c r="Z11" s="11">
        <f t="shared" si="4"/>
        <v>16.946842163081758</v>
      </c>
      <c r="AA11" s="11"/>
      <c r="AB11" s="11">
        <v>15.068123707676616</v>
      </c>
      <c r="AC11" s="11">
        <v>4.6032139457562504</v>
      </c>
      <c r="AD11" s="11">
        <v>0.70197314108942233</v>
      </c>
      <c r="AE11" s="11">
        <f t="shared" si="5"/>
        <v>20.373310794522286</v>
      </c>
      <c r="AG11" s="10" t="str">
        <f>name!E7</f>
        <v>Administrative and secretarial occupations</v>
      </c>
      <c r="AH11" s="11">
        <v>21.384512302716328</v>
      </c>
      <c r="AI11" s="11">
        <v>20.674195259069062</v>
      </c>
      <c r="AJ11" s="11">
        <v>1.4812966439719921</v>
      </c>
      <c r="AK11" s="11">
        <f t="shared" si="6"/>
        <v>43.540004205757384</v>
      </c>
      <c r="AL11" s="11"/>
      <c r="AM11" s="11">
        <v>19.4491808253762</v>
      </c>
      <c r="AN11" s="11">
        <v>18.989905440203938</v>
      </c>
      <c r="AO11" s="11">
        <v>1.0924718545526571</v>
      </c>
      <c r="AP11" s="11">
        <f t="shared" si="7"/>
        <v>39.531558120132793</v>
      </c>
      <c r="AQ11" s="11"/>
      <c r="AR11" s="11">
        <v>16.523055308762252</v>
      </c>
      <c r="AS11" s="11">
        <v>15.922420070405625</v>
      </c>
      <c r="AT11" s="11">
        <v>0.70848472232704851</v>
      </c>
      <c r="AU11" s="11">
        <f t="shared" si="8"/>
        <v>33.153960101494924</v>
      </c>
    </row>
    <row r="12" spans="1:47" x14ac:dyDescent="0.25">
      <c r="A12" t="str">
        <f>name!E8</f>
        <v>Skilled trades occupations</v>
      </c>
      <c r="B12" s="11">
        <v>41.123298791113136</v>
      </c>
      <c r="C12" s="11">
        <v>5.0380135682616238</v>
      </c>
      <c r="D12" s="11">
        <v>15.137415435555569</v>
      </c>
      <c r="E12" s="11">
        <f t="shared" si="0"/>
        <v>61.298727794930329</v>
      </c>
      <c r="F12" s="11"/>
      <c r="G12" s="11">
        <v>31.592653387191238</v>
      </c>
      <c r="H12" s="11">
        <v>4.2057401110957136</v>
      </c>
      <c r="I12" s="11">
        <v>16.434453600766055</v>
      </c>
      <c r="J12" s="11">
        <f t="shared" si="1"/>
        <v>52.232847099053004</v>
      </c>
      <c r="K12" s="11"/>
      <c r="L12" s="11">
        <v>25.117956227388454</v>
      </c>
      <c r="M12" s="11">
        <v>4.950544630095453</v>
      </c>
      <c r="N12" s="11">
        <v>16.694422870269658</v>
      </c>
      <c r="O12" s="11">
        <f t="shared" si="2"/>
        <v>46.762923727753567</v>
      </c>
      <c r="Q12" s="10" t="str">
        <f>name!E8</f>
        <v>Skilled trades occupations</v>
      </c>
      <c r="R12" s="11">
        <v>39.231435721801816</v>
      </c>
      <c r="S12" s="11">
        <v>3.5398536462086629</v>
      </c>
      <c r="T12" s="11">
        <v>13.983219856196914</v>
      </c>
      <c r="U12" s="11">
        <f t="shared" si="3"/>
        <v>56.754509224207396</v>
      </c>
      <c r="V12" s="11"/>
      <c r="W12" s="11">
        <v>29.616581485046542</v>
      </c>
      <c r="X12" s="11">
        <v>2.8226388479442748</v>
      </c>
      <c r="Y12" s="11">
        <v>15.108282037037366</v>
      </c>
      <c r="Z12" s="11">
        <f t="shared" si="4"/>
        <v>47.547502370028184</v>
      </c>
      <c r="AA12" s="11"/>
      <c r="AB12" s="11">
        <v>23.044110825964236</v>
      </c>
      <c r="AC12" s="11">
        <v>3.470557321555702</v>
      </c>
      <c r="AD12" s="11">
        <v>15.164938308000746</v>
      </c>
      <c r="AE12" s="11">
        <f t="shared" si="5"/>
        <v>41.679606455520684</v>
      </c>
      <c r="AG12" s="10" t="str">
        <f>name!E8</f>
        <v>Skilled trades occupations</v>
      </c>
      <c r="AH12" s="11">
        <v>1.8918630693113119</v>
      </c>
      <c r="AI12" s="11">
        <v>1.4981599220529602</v>
      </c>
      <c r="AJ12" s="11">
        <v>1.1541955793586591</v>
      </c>
      <c r="AK12" s="11">
        <f t="shared" si="6"/>
        <v>4.544218570722931</v>
      </c>
      <c r="AL12" s="11"/>
      <c r="AM12" s="11">
        <v>1.9760719021446771</v>
      </c>
      <c r="AN12" s="11">
        <v>1.3831012631514377</v>
      </c>
      <c r="AO12" s="11">
        <v>1.3261715637286784</v>
      </c>
      <c r="AP12" s="11">
        <f t="shared" si="7"/>
        <v>4.6853447290247932</v>
      </c>
      <c r="AQ12" s="11"/>
      <c r="AR12" s="11">
        <v>2.0738454014242151</v>
      </c>
      <c r="AS12" s="11">
        <v>1.4799873085397512</v>
      </c>
      <c r="AT12" s="11">
        <v>1.5294845622689153</v>
      </c>
      <c r="AU12" s="11">
        <f t="shared" si="8"/>
        <v>5.0833172722328817</v>
      </c>
    </row>
    <row r="13" spans="1:47" x14ac:dyDescent="0.25">
      <c r="A13" t="str">
        <f>name!E9</f>
        <v>Caring, leisure and other service occupations</v>
      </c>
      <c r="B13" s="11">
        <v>23.908597302848047</v>
      </c>
      <c r="C13" s="11">
        <v>22.382209060913784</v>
      </c>
      <c r="D13" s="11">
        <v>4.1873862649246911</v>
      </c>
      <c r="E13" s="11">
        <f t="shared" si="0"/>
        <v>50.478192628686521</v>
      </c>
      <c r="F13" s="11"/>
      <c r="G13" s="11">
        <v>23.71483590244987</v>
      </c>
      <c r="H13" s="11">
        <v>22.161845733001073</v>
      </c>
      <c r="I13" s="11">
        <v>3.4612747906834813</v>
      </c>
      <c r="J13" s="11">
        <f t="shared" si="1"/>
        <v>49.337956426134426</v>
      </c>
      <c r="K13" s="11"/>
      <c r="L13" s="11">
        <v>27.434162516742436</v>
      </c>
      <c r="M13" s="11">
        <v>22.070126185350997</v>
      </c>
      <c r="N13" s="11">
        <v>4.4154026286537169</v>
      </c>
      <c r="O13" s="11">
        <f t="shared" si="2"/>
        <v>53.919691330747149</v>
      </c>
      <c r="Q13" s="10" t="str">
        <f>name!E9</f>
        <v>Caring, leisure and other service occupations</v>
      </c>
      <c r="R13" s="11">
        <v>4.7136862455230313</v>
      </c>
      <c r="S13" s="11">
        <v>2.2799655854359964</v>
      </c>
      <c r="T13" s="11">
        <v>0.65534103667151022</v>
      </c>
      <c r="U13" s="11">
        <f t="shared" si="3"/>
        <v>7.6489928676305379</v>
      </c>
      <c r="V13" s="11"/>
      <c r="W13" s="11">
        <v>4.2361274042960373</v>
      </c>
      <c r="X13" s="11">
        <v>2.4685056389518447</v>
      </c>
      <c r="Y13" s="11">
        <v>0.64466879997531956</v>
      </c>
      <c r="Z13" s="11">
        <f t="shared" si="4"/>
        <v>7.349301843223202</v>
      </c>
      <c r="AA13" s="11"/>
      <c r="AB13" s="11">
        <v>4.6021939521415849</v>
      </c>
      <c r="AC13" s="11">
        <v>3.0923074961589325</v>
      </c>
      <c r="AD13" s="11">
        <v>0.97530843623102392</v>
      </c>
      <c r="AE13" s="11">
        <f t="shared" si="5"/>
        <v>8.6698098845315421</v>
      </c>
      <c r="AG13" s="10" t="str">
        <f>name!E9</f>
        <v>Caring, leisure and other service occupations</v>
      </c>
      <c r="AH13" s="11">
        <v>19.194911057325019</v>
      </c>
      <c r="AI13" s="11">
        <v>20.102243475477788</v>
      </c>
      <c r="AJ13" s="11">
        <v>3.5320452282531813</v>
      </c>
      <c r="AK13" s="11">
        <f t="shared" si="6"/>
        <v>42.829199761055989</v>
      </c>
      <c r="AL13" s="11"/>
      <c r="AM13" s="11">
        <v>19.478708498153832</v>
      </c>
      <c r="AN13" s="11">
        <v>19.693340094049233</v>
      </c>
      <c r="AO13" s="11">
        <v>2.8166059907081609</v>
      </c>
      <c r="AP13" s="11">
        <f t="shared" si="7"/>
        <v>41.988654582911231</v>
      </c>
      <c r="AQ13" s="11"/>
      <c r="AR13" s="11">
        <v>22.83196856460086</v>
      </c>
      <c r="AS13" s="11">
        <v>18.977818689192063</v>
      </c>
      <c r="AT13" s="11">
        <v>3.4400941924226935</v>
      </c>
      <c r="AU13" s="11">
        <f t="shared" si="8"/>
        <v>45.24988144621561</v>
      </c>
    </row>
    <row r="14" spans="1:47" x14ac:dyDescent="0.25">
      <c r="A14" t="str">
        <f>name!E10</f>
        <v>Sales and customer service occupations</v>
      </c>
      <c r="B14" s="11">
        <v>15.417470265024585</v>
      </c>
      <c r="C14" s="11">
        <v>25.392019047392633</v>
      </c>
      <c r="D14" s="11">
        <v>2.5030015296730284</v>
      </c>
      <c r="E14" s="11">
        <f t="shared" si="0"/>
        <v>43.312490842090249</v>
      </c>
      <c r="F14" s="11"/>
      <c r="G14" s="11">
        <v>13.698547629359778</v>
      </c>
      <c r="H14" s="11">
        <v>24.073030364519525</v>
      </c>
      <c r="I14" s="11">
        <v>1.5682079469137957</v>
      </c>
      <c r="J14" s="11">
        <f t="shared" si="1"/>
        <v>39.339785940793099</v>
      </c>
      <c r="K14" s="11"/>
      <c r="L14" s="11">
        <v>13.657207584313619</v>
      </c>
      <c r="M14" s="11">
        <v>24.162821852635723</v>
      </c>
      <c r="N14" s="11">
        <v>1.261053367100244</v>
      </c>
      <c r="O14" s="11">
        <f t="shared" si="2"/>
        <v>39.081082804049586</v>
      </c>
      <c r="Q14" s="10" t="str">
        <f>name!E10</f>
        <v>Sales and customer service occupations</v>
      </c>
      <c r="R14" s="11">
        <v>8.6468170645927493</v>
      </c>
      <c r="S14" s="11">
        <v>7.4367926026275981</v>
      </c>
      <c r="T14" s="11">
        <v>1.6155244061194323</v>
      </c>
      <c r="U14" s="11">
        <f t="shared" si="3"/>
        <v>17.699134073339781</v>
      </c>
      <c r="V14" s="11"/>
      <c r="W14" s="11">
        <v>7.7027813014406803</v>
      </c>
      <c r="X14" s="11">
        <v>8.0756087266370962</v>
      </c>
      <c r="Y14" s="11">
        <v>0.94299054035647933</v>
      </c>
      <c r="Z14" s="11">
        <f t="shared" si="4"/>
        <v>16.721380568434256</v>
      </c>
      <c r="AA14" s="11"/>
      <c r="AB14" s="11">
        <v>8.1711002107847364</v>
      </c>
      <c r="AC14" s="11">
        <v>8.7747208439944462</v>
      </c>
      <c r="AD14" s="11">
        <v>0.83262390610970072</v>
      </c>
      <c r="AE14" s="11">
        <f t="shared" si="5"/>
        <v>17.77844496088888</v>
      </c>
      <c r="AG14" s="10" t="str">
        <f>name!E10</f>
        <v>Sales and customer service occupations</v>
      </c>
      <c r="AH14" s="11">
        <v>6.7706532004318438</v>
      </c>
      <c r="AI14" s="11">
        <v>17.955226444765032</v>
      </c>
      <c r="AJ14" s="11">
        <v>0.88747712355359576</v>
      </c>
      <c r="AK14" s="11">
        <f t="shared" si="6"/>
        <v>25.613356768750471</v>
      </c>
      <c r="AL14" s="11"/>
      <c r="AM14" s="11">
        <v>5.9957663279191067</v>
      </c>
      <c r="AN14" s="11">
        <v>15.997421637882429</v>
      </c>
      <c r="AO14" s="11">
        <v>0.62521740655731606</v>
      </c>
      <c r="AP14" s="11">
        <f t="shared" si="7"/>
        <v>22.618405372358851</v>
      </c>
      <c r="AQ14" s="11"/>
      <c r="AR14" s="11">
        <v>5.4861073735288786</v>
      </c>
      <c r="AS14" s="11">
        <v>15.388101008641272</v>
      </c>
      <c r="AT14" s="11">
        <v>0.4284294609905428</v>
      </c>
      <c r="AU14" s="11">
        <f t="shared" si="8"/>
        <v>21.302637843160692</v>
      </c>
    </row>
    <row r="15" spans="1:47" x14ac:dyDescent="0.25">
      <c r="A15" t="str">
        <f>name!E11</f>
        <v>Process, plant and machine operatives</v>
      </c>
      <c r="B15" s="11">
        <v>36.785480741297263</v>
      </c>
      <c r="C15" s="11">
        <v>4.8615916492614248</v>
      </c>
      <c r="D15" s="11">
        <v>5.4936116692184092</v>
      </c>
      <c r="E15" s="11">
        <f t="shared" si="0"/>
        <v>47.140684059777101</v>
      </c>
      <c r="F15" s="11"/>
      <c r="G15" s="11">
        <v>27.940222216185962</v>
      </c>
      <c r="H15" s="11">
        <v>6.2826529822694797</v>
      </c>
      <c r="I15" s="11">
        <v>6.1354991075426133</v>
      </c>
      <c r="J15" s="11">
        <f t="shared" si="1"/>
        <v>40.358374305998055</v>
      </c>
      <c r="K15" s="11"/>
      <c r="L15" s="11">
        <v>25.388529038895168</v>
      </c>
      <c r="M15" s="11">
        <v>7.2839379760158742</v>
      </c>
      <c r="N15" s="11">
        <v>7.5272707176983271</v>
      </c>
      <c r="O15" s="11">
        <f t="shared" si="2"/>
        <v>40.199737732609371</v>
      </c>
      <c r="Q15" s="10" t="str">
        <f>name!E11</f>
        <v>Process, plant and machine operatives</v>
      </c>
      <c r="R15" s="11">
        <v>32.878118713582985</v>
      </c>
      <c r="S15" s="11">
        <v>3.5206065319646913</v>
      </c>
      <c r="T15" s="11">
        <v>5.1423459113900138</v>
      </c>
      <c r="U15" s="11">
        <f t="shared" si="3"/>
        <v>41.54107115693769</v>
      </c>
      <c r="V15" s="11"/>
      <c r="W15" s="11">
        <v>24.812623608438162</v>
      </c>
      <c r="X15" s="11">
        <v>4.8429288663918451</v>
      </c>
      <c r="Y15" s="11">
        <v>5.6531566065131429</v>
      </c>
      <c r="Z15" s="11">
        <f t="shared" si="4"/>
        <v>35.308709081343153</v>
      </c>
      <c r="AA15" s="11"/>
      <c r="AB15" s="11">
        <v>21.827047846719051</v>
      </c>
      <c r="AC15" s="11">
        <v>5.2376587740025444</v>
      </c>
      <c r="AD15" s="11">
        <v>6.9598595413781457</v>
      </c>
      <c r="AE15" s="11">
        <f t="shared" si="5"/>
        <v>34.024566162099738</v>
      </c>
      <c r="AG15" s="10" t="str">
        <f>name!E11</f>
        <v>Process, plant and machine operatives</v>
      </c>
      <c r="AH15" s="11">
        <v>3.9073620277142873</v>
      </c>
      <c r="AI15" s="11">
        <v>1.340985117296728</v>
      </c>
      <c r="AJ15" s="11">
        <v>0.35126575782839881</v>
      </c>
      <c r="AK15" s="11">
        <f t="shared" si="6"/>
        <v>5.5996129028394144</v>
      </c>
      <c r="AL15" s="11"/>
      <c r="AM15" s="11">
        <v>3.1275986077477937</v>
      </c>
      <c r="AN15" s="11">
        <v>1.4397241158776364</v>
      </c>
      <c r="AO15" s="11">
        <v>0.48234250102947179</v>
      </c>
      <c r="AP15" s="11">
        <f t="shared" si="7"/>
        <v>5.0496652246549028</v>
      </c>
      <c r="AQ15" s="11"/>
      <c r="AR15" s="11">
        <v>3.5614811921761085</v>
      </c>
      <c r="AS15" s="11">
        <v>2.0462792020133311</v>
      </c>
      <c r="AT15" s="11">
        <v>0.56741117632018101</v>
      </c>
      <c r="AU15" s="11">
        <f t="shared" si="8"/>
        <v>6.1751715705096206</v>
      </c>
    </row>
    <row r="16" spans="1:47" x14ac:dyDescent="0.25">
      <c r="A16" t="str">
        <f>name!E12</f>
        <v>Elementary occupations</v>
      </c>
      <c r="B16" s="11">
        <v>25.568732646467662</v>
      </c>
      <c r="C16" s="11">
        <v>25.826809890534875</v>
      </c>
      <c r="D16" s="11">
        <v>5.5643957770523169</v>
      </c>
      <c r="E16" s="11">
        <f t="shared" si="0"/>
        <v>56.95993831405486</v>
      </c>
      <c r="F16" s="11"/>
      <c r="G16" s="11">
        <v>19.557269848610304</v>
      </c>
      <c r="H16" s="11">
        <v>22.027755116136472</v>
      </c>
      <c r="I16" s="11">
        <v>4.7018082373451255</v>
      </c>
      <c r="J16" s="11">
        <f t="shared" si="1"/>
        <v>46.286833202091906</v>
      </c>
      <c r="K16" s="11"/>
      <c r="L16" s="11">
        <v>21.077674900787791</v>
      </c>
      <c r="M16" s="11">
        <v>18.86555760400724</v>
      </c>
      <c r="N16" s="11">
        <v>6.0347195665437905</v>
      </c>
      <c r="O16" s="11">
        <f t="shared" si="2"/>
        <v>45.977952071338827</v>
      </c>
      <c r="Q16" s="10" t="str">
        <f>name!E12</f>
        <v>Elementary occupations</v>
      </c>
      <c r="R16" s="11">
        <v>20.431684589112116</v>
      </c>
      <c r="S16" s="11">
        <v>9.0141803229864426</v>
      </c>
      <c r="T16" s="11">
        <v>2.7715883576353875</v>
      </c>
      <c r="U16" s="11">
        <f t="shared" si="3"/>
        <v>32.217453269733944</v>
      </c>
      <c r="V16" s="11"/>
      <c r="W16" s="11">
        <v>15.382033982932754</v>
      </c>
      <c r="X16" s="11">
        <v>7.6914657581308115</v>
      </c>
      <c r="Y16" s="11">
        <v>2.3433552127862951</v>
      </c>
      <c r="Z16" s="11">
        <f t="shared" si="4"/>
        <v>25.41685495384986</v>
      </c>
      <c r="AA16" s="11"/>
      <c r="AB16" s="11">
        <v>16.428062321316762</v>
      </c>
      <c r="AC16" s="11">
        <v>6.6513131358095832</v>
      </c>
      <c r="AD16" s="11">
        <v>3.0466175411696916</v>
      </c>
      <c r="AE16" s="11">
        <f t="shared" si="5"/>
        <v>26.125992998296038</v>
      </c>
      <c r="AG16" s="10" t="str">
        <f>name!E12</f>
        <v>Elementary occupations</v>
      </c>
      <c r="AH16" s="11">
        <v>5.1370480573555586</v>
      </c>
      <c r="AI16" s="11">
        <v>16.812629567548417</v>
      </c>
      <c r="AJ16" s="11">
        <v>2.7928074194169286</v>
      </c>
      <c r="AK16" s="11">
        <f t="shared" si="6"/>
        <v>24.742485044320905</v>
      </c>
      <c r="AL16" s="11"/>
      <c r="AM16" s="11">
        <v>4.1752358656775428</v>
      </c>
      <c r="AN16" s="11">
        <v>14.33628935800566</v>
      </c>
      <c r="AO16" s="11">
        <v>2.3584530245588304</v>
      </c>
      <c r="AP16" s="11">
        <f t="shared" si="7"/>
        <v>20.869978248242031</v>
      </c>
      <c r="AQ16" s="11"/>
      <c r="AR16" s="11">
        <v>4.6496125794710368</v>
      </c>
      <c r="AS16" s="11">
        <v>12.214244468197665</v>
      </c>
      <c r="AT16" s="11">
        <v>2.9881020253740971</v>
      </c>
      <c r="AU16" s="11">
        <f t="shared" si="8"/>
        <v>19.851959073042799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4" t="str">
        <f>name!E3</f>
        <v>All occupations</v>
      </c>
      <c r="B18" s="34">
        <f>SUM(B8:B16)</f>
        <v>305.51550597634088</v>
      </c>
      <c r="C18" s="34">
        <f t="shared" ref="C18:D18" si="9">SUM(C8:C16)</f>
        <v>141.35880939661899</v>
      </c>
      <c r="D18" s="34">
        <f t="shared" si="9"/>
        <v>58.687684627040163</v>
      </c>
      <c r="E18" s="34">
        <f t="shared" si="0"/>
        <v>505.56200000000001</v>
      </c>
      <c r="F18" s="34"/>
      <c r="G18" s="34">
        <f>SUM(G8:G16)</f>
        <v>292.92291710684299</v>
      </c>
      <c r="H18" s="34">
        <f t="shared" ref="H18:I18" si="10">SUM(H8:H16)</f>
        <v>144.10269794991848</v>
      </c>
      <c r="I18" s="34">
        <f t="shared" si="10"/>
        <v>59.168384943238529</v>
      </c>
      <c r="J18" s="34">
        <f t="shared" ref="J18" si="11">SUM(G18:I18)</f>
        <v>496.19400000000002</v>
      </c>
      <c r="K18" s="34"/>
      <c r="L18" s="34">
        <f>SUM(L8:L16)</f>
        <v>309.62865466793806</v>
      </c>
      <c r="M18" s="34">
        <f t="shared" ref="M18:N18" si="12">SUM(M8:M16)</f>
        <v>149.54413524012077</v>
      </c>
      <c r="N18" s="34">
        <f t="shared" si="12"/>
        <v>62.771210091940837</v>
      </c>
      <c r="O18" s="34">
        <f>SUM(L18:N18)</f>
        <v>521.94399999999962</v>
      </c>
      <c r="Q18" s="231" t="str">
        <f>name!E3</f>
        <v>All occupations</v>
      </c>
      <c r="R18" s="34">
        <f>SUM(R8:R16)</f>
        <v>200.13247933026742</v>
      </c>
      <c r="S18" s="34">
        <f t="shared" ref="S18:T18" si="13">SUM(S8:S16)</f>
        <v>37.771241072451758</v>
      </c>
      <c r="T18" s="34">
        <f t="shared" si="13"/>
        <v>40.569282072456389</v>
      </c>
      <c r="U18" s="34">
        <f t="shared" ref="U18" si="14">SUM(R18:T18)</f>
        <v>278.47300247517558</v>
      </c>
      <c r="V18" s="34"/>
      <c r="W18" s="34">
        <f>SUM(W8:W16)</f>
        <v>181.38082677896563</v>
      </c>
      <c r="X18" s="34">
        <f t="shared" ref="X18:Y18" si="15">SUM(X8:X16)</f>
        <v>41.657454411789359</v>
      </c>
      <c r="Y18" s="34">
        <f t="shared" si="15"/>
        <v>42.061123213386203</v>
      </c>
      <c r="Z18" s="34">
        <f t="shared" ref="Z18" si="16">SUM(W18:Y18)</f>
        <v>265.09940440414118</v>
      </c>
      <c r="AA18" s="34"/>
      <c r="AB18" s="34">
        <f>SUM(AB8:AB16)</f>
        <v>183.7466699436774</v>
      </c>
      <c r="AC18" s="34">
        <f t="shared" ref="AC18:AD18" si="17">SUM(AC8:AC16)</f>
        <v>45.420057284896238</v>
      </c>
      <c r="AD18" s="34">
        <f t="shared" si="17"/>
        <v>44.277740777559828</v>
      </c>
      <c r="AE18" s="34">
        <f t="shared" ref="AE18" si="18">SUM(AB18:AD18)</f>
        <v>273.44446800613349</v>
      </c>
      <c r="AG18" s="231" t="str">
        <f>name!E3</f>
        <v>All occupations</v>
      </c>
      <c r="AH18" s="34">
        <f>SUM(AH8:AH16)</f>
        <v>105.38302664607342</v>
      </c>
      <c r="AI18" s="34">
        <f t="shared" ref="AI18:AJ18" si="19">SUM(AI8:AI16)</f>
        <v>103.58756832416722</v>
      </c>
      <c r="AJ18" s="34">
        <f t="shared" si="19"/>
        <v>18.118402554583785</v>
      </c>
      <c r="AK18" s="34">
        <f t="shared" si="6"/>
        <v>227.08899752482444</v>
      </c>
      <c r="AL18" s="34"/>
      <c r="AM18" s="34">
        <f>SUM(AM8:AM16)</f>
        <v>111.5420903278773</v>
      </c>
      <c r="AN18" s="34">
        <f t="shared" ref="AN18:AO18" si="20">SUM(AN8:AN16)</f>
        <v>102.44524353812913</v>
      </c>
      <c r="AO18" s="34">
        <f t="shared" si="20"/>
        <v>17.107261729852304</v>
      </c>
      <c r="AP18" s="34">
        <f t="shared" si="7"/>
        <v>231.09459559585875</v>
      </c>
      <c r="AQ18" s="34"/>
      <c r="AR18" s="34">
        <f>SUM(AR8:AR16)</f>
        <v>125.88198472426066</v>
      </c>
      <c r="AS18" s="34">
        <f t="shared" ref="AS18:AT18" si="21">SUM(AS8:AS16)</f>
        <v>104.12407795522455</v>
      </c>
      <c r="AT18" s="34">
        <f t="shared" si="21"/>
        <v>18.493469314381002</v>
      </c>
      <c r="AU18" s="34">
        <f t="shared" si="8"/>
        <v>248.49953199386621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5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ht="13" x14ac:dyDescent="0.3">
      <c r="B23" s="379">
        <f>B5</f>
        <v>2015</v>
      </c>
      <c r="C23" s="379"/>
      <c r="D23" s="379"/>
      <c r="E23" s="379"/>
      <c r="F23" s="1"/>
      <c r="G23" s="379">
        <f>G5</f>
        <v>2020</v>
      </c>
      <c r="H23" s="379"/>
      <c r="I23" s="379"/>
      <c r="J23" s="379"/>
      <c r="K23" s="1"/>
      <c r="L23" s="379">
        <f>L5</f>
        <v>2035</v>
      </c>
      <c r="M23" s="379"/>
      <c r="N23" s="379"/>
      <c r="O23" s="379"/>
      <c r="R23" s="379">
        <f>R5</f>
        <v>2015</v>
      </c>
      <c r="S23" s="379"/>
      <c r="T23" s="379"/>
      <c r="U23" s="379"/>
      <c r="V23" s="1"/>
      <c r="W23" s="379">
        <f>W5</f>
        <v>2020</v>
      </c>
      <c r="X23" s="379"/>
      <c r="Y23" s="379"/>
      <c r="Z23" s="379"/>
      <c r="AA23" s="1"/>
      <c r="AB23" s="379">
        <f>AB5</f>
        <v>2035</v>
      </c>
      <c r="AC23" s="379"/>
      <c r="AD23" s="379"/>
      <c r="AE23" s="379"/>
      <c r="AH23" s="379">
        <f>AH5</f>
        <v>2015</v>
      </c>
      <c r="AI23" s="379"/>
      <c r="AJ23" s="379"/>
      <c r="AK23" s="379"/>
      <c r="AL23" s="1"/>
      <c r="AM23" s="379">
        <f>AM5</f>
        <v>2020</v>
      </c>
      <c r="AN23" s="379"/>
      <c r="AO23" s="379"/>
      <c r="AP23" s="379"/>
      <c r="AQ23" s="1"/>
      <c r="AR23" s="379">
        <f>AR5</f>
        <v>2035</v>
      </c>
      <c r="AS23" s="379"/>
      <c r="AT23" s="379"/>
      <c r="AU23" s="379"/>
    </row>
    <row r="24" spans="1:47" ht="13" x14ac:dyDescent="0.3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18">
        <f>B8/B$18*100</f>
        <v>10.190470571089188</v>
      </c>
      <c r="C26" s="18">
        <f t="shared" ref="C26:O26" si="22">C8/C$18*100</f>
        <v>3.034935107226342</v>
      </c>
      <c r="D26" s="18">
        <f t="shared" si="22"/>
        <v>11.874901523412571</v>
      </c>
      <c r="E26" s="18">
        <f t="shared" si="22"/>
        <v>8.3852664195490085</v>
      </c>
      <c r="F26" s="18"/>
      <c r="G26" s="18">
        <f t="shared" si="22"/>
        <v>11.362295574982504</v>
      </c>
      <c r="H26" s="18">
        <f t="shared" si="22"/>
        <v>4.6236961675447619</v>
      </c>
      <c r="I26" s="18">
        <f t="shared" si="22"/>
        <v>13.275212647652298</v>
      </c>
      <c r="J26" s="18">
        <f t="shared" si="22"/>
        <v>9.6334029618205523</v>
      </c>
      <c r="K26" s="18"/>
      <c r="L26" s="18">
        <f t="shared" si="22"/>
        <v>10.656477256337375</v>
      </c>
      <c r="M26" s="18">
        <f t="shared" si="22"/>
        <v>5.1960220714283141</v>
      </c>
      <c r="N26" s="18">
        <f t="shared" si="22"/>
        <v>13.47803529157218</v>
      </c>
      <c r="O26" s="18">
        <f t="shared" si="22"/>
        <v>9.4313143338239804</v>
      </c>
      <c r="Q26" t="str">
        <f>$A$8</f>
        <v>Managers, directors and senior officials</v>
      </c>
      <c r="R26" s="18">
        <f>R8/R$18*100</f>
        <v>11.102419695909042</v>
      </c>
      <c r="S26" s="18">
        <f t="shared" ref="S26:U26" si="23">S8/S$18*100</f>
        <v>4.979168610572632</v>
      </c>
      <c r="T26" s="18">
        <f t="shared" si="23"/>
        <v>12.161869730401403</v>
      </c>
      <c r="U26" s="18">
        <f t="shared" si="23"/>
        <v>10.42622608314694</v>
      </c>
      <c r="V26" s="18"/>
      <c r="W26" s="18">
        <f t="shared" ref="W26:Z26" si="24">W8/W$18*100</f>
        <v>12.616631358733024</v>
      </c>
      <c r="X26" s="18">
        <f t="shared" si="24"/>
        <v>7.2350800186364319</v>
      </c>
      <c r="Y26" s="18">
        <f t="shared" si="24"/>
        <v>11.958988493341556</v>
      </c>
      <c r="Z26" s="18">
        <f t="shared" si="24"/>
        <v>11.666637043308306</v>
      </c>
      <c r="AA26" s="18"/>
      <c r="AB26" s="18">
        <f t="shared" ref="AB26:AE26" si="25">AB8/AB$18*100</f>
        <v>11.882314156629402</v>
      </c>
      <c r="AC26" s="18">
        <f t="shared" si="25"/>
        <v>7.2463274589939841</v>
      </c>
      <c r="AD26" s="18">
        <f t="shared" si="25"/>
        <v>12.300391743422582</v>
      </c>
      <c r="AE26" s="18">
        <f t="shared" si="25"/>
        <v>11.179958567700925</v>
      </c>
      <c r="AG26" t="str">
        <f>$A$8</f>
        <v>Managers, directors and senior officials</v>
      </c>
      <c r="AH26" s="18">
        <f>AH8/AH$18*100</f>
        <v>8.4585916795650036</v>
      </c>
      <c r="AI26" s="18">
        <f t="shared" ref="AI26:AK26" si="26">AI8/AI$18*100</f>
        <v>2.3260072547429353</v>
      </c>
      <c r="AJ26" s="18">
        <f t="shared" si="26"/>
        <v>11.232345199802682</v>
      </c>
      <c r="AK26" s="18">
        <f t="shared" si="26"/>
        <v>5.8824936227704665</v>
      </c>
      <c r="AL26" s="18"/>
      <c r="AM26" s="18">
        <f t="shared" ref="AM26:AP26" si="27">AM8/AM$18*100</f>
        <v>9.3225950382044953</v>
      </c>
      <c r="AN26" s="18">
        <f t="shared" si="27"/>
        <v>3.5618254552354478</v>
      </c>
      <c r="AO26" s="18">
        <f t="shared" si="27"/>
        <v>16.511374413640418</v>
      </c>
      <c r="AP26" s="18">
        <f t="shared" si="27"/>
        <v>7.3009851801462817</v>
      </c>
      <c r="AQ26" s="18"/>
      <c r="AR26" s="18">
        <f t="shared" ref="AR26:AU26" si="28">AR8/AR$18*100</f>
        <v>8.8671549095684714</v>
      </c>
      <c r="AS26" s="18">
        <f t="shared" si="28"/>
        <v>4.3016565223301484</v>
      </c>
      <c r="AT26" s="18">
        <f t="shared" si="28"/>
        <v>16.29759255618912</v>
      </c>
      <c r="AU26" s="18">
        <f t="shared" si="28"/>
        <v>7.5071373004592639</v>
      </c>
    </row>
    <row r="27" spans="1:47" x14ac:dyDescent="0.25">
      <c r="A27" t="str">
        <f>$A$9</f>
        <v>Professional occupations</v>
      </c>
      <c r="B27" s="18">
        <f t="shared" ref="B27:B34" si="29">B9/B$18*100</f>
        <v>19.896919969704843</v>
      </c>
      <c r="C27" s="18">
        <f t="shared" ref="C27:O27" si="30">C9/C$18*100</f>
        <v>12.466434727197512</v>
      </c>
      <c r="D27" s="18">
        <f t="shared" si="30"/>
        <v>15.852266587374356</v>
      </c>
      <c r="E27" s="18">
        <f t="shared" si="30"/>
        <v>17.349782547889347</v>
      </c>
      <c r="F27" s="18"/>
      <c r="G27" s="18">
        <f t="shared" si="30"/>
        <v>24.231685315552603</v>
      </c>
      <c r="H27" s="18">
        <f t="shared" si="30"/>
        <v>15.236381233230247</v>
      </c>
      <c r="I27" s="18">
        <f t="shared" si="30"/>
        <v>17.927880459095828</v>
      </c>
      <c r="J27" s="18">
        <f t="shared" si="30"/>
        <v>20.867610902124675</v>
      </c>
      <c r="K27" s="18"/>
      <c r="L27" s="18">
        <f t="shared" si="30"/>
        <v>27.526500830794269</v>
      </c>
      <c r="M27" s="18">
        <f t="shared" si="30"/>
        <v>17.804025696994799</v>
      </c>
      <c r="N27" s="18">
        <f t="shared" si="30"/>
        <v>15.746720539601167</v>
      </c>
      <c r="O27" s="18">
        <f t="shared" si="30"/>
        <v>23.324191388070521</v>
      </c>
      <c r="Q27" t="str">
        <f>$A$9</f>
        <v>Professional occupations</v>
      </c>
      <c r="R27" s="18">
        <f t="shared" ref="R27:U27" si="31">R9/R$18*100</f>
        <v>18.019381739521371</v>
      </c>
      <c r="S27" s="18">
        <f t="shared" si="31"/>
        <v>8.3397782773894011</v>
      </c>
      <c r="T27" s="18">
        <f t="shared" si="31"/>
        <v>15.582696195500786</v>
      </c>
      <c r="U27" s="18">
        <f t="shared" si="31"/>
        <v>16.351481386945618</v>
      </c>
      <c r="V27" s="18"/>
      <c r="W27" s="18">
        <f t="shared" ref="W27:Z27" si="32">W9/W$18*100</f>
        <v>22.1229929626626</v>
      </c>
      <c r="X27" s="18">
        <f t="shared" si="32"/>
        <v>10.716428510723427</v>
      </c>
      <c r="Y27" s="18">
        <f t="shared" si="32"/>
        <v>17.70872148677979</v>
      </c>
      <c r="Z27" s="18">
        <f t="shared" si="32"/>
        <v>19.630201035869753</v>
      </c>
      <c r="AA27" s="18"/>
      <c r="AB27" s="18">
        <f t="shared" ref="AB27:AE27" si="33">AB9/AB$18*100</f>
        <v>26.708019925655506</v>
      </c>
      <c r="AC27" s="18">
        <f t="shared" si="33"/>
        <v>13.550981371376503</v>
      </c>
      <c r="AD27" s="18">
        <f t="shared" si="33"/>
        <v>14.76110409869451</v>
      </c>
      <c r="AE27" s="18">
        <f t="shared" si="33"/>
        <v>22.588075956311148</v>
      </c>
      <c r="AG27" t="str">
        <f>$A$9</f>
        <v>Professional occupations</v>
      </c>
      <c r="AH27" s="18">
        <f t="shared" ref="AH27:AK27" si="34">AH9/AH$18*100</f>
        <v>23.462545222677981</v>
      </c>
      <c r="AI27" s="18">
        <f>AI9/AI$18*100</f>
        <v>13.971141692623259</v>
      </c>
      <c r="AJ27" s="18">
        <f t="shared" si="34"/>
        <v>16.455867110839648</v>
      </c>
      <c r="AK27" s="18">
        <f t="shared" si="34"/>
        <v>18.573971851169276</v>
      </c>
      <c r="AL27" s="18"/>
      <c r="AM27" s="18">
        <f t="shared" ref="AM27:AP27" si="35">AM9/AM$18*100</f>
        <v>27.660672178407548</v>
      </c>
      <c r="AN27" s="18">
        <f t="shared" si="35"/>
        <v>17.074336007686821</v>
      </c>
      <c r="AO27" s="18">
        <f t="shared" si="35"/>
        <v>18.46672020349623</v>
      </c>
      <c r="AP27" s="18">
        <f t="shared" si="35"/>
        <v>22.287101555734171</v>
      </c>
      <c r="AQ27" s="18"/>
      <c r="AR27" s="18">
        <f t="shared" ref="AR27:AU27" si="36">AR9/AR$18*100</f>
        <v>28.721216191067345</v>
      </c>
      <c r="AS27" s="18">
        <f t="shared" si="36"/>
        <v>19.659249970748789</v>
      </c>
      <c r="AT27" s="18">
        <f t="shared" si="36"/>
        <v>18.106519479145156</v>
      </c>
      <c r="AU27" s="18">
        <f t="shared" si="36"/>
        <v>24.134199724961523</v>
      </c>
    </row>
    <row r="28" spans="1:47" x14ac:dyDescent="0.25">
      <c r="A28" t="str">
        <f>$A$10</f>
        <v>Associate professional occupations</v>
      </c>
      <c r="B28" s="18">
        <f t="shared" si="29"/>
        <v>12.24365532012737</v>
      </c>
      <c r="C28" s="18">
        <f t="shared" ref="C28:O28" si="37">C10/C$18*100</f>
        <v>8.0047584430623999</v>
      </c>
      <c r="D28" s="18">
        <f t="shared" si="37"/>
        <v>12.618812071774302</v>
      </c>
      <c r="E28" s="18">
        <f t="shared" si="37"/>
        <v>11.101978662129754</v>
      </c>
      <c r="F28" s="18"/>
      <c r="G28" s="18">
        <f t="shared" si="37"/>
        <v>13.871186996070916</v>
      </c>
      <c r="H28" s="18">
        <f t="shared" si="37"/>
        <v>9.2944478207163588</v>
      </c>
      <c r="I28" s="18">
        <f t="shared" si="37"/>
        <v>11.476004223757116</v>
      </c>
      <c r="J28" s="18">
        <f t="shared" si="37"/>
        <v>12.25641624256855</v>
      </c>
      <c r="K28" s="18"/>
      <c r="L28" s="18">
        <f t="shared" si="37"/>
        <v>15.223559999827566</v>
      </c>
      <c r="M28" s="18">
        <f t="shared" si="37"/>
        <v>11.561998341150478</v>
      </c>
      <c r="N28" s="18">
        <f t="shared" si="37"/>
        <v>11.284074635874315</v>
      </c>
      <c r="O28" s="18">
        <f t="shared" si="37"/>
        <v>13.7006929196234</v>
      </c>
      <c r="Q28" t="str">
        <f>$A$10</f>
        <v>Associate professional occupations</v>
      </c>
      <c r="R28" s="18">
        <f t="shared" ref="R28:U28" si="38">R10/R$18*100</f>
        <v>11.966597754463304</v>
      </c>
      <c r="S28" s="18">
        <f t="shared" si="38"/>
        <v>7.9243437811165389</v>
      </c>
      <c r="T28" s="18">
        <f t="shared" si="38"/>
        <v>11.099618644294381</v>
      </c>
      <c r="U28" s="18">
        <f t="shared" si="38"/>
        <v>11.292012901694772</v>
      </c>
      <c r="V28" s="18"/>
      <c r="W28" s="18">
        <f t="shared" ref="W28:Z28" si="39">W10/W$18*100</f>
        <v>13.531896974006868</v>
      </c>
      <c r="X28" s="18">
        <f t="shared" si="39"/>
        <v>9.431335551653957</v>
      </c>
      <c r="Y28" s="18">
        <f t="shared" si="39"/>
        <v>10.384794382705767</v>
      </c>
      <c r="Z28" s="18">
        <f t="shared" si="39"/>
        <v>12.388214206956658</v>
      </c>
      <c r="AA28" s="18"/>
      <c r="AB28" s="18">
        <f t="shared" ref="AB28:AE28" si="40">AB10/AB$18*100</f>
        <v>12.896874424989454</v>
      </c>
      <c r="AC28" s="18">
        <f t="shared" si="40"/>
        <v>9.1240223612086773</v>
      </c>
      <c r="AD28" s="18">
        <f t="shared" si="40"/>
        <v>10.421039653443327</v>
      </c>
      <c r="AE28" s="18">
        <f t="shared" si="40"/>
        <v>11.86928908330813</v>
      </c>
      <c r="AG28" t="str">
        <f>$A$10</f>
        <v>Associate professional occupations</v>
      </c>
      <c r="AH28" s="18">
        <f t="shared" ref="AH28:AK28" si="41">AH10/AH$18*100</f>
        <v>12.769814221596192</v>
      </c>
      <c r="AI28" s="18">
        <f t="shared" si="41"/>
        <v>8.0340801235618553</v>
      </c>
      <c r="AJ28" s="18">
        <f t="shared" si="41"/>
        <v>16.020468840155459</v>
      </c>
      <c r="AK28" s="18">
        <f t="shared" si="41"/>
        <v>10.868944891927068</v>
      </c>
      <c r="AL28" s="18"/>
      <c r="AM28" s="18">
        <f t="shared" ref="AM28:AP28" si="42">AM10/AM$18*100</f>
        <v>14.422913295434062</v>
      </c>
      <c r="AN28" s="18">
        <f t="shared" si="42"/>
        <v>9.2387849688930412</v>
      </c>
      <c r="AO28" s="18">
        <f t="shared" si="42"/>
        <v>14.158929890114869</v>
      </c>
      <c r="AP28" s="18">
        <f t="shared" si="42"/>
        <v>12.105224641696717</v>
      </c>
      <c r="AQ28" s="18"/>
      <c r="AR28" s="18">
        <f t="shared" ref="AR28:AU28" si="43">AR10/AR$18*100</f>
        <v>18.619762620233974</v>
      </c>
      <c r="AS28" s="18">
        <f t="shared" si="43"/>
        <v>12.625470026496638</v>
      </c>
      <c r="AT28" s="18">
        <f t="shared" si="43"/>
        <v>13.350384563148445</v>
      </c>
      <c r="AU28" s="18">
        <f t="shared" si="43"/>
        <v>15.715937148485693</v>
      </c>
    </row>
    <row r="29" spans="1:47" x14ac:dyDescent="0.25">
      <c r="A29" t="str">
        <f>$A$11</f>
        <v>Administrative and secretarial occupations</v>
      </c>
      <c r="B29" s="18">
        <f t="shared" si="29"/>
        <v>10.927110614511509</v>
      </c>
      <c r="C29" s="18">
        <f t="shared" ref="C29:O29" si="44">C11/C$18*100</f>
        <v>17.423875609231899</v>
      </c>
      <c r="D29" s="18">
        <f t="shared" si="44"/>
        <v>3.618735949259074</v>
      </c>
      <c r="E29" s="18">
        <f t="shared" si="44"/>
        <v>11.895267590496099</v>
      </c>
      <c r="F29" s="18"/>
      <c r="G29" s="18">
        <f t="shared" si="44"/>
        <v>10.762072052663479</v>
      </c>
      <c r="H29" s="18">
        <f t="shared" si="44"/>
        <v>16.196238208079247</v>
      </c>
      <c r="I29" s="18">
        <f t="shared" si="44"/>
        <v>2.7288367981035759</v>
      </c>
      <c r="J29" s="18">
        <f t="shared" si="44"/>
        <v>11.382322293944416</v>
      </c>
      <c r="K29" s="18"/>
      <c r="L29" s="18">
        <f t="shared" si="44"/>
        <v>10.20292487151065</v>
      </c>
      <c r="M29" s="18">
        <f t="shared" si="44"/>
        <v>13.725469061828575</v>
      </c>
      <c r="N29" s="18">
        <f t="shared" si="44"/>
        <v>2.2469821138553447</v>
      </c>
      <c r="O29" s="18">
        <f t="shared" si="44"/>
        <v>10.255366647766282</v>
      </c>
      <c r="Q29" t="str">
        <f>$A$11</f>
        <v>Administrative and secretarial occupations</v>
      </c>
      <c r="R29" s="18">
        <f t="shared" ref="R29:U29" si="45">R11/R$18*100</f>
        <v>5.9957809047080408</v>
      </c>
      <c r="S29" s="18">
        <f t="shared" si="45"/>
        <v>10.473544793777847</v>
      </c>
      <c r="T29" s="18">
        <f t="shared" si="45"/>
        <v>1.5836013471154871</v>
      </c>
      <c r="U29" s="18">
        <f t="shared" si="45"/>
        <v>5.960343869092342</v>
      </c>
      <c r="V29" s="18"/>
      <c r="W29" s="18">
        <f t="shared" ref="W29:Z29" si="46">W11/W$18*100</f>
        <v>6.657481271237824</v>
      </c>
      <c r="X29" s="18">
        <f t="shared" si="46"/>
        <v>10.440654248913745</v>
      </c>
      <c r="Y29" s="18">
        <f t="shared" si="46"/>
        <v>1.2413762798798453</v>
      </c>
      <c r="Z29" s="18">
        <f t="shared" si="46"/>
        <v>6.3926368303892822</v>
      </c>
      <c r="AA29" s="18"/>
      <c r="AB29" s="18">
        <f t="shared" ref="AB29:AE29" si="47">AB11/AB$18*100</f>
        <v>8.2004880481890332</v>
      </c>
      <c r="AC29" s="18">
        <f t="shared" si="47"/>
        <v>10.134760326000251</v>
      </c>
      <c r="AD29" s="18">
        <f t="shared" si="47"/>
        <v>1.5853860851120609</v>
      </c>
      <c r="AE29" s="18">
        <f t="shared" si="47"/>
        <v>7.4506209407261812</v>
      </c>
      <c r="AG29" t="str">
        <f>$A$11</f>
        <v>Administrative and secretarial occupations</v>
      </c>
      <c r="AH29" s="18">
        <f t="shared" ref="AH29:AK29" si="48">AH11/AH$18*100</f>
        <v>20.292178905181519</v>
      </c>
      <c r="AI29" s="18">
        <f t="shared" si="48"/>
        <v>19.958181848975524</v>
      </c>
      <c r="AJ29" s="18">
        <f t="shared" si="48"/>
        <v>8.175647050060924</v>
      </c>
      <c r="AK29" s="18">
        <f t="shared" si="48"/>
        <v>19.173101594672271</v>
      </c>
      <c r="AL29" s="18"/>
      <c r="AM29" s="18">
        <f t="shared" ref="AM29:AP29" si="49">AM11/AM$18*100</f>
        <v>17.436629319215239</v>
      </c>
      <c r="AN29" s="18">
        <f t="shared" si="49"/>
        <v>18.536639461583277</v>
      </c>
      <c r="AO29" s="18">
        <f t="shared" si="49"/>
        <v>6.3860123952291277</v>
      </c>
      <c r="AP29" s="18">
        <f t="shared" si="49"/>
        <v>17.106223543741411</v>
      </c>
      <c r="AQ29" s="18"/>
      <c r="AR29" s="18">
        <f t="shared" ref="AR29:AU29" si="50">AR11/AR$18*100</f>
        <v>13.125829994621812</v>
      </c>
      <c r="AS29" s="18">
        <f t="shared" si="50"/>
        <v>15.29177533485827</v>
      </c>
      <c r="AT29" s="18">
        <f t="shared" si="50"/>
        <v>3.8309995289856853</v>
      </c>
      <c r="AU29" s="18">
        <f t="shared" si="50"/>
        <v>13.341658970332897</v>
      </c>
    </row>
    <row r="30" spans="1:47" x14ac:dyDescent="0.25">
      <c r="A30" t="str">
        <f>$A$12</f>
        <v>Skilled trades occupations</v>
      </c>
      <c r="B30" s="18">
        <f t="shared" si="29"/>
        <v>13.460298409304869</v>
      </c>
      <c r="C30" s="18">
        <f t="shared" ref="C30:O30" si="51">C12/C$18*100</f>
        <v>3.5639898141234077</v>
      </c>
      <c r="D30" s="18">
        <f t="shared" si="51"/>
        <v>25.793171994693164</v>
      </c>
      <c r="E30" s="18">
        <f t="shared" si="51"/>
        <v>12.124868521552317</v>
      </c>
      <c r="F30" s="18"/>
      <c r="G30" s="18">
        <f t="shared" si="51"/>
        <v>10.785312975586642</v>
      </c>
      <c r="H30" s="18">
        <f t="shared" si="51"/>
        <v>2.9185713875790018</v>
      </c>
      <c r="I30" s="18">
        <f t="shared" si="51"/>
        <v>27.775734653788458</v>
      </c>
      <c r="J30" s="18">
        <f t="shared" si="51"/>
        <v>10.526698649933897</v>
      </c>
      <c r="K30" s="18"/>
      <c r="L30" s="18">
        <f t="shared" si="51"/>
        <v>8.1122841341432892</v>
      </c>
      <c r="M30" s="18">
        <f t="shared" si="51"/>
        <v>3.3104237903722793</v>
      </c>
      <c r="N30" s="18">
        <f t="shared" si="51"/>
        <v>26.595668373793302</v>
      </c>
      <c r="O30" s="18">
        <f t="shared" si="51"/>
        <v>8.9593756663078032</v>
      </c>
      <c r="Q30" t="str">
        <f>$A$12</f>
        <v>Skilled trades occupations</v>
      </c>
      <c r="R30" s="18">
        <f t="shared" ref="R30:U30" si="52">R12/R$18*100</f>
        <v>19.602733076154209</v>
      </c>
      <c r="S30" s="18">
        <f t="shared" si="52"/>
        <v>9.3718224387136573</v>
      </c>
      <c r="T30" s="18">
        <f t="shared" si="52"/>
        <v>34.467506304950149</v>
      </c>
      <c r="U30" s="18">
        <f t="shared" si="52"/>
        <v>20.380614537047183</v>
      </c>
      <c r="V30" s="18"/>
      <c r="W30" s="18">
        <f t="shared" ref="W30:Z30" si="53">W12/W$18*100</f>
        <v>16.328397003690974</v>
      </c>
      <c r="X30" s="18">
        <f t="shared" si="53"/>
        <v>6.7758313315118173</v>
      </c>
      <c r="Y30" s="18">
        <f t="shared" si="53"/>
        <v>35.919825441630302</v>
      </c>
      <c r="Z30" s="18">
        <f t="shared" si="53"/>
        <v>17.935725837219358</v>
      </c>
      <c r="AA30" s="18"/>
      <c r="AB30" s="18">
        <f t="shared" ref="AB30:AE30" si="54">AB12/AB$18*100</f>
        <v>12.541239976228024</v>
      </c>
      <c r="AC30" s="18">
        <f t="shared" si="54"/>
        <v>7.6410236556654105</v>
      </c>
      <c r="AD30" s="18">
        <f t="shared" si="54"/>
        <v>34.24957561449569</v>
      </c>
      <c r="AE30" s="18">
        <f t="shared" si="54"/>
        <v>15.24243908075178</v>
      </c>
      <c r="AG30" t="str">
        <f>$A$12</f>
        <v>Skilled trades occupations</v>
      </c>
      <c r="AH30" s="18">
        <f t="shared" ref="AH30:AK30" si="55">AH12/AH$18*100</f>
        <v>1.7952255970642146</v>
      </c>
      <c r="AI30" s="18">
        <f t="shared" si="55"/>
        <v>1.4462738591996043</v>
      </c>
      <c r="AJ30" s="18">
        <f t="shared" si="55"/>
        <v>6.3702943782240808</v>
      </c>
      <c r="AK30" s="18">
        <f t="shared" si="55"/>
        <v>2.0010738610205787</v>
      </c>
      <c r="AL30" s="18"/>
      <c r="AM30" s="18">
        <f t="shared" ref="AM30:AP30" si="56">AM12/AM$18*100</f>
        <v>1.7715930339264985</v>
      </c>
      <c r="AN30" s="18">
        <f t="shared" si="56"/>
        <v>1.3500883158491011</v>
      </c>
      <c r="AO30" s="18">
        <f t="shared" si="56"/>
        <v>7.7520972360789848</v>
      </c>
      <c r="AP30" s="18">
        <f t="shared" si="56"/>
        <v>2.0274575080148503</v>
      </c>
      <c r="AQ30" s="18"/>
      <c r="AR30" s="18">
        <f t="shared" ref="AR30:AU30" si="57">AR12/AR$18*100</f>
        <v>1.6474521004470091</v>
      </c>
      <c r="AS30" s="18">
        <f t="shared" si="57"/>
        <v>1.4213689452080196</v>
      </c>
      <c r="AT30" s="18">
        <f t="shared" si="57"/>
        <v>8.2704036558437863</v>
      </c>
      <c r="AU30" s="18">
        <f t="shared" si="57"/>
        <v>2.0456043645017226</v>
      </c>
    </row>
    <row r="31" spans="1:47" x14ac:dyDescent="0.25">
      <c r="A31" t="str">
        <f>$A$13</f>
        <v>Caring, leisure and other service occupations</v>
      </c>
      <c r="B31" s="18">
        <f t="shared" si="29"/>
        <v>7.8256575640712427</v>
      </c>
      <c r="C31" s="18">
        <f t="shared" ref="C31:O31" si="58">C13/C$18*100</f>
        <v>15.833614584369244</v>
      </c>
      <c r="D31" s="18">
        <f t="shared" si="58"/>
        <v>7.1350340221044712</v>
      </c>
      <c r="E31" s="18">
        <f t="shared" si="58"/>
        <v>9.9845701671974005</v>
      </c>
      <c r="F31" s="18"/>
      <c r="G31" s="18">
        <f t="shared" si="58"/>
        <v>8.0959305392278118</v>
      </c>
      <c r="H31" s="18">
        <f t="shared" si="58"/>
        <v>15.379202505079546</v>
      </c>
      <c r="I31" s="18">
        <f t="shared" si="58"/>
        <v>5.8498720118927618</v>
      </c>
      <c r="J31" s="18">
        <f t="shared" si="58"/>
        <v>9.9432795290016465</v>
      </c>
      <c r="K31" s="18"/>
      <c r="L31" s="18">
        <f t="shared" si="58"/>
        <v>8.8603435448066854</v>
      </c>
      <c r="M31" s="18">
        <f t="shared" si="58"/>
        <v>14.758269289473189</v>
      </c>
      <c r="N31" s="18">
        <f t="shared" si="58"/>
        <v>7.0341206138713712</v>
      </c>
      <c r="O31" s="18">
        <f t="shared" si="58"/>
        <v>10.33055104201738</v>
      </c>
      <c r="Q31" t="str">
        <f>$A$13</f>
        <v>Caring, leisure and other service occupations</v>
      </c>
      <c r="R31" s="18">
        <f t="shared" ref="R31:U31" si="59">R13/R$18*100</f>
        <v>2.3552829911951965</v>
      </c>
      <c r="S31" s="18">
        <f t="shared" si="59"/>
        <v>6.0362474747986941</v>
      </c>
      <c r="T31" s="18">
        <f t="shared" si="59"/>
        <v>1.6153626665147212</v>
      </c>
      <c r="U31" s="18">
        <f t="shared" si="59"/>
        <v>2.746762809910956</v>
      </c>
      <c r="V31" s="18"/>
      <c r="W31" s="18">
        <f t="shared" ref="W31:Z31" si="60">W13/W$18*100</f>
        <v>2.3354879782625915</v>
      </c>
      <c r="X31" s="18">
        <f t="shared" si="60"/>
        <v>5.9257236761285155</v>
      </c>
      <c r="Y31" s="18">
        <f t="shared" si="60"/>
        <v>1.5326951605756212</v>
      </c>
      <c r="Z31" s="18">
        <f t="shared" si="60"/>
        <v>2.7722815370868474</v>
      </c>
      <c r="AA31" s="18"/>
      <c r="AB31" s="18">
        <f t="shared" ref="AB31:AE31" si="61">AB13/AB$18*100</f>
        <v>2.5046407390959864</v>
      </c>
      <c r="AC31" s="18">
        <f t="shared" si="61"/>
        <v>6.8082421753951268</v>
      </c>
      <c r="AD31" s="18">
        <f t="shared" si="61"/>
        <v>2.2027059626432317</v>
      </c>
      <c r="AE31" s="18">
        <f t="shared" si="61"/>
        <v>3.1705925330100566</v>
      </c>
      <c r="AG31" t="str">
        <f>$A$13</f>
        <v>Caring, leisure and other service occupations</v>
      </c>
      <c r="AH31" s="18">
        <f t="shared" ref="AH31:AK31" si="62">AH13/AH$18*100</f>
        <v>18.214423772236781</v>
      </c>
      <c r="AI31" s="18">
        <f t="shared" si="62"/>
        <v>19.406038582322712</v>
      </c>
      <c r="AJ31" s="18">
        <f t="shared" si="62"/>
        <v>19.494241932270167</v>
      </c>
      <c r="AK31" s="18">
        <f t="shared" si="62"/>
        <v>18.860094600740872</v>
      </c>
      <c r="AL31" s="18"/>
      <c r="AM31" s="18">
        <f t="shared" ref="AM31:AP31" si="63">AM13/AM$18*100</f>
        <v>17.463101543907133</v>
      </c>
      <c r="AN31" s="18">
        <f t="shared" si="63"/>
        <v>19.223283984599597</v>
      </c>
      <c r="AO31" s="18">
        <f t="shared" si="63"/>
        <v>16.464388253282884</v>
      </c>
      <c r="AP31" s="18">
        <f t="shared" si="63"/>
        <v>18.169466263218695</v>
      </c>
      <c r="AQ31" s="18"/>
      <c r="AR31" s="18">
        <f t="shared" ref="AR31:AU31" si="64">AR13/AR$18*100</f>
        <v>18.137598175476302</v>
      </c>
      <c r="AS31" s="18">
        <f t="shared" si="64"/>
        <v>18.226157735920513</v>
      </c>
      <c r="AT31" s="18">
        <f t="shared" si="64"/>
        <v>18.601670319087109</v>
      </c>
      <c r="AU31" s="18">
        <f t="shared" si="64"/>
        <v>18.20924211935036</v>
      </c>
    </row>
    <row r="32" spans="1:47" x14ac:dyDescent="0.25">
      <c r="A32" t="str">
        <f>$A$14</f>
        <v>Sales and customer service occupations</v>
      </c>
      <c r="B32" s="18">
        <f t="shared" si="29"/>
        <v>5.0463789769866914</v>
      </c>
      <c r="C32" s="18">
        <f t="shared" ref="C32:O32" si="65">C14/C$18*100</f>
        <v>17.962813322902786</v>
      </c>
      <c r="D32" s="18">
        <f t="shared" si="65"/>
        <v>4.2649519155161535</v>
      </c>
      <c r="E32" s="18">
        <f t="shared" si="65"/>
        <v>8.5671966726316935</v>
      </c>
      <c r="F32" s="18"/>
      <c r="G32" s="18">
        <f t="shared" si="65"/>
        <v>4.6765025299687508</v>
      </c>
      <c r="H32" s="18">
        <f t="shared" si="65"/>
        <v>16.705468188309617</v>
      </c>
      <c r="I32" s="18">
        <f t="shared" si="65"/>
        <v>2.650415333151666</v>
      </c>
      <c r="J32" s="18">
        <f t="shared" si="65"/>
        <v>7.9283074645789942</v>
      </c>
      <c r="K32" s="18"/>
      <c r="L32" s="18">
        <f t="shared" si="65"/>
        <v>4.4108345201319699</v>
      </c>
      <c r="M32" s="18">
        <f t="shared" si="65"/>
        <v>16.157652597902182</v>
      </c>
      <c r="N32" s="18">
        <f t="shared" si="65"/>
        <v>2.0089677501089787</v>
      </c>
      <c r="O32" s="18">
        <f t="shared" si="65"/>
        <v>7.4876007395524455</v>
      </c>
      <c r="Q32" t="str">
        <f>$A$14</f>
        <v>Sales and customer service occupations</v>
      </c>
      <c r="R32" s="18">
        <f t="shared" ref="R32:U32" si="66">R14/R$18*100</f>
        <v>4.3205466166855366</v>
      </c>
      <c r="S32" s="18">
        <f t="shared" si="66"/>
        <v>19.68903427971177</v>
      </c>
      <c r="T32" s="18">
        <f t="shared" si="66"/>
        <v>3.9821370347005884</v>
      </c>
      <c r="U32" s="18">
        <f t="shared" si="66"/>
        <v>6.3557809611786569</v>
      </c>
      <c r="V32" s="18"/>
      <c r="W32" s="18">
        <f t="shared" ref="W32:Z32" si="67">W14/W$18*100</f>
        <v>4.246745060230344</v>
      </c>
      <c r="X32" s="18">
        <f t="shared" si="67"/>
        <v>19.385747018549555</v>
      </c>
      <c r="Y32" s="18">
        <f t="shared" si="67"/>
        <v>2.241952825587803</v>
      </c>
      <c r="Z32" s="18">
        <f t="shared" si="67"/>
        <v>6.3075888857685598</v>
      </c>
      <c r="AA32" s="18"/>
      <c r="AB32" s="18">
        <f>AB14/AB$18*100</f>
        <v>4.446937848337261</v>
      </c>
      <c r="AC32" s="18">
        <f t="shared" ref="AC32:AE32" si="68">AC14/AC$18*100</f>
        <v>19.319043983047436</v>
      </c>
      <c r="AD32" s="18">
        <f t="shared" si="68"/>
        <v>1.8804570682424668</v>
      </c>
      <c r="AE32" s="18">
        <f t="shared" si="68"/>
        <v>6.5016656180771957</v>
      </c>
      <c r="AG32" t="str">
        <f>$A$14</f>
        <v>Sales and customer service occupations</v>
      </c>
      <c r="AH32" s="18">
        <f t="shared" ref="AH32:AK32" si="69">AH14/AH$18*100</f>
        <v>6.424804274383705</v>
      </c>
      <c r="AI32" s="18">
        <f t="shared" si="69"/>
        <v>17.333379608425499</v>
      </c>
      <c r="AJ32" s="18">
        <f t="shared" si="69"/>
        <v>4.8982084423831971</v>
      </c>
      <c r="AK32" s="18">
        <f t="shared" si="69"/>
        <v>11.27899504067806</v>
      </c>
      <c r="AL32" s="18"/>
      <c r="AM32" s="18">
        <f t="shared" ref="AM32:AP32" si="70">AM14/AM$18*100</f>
        <v>5.3753397576597211</v>
      </c>
      <c r="AN32" s="18">
        <f t="shared" si="70"/>
        <v>15.615582613094519</v>
      </c>
      <c r="AO32" s="18">
        <f t="shared" si="70"/>
        <v>3.6546901335256177</v>
      </c>
      <c r="AP32" s="18">
        <f t="shared" si="70"/>
        <v>9.7875094456619038</v>
      </c>
      <c r="AQ32" s="18"/>
      <c r="AR32" s="18">
        <f t="shared" ref="AR32:AU32" si="71">AR14/AR$18*100</f>
        <v>4.358135427834231</v>
      </c>
      <c r="AS32" s="18">
        <f t="shared" si="71"/>
        <v>14.778619230855004</v>
      </c>
      <c r="AT32" s="18">
        <f t="shared" si="71"/>
        <v>2.3166527259294982</v>
      </c>
      <c r="AU32" s="18">
        <f t="shared" si="71"/>
        <v>8.5725062225415023</v>
      </c>
    </row>
    <row r="33" spans="1:47" x14ac:dyDescent="0.25">
      <c r="A33" t="str">
        <f>$A$15</f>
        <v>Process, plant and machine operatives</v>
      </c>
      <c r="B33" s="18">
        <f t="shared" si="29"/>
        <v>12.040462765953992</v>
      </c>
      <c r="C33" s="18">
        <f t="shared" ref="C33:O33" si="72">C15/C$18*100</f>
        <v>3.4391854812677161</v>
      </c>
      <c r="D33" s="18">
        <f t="shared" si="72"/>
        <v>9.3607572084846655</v>
      </c>
      <c r="E33" s="18">
        <f t="shared" si="72"/>
        <v>9.3244120522857923</v>
      </c>
      <c r="F33" s="18"/>
      <c r="G33" s="18">
        <f t="shared" si="72"/>
        <v>9.5384214018307176</v>
      </c>
      <c r="H33" s="18">
        <f t="shared" si="72"/>
        <v>4.3598441053844503</v>
      </c>
      <c r="I33" s="18">
        <f t="shared" si="72"/>
        <v>10.369556501210107</v>
      </c>
      <c r="J33" s="18">
        <f t="shared" si="72"/>
        <v>8.1335877310080438</v>
      </c>
      <c r="K33" s="18"/>
      <c r="L33" s="18">
        <f t="shared" si="72"/>
        <v>8.1996703651744216</v>
      </c>
      <c r="M33" s="18">
        <f t="shared" si="72"/>
        <v>4.8707613737711375</v>
      </c>
      <c r="N33" s="18">
        <f t="shared" si="72"/>
        <v>11.991597273133896</v>
      </c>
      <c r="O33" s="18">
        <f t="shared" si="72"/>
        <v>7.7019254426929713</v>
      </c>
      <c r="Q33" t="str">
        <f>$A$15</f>
        <v>Process, plant and machine operatives</v>
      </c>
      <c r="R33" s="18">
        <f t="shared" ref="R33:U33" si="73">R15/R$18*100</f>
        <v>16.428177387102703</v>
      </c>
      <c r="S33" s="18">
        <f t="shared" si="73"/>
        <v>9.3208653780042887</v>
      </c>
      <c r="T33" s="18">
        <f t="shared" si="73"/>
        <v>12.675466877145688</v>
      </c>
      <c r="U33" s="18">
        <f t="shared" si="73"/>
        <v>14.917450089489684</v>
      </c>
      <c r="V33" s="18"/>
      <c r="W33" s="18">
        <f t="shared" ref="W33:Z33" si="74">W15/W$18*100</f>
        <v>13.679849215085635</v>
      </c>
      <c r="X33" s="18">
        <f t="shared" si="74"/>
        <v>11.625599631026089</v>
      </c>
      <c r="Y33" s="18">
        <f t="shared" si="74"/>
        <v>13.440336763793297</v>
      </c>
      <c r="Z33" s="18">
        <f t="shared" si="74"/>
        <v>13.319045043011643</v>
      </c>
      <c r="AA33" s="18"/>
      <c r="AB33" s="18">
        <f t="shared" ref="AB33:AE33" si="75">AB15/AB$18*100</f>
        <v>11.878880772864916</v>
      </c>
      <c r="AC33" s="18">
        <f t="shared" si="75"/>
        <v>11.531598784980506</v>
      </c>
      <c r="AD33" s="18">
        <f t="shared" si="75"/>
        <v>15.718641961302227</v>
      </c>
      <c r="AE33" s="18">
        <f t="shared" si="75"/>
        <v>12.442952827020274</v>
      </c>
      <c r="AG33" t="str">
        <f>$A$15</f>
        <v>Process, plant and machine operatives</v>
      </c>
      <c r="AH33" s="18">
        <f t="shared" ref="AH33:AK33" si="76">AH15/AH$18*100</f>
        <v>3.7077716896830806</v>
      </c>
      <c r="AI33" s="18">
        <f t="shared" si="76"/>
        <v>1.2945425199095759</v>
      </c>
      <c r="AJ33" s="18">
        <f t="shared" si="76"/>
        <v>1.9387236638007688</v>
      </c>
      <c r="AK33" s="18">
        <f t="shared" si="76"/>
        <v>2.4658230754782773</v>
      </c>
      <c r="AL33" s="18"/>
      <c r="AM33" s="18">
        <f t="shared" ref="AM33:AP33" si="77">AM15/AM$18*100</f>
        <v>2.8039627001378911</v>
      </c>
      <c r="AN33" s="18">
        <f t="shared" si="77"/>
        <v>1.4053596498521523</v>
      </c>
      <c r="AO33" s="18">
        <f t="shared" si="77"/>
        <v>2.8195190361048863</v>
      </c>
      <c r="AP33" s="18">
        <f t="shared" si="77"/>
        <v>2.1851074498885397</v>
      </c>
      <c r="AQ33" s="18"/>
      <c r="AR33" s="18">
        <f t="shared" ref="AR33:AU33" si="78">AR15/AR$18*100</f>
        <v>2.8292223068911628</v>
      </c>
      <c r="AS33" s="18">
        <f t="shared" si="78"/>
        <v>1.965231522043607</v>
      </c>
      <c r="AT33" s="18">
        <f t="shared" si="78"/>
        <v>3.0681705345516073</v>
      </c>
      <c r="AU33" s="18">
        <f t="shared" si="78"/>
        <v>2.4849831792287014</v>
      </c>
    </row>
    <row r="34" spans="1:47" x14ac:dyDescent="0.25">
      <c r="A34" t="str">
        <f>$A$16</f>
        <v>Elementary occupations</v>
      </c>
      <c r="B34" s="18">
        <f t="shared" si="29"/>
        <v>8.3690458082503039</v>
      </c>
      <c r="C34" s="18">
        <f t="shared" ref="C34:O34" si="79">C16/C$18*100</f>
        <v>18.2703929106187</v>
      </c>
      <c r="D34" s="18">
        <f t="shared" si="79"/>
        <v>9.4813687273812448</v>
      </c>
      <c r="E34" s="18">
        <f t="shared" si="79"/>
        <v>11.2666573662686</v>
      </c>
      <c r="F34" s="18"/>
      <c r="G34" s="18">
        <f t="shared" si="79"/>
        <v>6.6765926141165775</v>
      </c>
      <c r="H34" s="18">
        <f t="shared" si="79"/>
        <v>15.286150384076786</v>
      </c>
      <c r="I34" s="18">
        <f t="shared" si="79"/>
        <v>7.9464873713481765</v>
      </c>
      <c r="J34" s="18">
        <f t="shared" si="79"/>
        <v>9.3283742250192265</v>
      </c>
      <c r="K34" s="18"/>
      <c r="L34" s="18">
        <f t="shared" si="79"/>
        <v>6.8074044772737814</v>
      </c>
      <c r="M34" s="18">
        <f t="shared" si="79"/>
        <v>12.615377777079054</v>
      </c>
      <c r="N34" s="18">
        <f t="shared" si="79"/>
        <v>9.613833408189441</v>
      </c>
      <c r="O34" s="18">
        <f t="shared" si="79"/>
        <v>8.8089818201452381</v>
      </c>
      <c r="Q34" t="str">
        <f>$A$16</f>
        <v>Elementary occupations</v>
      </c>
      <c r="R34" s="18">
        <f t="shared" ref="R34:U34" si="80">R16/R$18*100</f>
        <v>10.20907983426061</v>
      </c>
      <c r="S34" s="18">
        <f t="shared" si="80"/>
        <v>23.865194965915176</v>
      </c>
      <c r="T34" s="18">
        <f t="shared" si="80"/>
        <v>6.8317411993767951</v>
      </c>
      <c r="U34" s="18">
        <f t="shared" si="80"/>
        <v>11.569327361493855</v>
      </c>
      <c r="V34" s="18"/>
      <c r="W34" s="18">
        <f t="shared" ref="W34:Z34" si="81">W16/W$18*100</f>
        <v>8.4805181760901398</v>
      </c>
      <c r="X34" s="18">
        <f t="shared" si="81"/>
        <v>18.463600012856453</v>
      </c>
      <c r="Y34" s="18">
        <f t="shared" si="81"/>
        <v>5.5713091657060367</v>
      </c>
      <c r="Z34" s="18">
        <f t="shared" si="81"/>
        <v>9.587669580389603</v>
      </c>
      <c r="AA34" s="18"/>
      <c r="AB34" s="18">
        <f t="shared" ref="AB34:AE34" si="82">AB16/AB$18*100</f>
        <v>8.9406041080104171</v>
      </c>
      <c r="AC34" s="18">
        <f t="shared" si="82"/>
        <v>14.643999883332112</v>
      </c>
      <c r="AD34" s="18">
        <f t="shared" si="82"/>
        <v>6.8806978126438922</v>
      </c>
      <c r="AE34" s="18">
        <f t="shared" si="82"/>
        <v>9.5544053930943011</v>
      </c>
      <c r="AG34" t="str">
        <f>$A$16</f>
        <v>Elementary occupations</v>
      </c>
      <c r="AH34" s="18">
        <f t="shared" ref="AH34:AK34" si="83">AH16/AH$18*100</f>
        <v>4.8746446376115404</v>
      </c>
      <c r="AI34" s="18">
        <f t="shared" si="83"/>
        <v>16.230354510239035</v>
      </c>
      <c r="AJ34" s="18">
        <f t="shared" si="83"/>
        <v>15.414203382463068</v>
      </c>
      <c r="AK34" s="18">
        <f t="shared" si="83"/>
        <v>10.895501461543137</v>
      </c>
      <c r="AL34" s="18"/>
      <c r="AM34" s="18">
        <f t="shared" ref="AM34:AP34" si="84">AM16/AM$18*100</f>
        <v>3.743193133107388</v>
      </c>
      <c r="AN34" s="18">
        <f t="shared" si="84"/>
        <v>13.994099543206055</v>
      </c>
      <c r="AO34" s="18">
        <f t="shared" si="84"/>
        <v>13.786268438526966</v>
      </c>
      <c r="AP34" s="18">
        <f t="shared" si="84"/>
        <v>9.0309244118974217</v>
      </c>
      <c r="AQ34" s="18"/>
      <c r="AR34" s="18">
        <f t="shared" ref="AR34:AU34" si="85">AR16/AR$18*100</f>
        <v>3.6936282738596971</v>
      </c>
      <c r="AS34" s="18">
        <f t="shared" si="85"/>
        <v>11.730470711539013</v>
      </c>
      <c r="AT34" s="18">
        <f t="shared" si="85"/>
        <v>16.157606637119574</v>
      </c>
      <c r="AU34" s="18">
        <f t="shared" si="85"/>
        <v>7.98873097013833</v>
      </c>
    </row>
    <row r="35" spans="1:47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5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5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ht="13" x14ac:dyDescent="0.3">
      <c r="B41" s="379" t="str">
        <f>B5&amp;"-"&amp;G5</f>
        <v>2015-2020</v>
      </c>
      <c r="C41" s="379"/>
      <c r="D41" s="379"/>
      <c r="E41" s="379"/>
      <c r="F41" s="1"/>
      <c r="G41" s="379" t="str">
        <f>G5&amp;"-"&amp;L5</f>
        <v>2020-2035</v>
      </c>
      <c r="H41" s="379"/>
      <c r="I41" s="379"/>
      <c r="J41" s="379"/>
      <c r="K41" s="1"/>
      <c r="L41" s="379" t="str">
        <f>B5&amp;"-"&amp;L5</f>
        <v>2015-2035</v>
      </c>
      <c r="M41" s="379"/>
      <c r="N41" s="379"/>
      <c r="O41" s="379"/>
      <c r="R41" s="379" t="str">
        <f>R5&amp;"-"&amp;W5</f>
        <v>2015-2020</v>
      </c>
      <c r="S41" s="379"/>
      <c r="T41" s="379"/>
      <c r="U41" s="379"/>
      <c r="V41" s="1"/>
      <c r="W41" s="379" t="str">
        <f>W5&amp;"-"&amp;AB5</f>
        <v>2020-2035</v>
      </c>
      <c r="X41" s="379"/>
      <c r="Y41" s="379"/>
      <c r="Z41" s="379"/>
      <c r="AA41" s="1"/>
      <c r="AB41" s="379" t="str">
        <f>R5&amp;"-"&amp;AB5</f>
        <v>2015-2035</v>
      </c>
      <c r="AC41" s="379"/>
      <c r="AD41" s="379"/>
      <c r="AE41" s="379"/>
      <c r="AH41" s="379" t="str">
        <f>AH5&amp;"-"&amp;AM5</f>
        <v>2015-2020</v>
      </c>
      <c r="AI41" s="379"/>
      <c r="AJ41" s="379"/>
      <c r="AK41" s="379"/>
      <c r="AL41" s="1"/>
      <c r="AM41" s="379" t="str">
        <f>AM5&amp;"-"&amp;AR5</f>
        <v>2020-2035</v>
      </c>
      <c r="AN41" s="379"/>
      <c r="AO41" s="379"/>
      <c r="AP41" s="379"/>
      <c r="AQ41" s="1"/>
      <c r="AR41" s="379" t="str">
        <f>AH5&amp;"-"&amp;AR5</f>
        <v>2015-2035</v>
      </c>
      <c r="AS41" s="379"/>
      <c r="AT41" s="379"/>
      <c r="AU41" s="379"/>
    </row>
    <row r="42" spans="1:47" ht="13" x14ac:dyDescent="0.3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ht="13" x14ac:dyDescent="0.3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5">
      <c r="A44" t="str">
        <f>$A$8</f>
        <v>Managers, directors and senior officials</v>
      </c>
      <c r="B44" s="27">
        <f>G8-B8</f>
        <v>2.1492999219072502</v>
      </c>
      <c r="C44" s="27">
        <f t="shared" ref="C44:E44" si="93">H8-C8</f>
        <v>2.3727227889038263</v>
      </c>
      <c r="D44" s="27">
        <f t="shared" si="93"/>
        <v>0.88562416556444212</v>
      </c>
      <c r="E44" s="27">
        <f t="shared" si="93"/>
        <v>5.4076468763755159</v>
      </c>
      <c r="F44" s="27"/>
      <c r="G44" s="27">
        <f>L8-G8</f>
        <v>-0.28726048474828048</v>
      </c>
      <c r="H44" s="27">
        <f t="shared" ref="H44:J44" si="94">M8-H8</f>
        <v>1.1074753511642967</v>
      </c>
      <c r="I44" s="27">
        <f t="shared" si="94"/>
        <v>0.60559692774230367</v>
      </c>
      <c r="J44" s="27">
        <f t="shared" si="94"/>
        <v>1.4258117941583208</v>
      </c>
      <c r="K44" s="27"/>
      <c r="L44" s="27">
        <f>L8-B8</f>
        <v>1.8620394371589697</v>
      </c>
      <c r="M44" s="27">
        <f t="shared" ref="M44:O44" si="95">M8-C8</f>
        <v>3.480198140068123</v>
      </c>
      <c r="N44" s="27">
        <f t="shared" si="95"/>
        <v>1.4912210933067458</v>
      </c>
      <c r="O44" s="27">
        <f t="shared" si="95"/>
        <v>6.8334586705338367</v>
      </c>
      <c r="Q44" t="str">
        <f>$A$8</f>
        <v>Managers, directors and senior officials</v>
      </c>
      <c r="R44" s="27">
        <f>W8-R8</f>
        <v>0.66460246704950166</v>
      </c>
      <c r="S44" s="27">
        <f t="shared" ref="S44:S52" si="96">X8-S8</f>
        <v>1.1332563811167173</v>
      </c>
      <c r="T44" s="27">
        <f t="shared" ref="T44:T52" si="97">Y8-T8</f>
        <v>9.6101649047834137E-2</v>
      </c>
      <c r="U44" s="27">
        <f t="shared" ref="U44:U52" si="98">Z8-U8</f>
        <v>1.8939604972140494</v>
      </c>
      <c r="V44" s="27"/>
      <c r="W44" s="27">
        <f>AB8-W8</f>
        <v>-1.0507936950715226</v>
      </c>
      <c r="X44" s="27">
        <f t="shared" ref="X44:X52" si="99">AC8-X8</f>
        <v>0.27733592250628059</v>
      </c>
      <c r="Y44" s="27">
        <f t="shared" ref="Y44:Y52" si="100">AD8-Y8</f>
        <v>0.41625068551795241</v>
      </c>
      <c r="Z44" s="27">
        <f t="shared" ref="Z44:Z52" si="101">AE8-Z8</f>
        <v>-0.35720708704728565</v>
      </c>
      <c r="AA44" s="27"/>
      <c r="AB44" s="27">
        <f>AB8-R8</f>
        <v>-0.38619122802202099</v>
      </c>
      <c r="AC44" s="27">
        <f t="shared" ref="AC44:AC52" si="102">AC8-S8</f>
        <v>1.4105923036229979</v>
      </c>
      <c r="AD44" s="27">
        <f t="shared" ref="AD44:AD52" si="103">AD8-T8</f>
        <v>0.51235233456578655</v>
      </c>
      <c r="AE44" s="27">
        <f t="shared" ref="AE44:AE52" si="104">AE8-U8</f>
        <v>1.5367534101667637</v>
      </c>
      <c r="AG44" t="str">
        <f>$A$8</f>
        <v>Managers, directors and senior officials</v>
      </c>
      <c r="AH44" s="27">
        <f>AM8-AH8</f>
        <v>1.4846974548577272</v>
      </c>
      <c r="AI44" s="27">
        <f t="shared" ref="AI44:AI52" si="105">AN8-AI8</f>
        <v>1.2394664077871065</v>
      </c>
      <c r="AJ44" s="27">
        <f t="shared" ref="AJ44:AJ52" si="106">AO8-AJ8</f>
        <v>0.7895225165166142</v>
      </c>
      <c r="AK44" s="27">
        <f t="shared" ref="AK44:AK52" si="107">AP8-AK8</f>
        <v>3.5136863791614488</v>
      </c>
      <c r="AL44" s="27"/>
      <c r="AM44" s="27">
        <f>AR8-AM8</f>
        <v>0.7635332103232475</v>
      </c>
      <c r="AN44" s="27">
        <f t="shared" ref="AN44:AN52" si="108">AS8-AN8</f>
        <v>0.83013942865801349</v>
      </c>
      <c r="AO44" s="27">
        <f t="shared" ref="AO44:AO52" si="109">AT8-AO8</f>
        <v>0.1893462422243446</v>
      </c>
      <c r="AP44" s="27">
        <f t="shared" ref="AP44:AP52" si="110">AU8-AP8</f>
        <v>1.7830188812056065</v>
      </c>
      <c r="AQ44" s="27"/>
      <c r="AR44" s="27">
        <f>AR8-AH8</f>
        <v>2.2482306651809747</v>
      </c>
      <c r="AS44" s="27">
        <f t="shared" ref="AS44:AS52" si="111">AS8-AI8</f>
        <v>2.06960583644512</v>
      </c>
      <c r="AT44" s="27">
        <f t="shared" ref="AT44:AT52" si="112">AT8-AJ8</f>
        <v>0.9788687587409588</v>
      </c>
      <c r="AU44" s="27">
        <f t="shared" ref="AU44:AU52" si="113">AU8-AK8</f>
        <v>5.2967052603670552</v>
      </c>
    </row>
    <row r="45" spans="1:47" x14ac:dyDescent="0.25">
      <c r="A45" t="str">
        <f>$A$9</f>
        <v>Professional occupations</v>
      </c>
      <c r="B45" s="27">
        <f t="shared" ref="B45:B54" si="114">G9-B9</f>
        <v>10.19198377131584</v>
      </c>
      <c r="C45" s="27">
        <f t="shared" ref="C45:C54" si="115">H9-C9</f>
        <v>4.3336327224467972</v>
      </c>
      <c r="D45" s="27">
        <f t="shared" ref="D45:D54" si="116">I9-D9</f>
        <v>1.3043091011655346</v>
      </c>
      <c r="E45" s="27">
        <f t="shared" ref="E45:E54" si="117">J9-E9</f>
        <v>15.82992559492817</v>
      </c>
      <c r="F45" s="27"/>
      <c r="G45" s="27">
        <f t="shared" ref="G45:G54" si="118">L9-G9</f>
        <v>14.249774709079901</v>
      </c>
      <c r="H45" s="27">
        <f t="shared" ref="H45:H54" si="119">M9-H9</f>
        <v>4.668839839479908</v>
      </c>
      <c r="I45" s="27">
        <f t="shared" ref="I45:I54" si="120">N9-I9</f>
        <v>-0.72323028969761083</v>
      </c>
      <c r="J45" s="27">
        <f t="shared" ref="J45:J54" si="121">O9-J9</f>
        <v>18.195384258862191</v>
      </c>
      <c r="K45" s="27"/>
      <c r="L45" s="27">
        <f t="shared" ref="L45:L54" si="122">L9-B9</f>
        <v>24.441758480395741</v>
      </c>
      <c r="M45" s="27">
        <f t="shared" ref="M45:M54" si="123">M9-C9</f>
        <v>9.0024725619267052</v>
      </c>
      <c r="N45" s="27">
        <f t="shared" ref="N45:N54" si="124">N9-D9</f>
        <v>0.58107881146792373</v>
      </c>
      <c r="O45" s="27">
        <f t="shared" ref="O45:O54" si="125">O9-E9</f>
        <v>34.025309853790361</v>
      </c>
      <c r="Q45" t="str">
        <f>$A$9</f>
        <v>Professional occupations</v>
      </c>
      <c r="R45" s="27">
        <f t="shared" ref="R45:R52" si="126">W9-R9</f>
        <v>4.0642321086402191</v>
      </c>
      <c r="S45" s="27">
        <f t="shared" si="96"/>
        <v>1.3141535633658936</v>
      </c>
      <c r="T45" s="27">
        <f t="shared" si="97"/>
        <v>1.1266991900232002</v>
      </c>
      <c r="U45" s="27">
        <f t="shared" si="98"/>
        <v>6.5050848620293209</v>
      </c>
      <c r="V45" s="27"/>
      <c r="W45" s="27">
        <f t="shared" ref="W45:W52" si="127">AB9-W9</f>
        <v>8.9482296773560108</v>
      </c>
      <c r="X45" s="27">
        <f t="shared" si="99"/>
        <v>1.6906721801182165</v>
      </c>
      <c r="Y45" s="27">
        <f t="shared" si="100"/>
        <v>-0.91260375534413019</v>
      </c>
      <c r="Z45" s="27">
        <f t="shared" si="101"/>
        <v>9.7262981021300945</v>
      </c>
      <c r="AA45" s="27"/>
      <c r="AB45" s="27">
        <f t="shared" ref="AB45:AB52" si="128">AB9-R9</f>
        <v>13.01246178599623</v>
      </c>
      <c r="AC45" s="27">
        <f t="shared" si="102"/>
        <v>3.0048257434841101</v>
      </c>
      <c r="AD45" s="27">
        <f t="shared" si="103"/>
        <v>0.21409543467907</v>
      </c>
      <c r="AE45" s="27">
        <f t="shared" si="104"/>
        <v>16.231382964159415</v>
      </c>
      <c r="AG45" t="str">
        <f>$A$9</f>
        <v>Professional occupations</v>
      </c>
      <c r="AH45" s="27">
        <f t="shared" ref="AH45:AH52" si="129">AM9-AH9</f>
        <v>6.1277516626756103</v>
      </c>
      <c r="AI45" s="27">
        <f t="shared" si="105"/>
        <v>3.0194791590809054</v>
      </c>
      <c r="AJ45" s="27">
        <f t="shared" si="106"/>
        <v>0.17760991114233038</v>
      </c>
      <c r="AK45" s="27">
        <f t="shared" si="107"/>
        <v>9.3248407328988492</v>
      </c>
      <c r="AL45" s="27"/>
      <c r="AM45" s="27">
        <f t="shared" ref="AM45:AM52" si="130">AR9-AM9</f>
        <v>5.3015450317239008</v>
      </c>
      <c r="AN45" s="27">
        <f t="shared" si="108"/>
        <v>2.9781676593616915</v>
      </c>
      <c r="AO45" s="27">
        <f t="shared" si="109"/>
        <v>0.18937346564651447</v>
      </c>
      <c r="AP45" s="27">
        <f t="shared" si="110"/>
        <v>8.4690861567321036</v>
      </c>
      <c r="AQ45" s="27"/>
      <c r="AR45" s="27">
        <f t="shared" ref="AR45:AR52" si="131">AR9-AH9</f>
        <v>11.429296694399511</v>
      </c>
      <c r="AS45" s="27">
        <f t="shared" si="111"/>
        <v>5.9976468184425968</v>
      </c>
      <c r="AT45" s="27">
        <f t="shared" si="112"/>
        <v>0.36698337678884485</v>
      </c>
      <c r="AU45" s="27">
        <f t="shared" si="113"/>
        <v>17.793926889630953</v>
      </c>
    </row>
    <row r="46" spans="1:47" x14ac:dyDescent="0.25">
      <c r="A46" t="str">
        <f>$A$10</f>
        <v>Associate professional occupations</v>
      </c>
      <c r="B46" s="27">
        <f t="shared" si="114"/>
        <v>3.2256200849496821</v>
      </c>
      <c r="C46" s="27">
        <f t="shared" si="115"/>
        <v>2.0781188390113297</v>
      </c>
      <c r="D46" s="27">
        <f t="shared" si="116"/>
        <v>-0.61552227714685159</v>
      </c>
      <c r="E46" s="27">
        <f t="shared" si="117"/>
        <v>4.6882166468141619</v>
      </c>
      <c r="F46" s="27"/>
      <c r="G46" s="27">
        <f t="shared" si="118"/>
        <v>6.5046184337964519</v>
      </c>
      <c r="H46" s="27">
        <f t="shared" si="119"/>
        <v>3.896740366550917</v>
      </c>
      <c r="I46" s="27">
        <f t="shared" si="120"/>
        <v>0.29298384140115097</v>
      </c>
      <c r="J46" s="27">
        <f t="shared" si="121"/>
        <v>10.69434264174852</v>
      </c>
      <c r="K46" s="27"/>
      <c r="L46" s="27">
        <f t="shared" si="122"/>
        <v>9.730238518746134</v>
      </c>
      <c r="M46" s="27">
        <f t="shared" si="123"/>
        <v>5.9748592055622467</v>
      </c>
      <c r="N46" s="27">
        <f t="shared" si="124"/>
        <v>-0.32253843574570062</v>
      </c>
      <c r="O46" s="27">
        <f t="shared" si="125"/>
        <v>15.382559288562682</v>
      </c>
      <c r="Q46" t="str">
        <f>$A$10</f>
        <v>Associate professional occupations</v>
      </c>
      <c r="R46" s="27">
        <f t="shared" si="126"/>
        <v>0.595217832843975</v>
      </c>
      <c r="S46" s="27">
        <f t="shared" si="96"/>
        <v>0.93573131487776351</v>
      </c>
      <c r="T46" s="27">
        <f t="shared" si="97"/>
        <v>-0.13507443600406521</v>
      </c>
      <c r="U46" s="27">
        <f t="shared" si="98"/>
        <v>1.3958747117176742</v>
      </c>
      <c r="V46" s="27"/>
      <c r="W46" s="27">
        <f>AB10-W10</f>
        <v>-0.84668932759557336</v>
      </c>
      <c r="X46" s="27">
        <f t="shared" si="99"/>
        <v>0.21528187529459419</v>
      </c>
      <c r="Y46" s="27">
        <f t="shared" si="100"/>
        <v>0.24623976331167352</v>
      </c>
      <c r="Z46" s="27">
        <f t="shared" si="101"/>
        <v>-0.38516768898930565</v>
      </c>
      <c r="AA46" s="27"/>
      <c r="AB46" s="27">
        <f t="shared" si="128"/>
        <v>-0.25147149475159836</v>
      </c>
      <c r="AC46" s="27">
        <f t="shared" si="102"/>
        <v>1.1510131901723577</v>
      </c>
      <c r="AD46" s="27">
        <f t="shared" si="103"/>
        <v>0.11116532730760831</v>
      </c>
      <c r="AE46" s="27">
        <f t="shared" si="104"/>
        <v>1.0107070227283685</v>
      </c>
      <c r="AG46" t="str">
        <f>$A$10</f>
        <v>Associate professional occupations</v>
      </c>
      <c r="AH46" s="27">
        <f t="shared" si="129"/>
        <v>2.6304022521056982</v>
      </c>
      <c r="AI46" s="27">
        <f t="shared" si="105"/>
        <v>1.1423875241335679</v>
      </c>
      <c r="AJ46" s="27">
        <f t="shared" si="106"/>
        <v>-0.48044784114278638</v>
      </c>
      <c r="AK46" s="27">
        <f t="shared" si="107"/>
        <v>3.2923419350964771</v>
      </c>
      <c r="AL46" s="27"/>
      <c r="AM46" s="27">
        <f t="shared" si="130"/>
        <v>7.3513077613920395</v>
      </c>
      <c r="AN46" s="27">
        <f t="shared" si="108"/>
        <v>3.6814584912563237</v>
      </c>
      <c r="AO46" s="27">
        <f t="shared" si="109"/>
        <v>4.6744078089476115E-2</v>
      </c>
      <c r="AP46" s="27">
        <f t="shared" si="110"/>
        <v>11.07951033073784</v>
      </c>
      <c r="AQ46" s="27"/>
      <c r="AR46" s="27">
        <f t="shared" si="131"/>
        <v>9.9817100134977377</v>
      </c>
      <c r="AS46" s="27">
        <f t="shared" si="111"/>
        <v>4.8238460153898917</v>
      </c>
      <c r="AT46" s="27">
        <f t="shared" si="112"/>
        <v>-0.43370376305331027</v>
      </c>
      <c r="AU46" s="27">
        <f t="shared" si="113"/>
        <v>14.371852265834317</v>
      </c>
    </row>
    <row r="47" spans="1:47" x14ac:dyDescent="0.25">
      <c r="A47" t="str">
        <f>$A$11</f>
        <v>Administrative and secretarial occupations</v>
      </c>
      <c r="B47" s="27">
        <f t="shared" si="114"/>
        <v>-1.8594418847171319</v>
      </c>
      <c r="C47" s="27">
        <f t="shared" si="115"/>
        <v>-1.2909668877203799</v>
      </c>
      <c r="D47" s="27">
        <f t="shared" si="116"/>
        <v>-0.50914368021182477</v>
      </c>
      <c r="E47" s="27">
        <f t="shared" si="117"/>
        <v>-3.6595524526493364</v>
      </c>
      <c r="F47" s="27"/>
      <c r="G47" s="27">
        <f t="shared" si="118"/>
        <v>6.6603618636719375E-2</v>
      </c>
      <c r="H47" s="27">
        <f t="shared" si="119"/>
        <v>-2.8135822080758714</v>
      </c>
      <c r="I47" s="27">
        <f t="shared" si="120"/>
        <v>-0.20415079775819689</v>
      </c>
      <c r="J47" s="27">
        <f t="shared" si="121"/>
        <v>-2.951129387197355</v>
      </c>
      <c r="K47" s="27"/>
      <c r="L47" s="27">
        <f t="shared" si="122"/>
        <v>-1.7928382660804125</v>
      </c>
      <c r="M47" s="27">
        <f t="shared" si="123"/>
        <v>-4.1045490957962514</v>
      </c>
      <c r="N47" s="27">
        <f t="shared" si="124"/>
        <v>-0.71329447797002166</v>
      </c>
      <c r="O47" s="27">
        <f t="shared" si="125"/>
        <v>-6.6106818398466913</v>
      </c>
      <c r="Q47" t="str">
        <f>$A$11</f>
        <v>Administrative and secretarial occupations</v>
      </c>
      <c r="R47" s="27">
        <f t="shared" si="126"/>
        <v>7.5889592623015645E-2</v>
      </c>
      <c r="S47" s="27">
        <f t="shared" si="96"/>
        <v>0.39332293114474037</v>
      </c>
      <c r="T47" s="27">
        <f t="shared" si="97"/>
        <v>-0.12031889079248959</v>
      </c>
      <c r="U47" s="27">
        <f t="shared" si="98"/>
        <v>0.34889363297526543</v>
      </c>
      <c r="V47" s="27"/>
      <c r="W47" s="27">
        <f t="shared" si="127"/>
        <v>2.9927291352506593</v>
      </c>
      <c r="X47" s="27">
        <f t="shared" si="99"/>
        <v>0.25390316172245875</v>
      </c>
      <c r="Y47" s="27">
        <f t="shared" si="100"/>
        <v>0.17983633446741065</v>
      </c>
      <c r="Z47" s="27">
        <f t="shared" si="101"/>
        <v>3.4264686314405282</v>
      </c>
      <c r="AA47" s="27"/>
      <c r="AB47" s="27">
        <f t="shared" si="128"/>
        <v>3.068618727873675</v>
      </c>
      <c r="AC47" s="27">
        <f t="shared" si="102"/>
        <v>0.64722609286719912</v>
      </c>
      <c r="AD47" s="27">
        <f t="shared" si="103"/>
        <v>5.9517443674921067E-2</v>
      </c>
      <c r="AE47" s="27">
        <f t="shared" si="104"/>
        <v>3.7753622644157936</v>
      </c>
      <c r="AG47" t="str">
        <f>$A$11</f>
        <v>Administrative and secretarial occupations</v>
      </c>
      <c r="AH47" s="27">
        <f t="shared" si="129"/>
        <v>-1.935331477340128</v>
      </c>
      <c r="AI47" s="27">
        <f t="shared" si="105"/>
        <v>-1.6842898188651247</v>
      </c>
      <c r="AJ47" s="27">
        <f t="shared" si="106"/>
        <v>-0.38882478941933507</v>
      </c>
      <c r="AK47" s="27">
        <f t="shared" si="107"/>
        <v>-4.0084460856245911</v>
      </c>
      <c r="AL47" s="27"/>
      <c r="AM47" s="27">
        <f t="shared" si="130"/>
        <v>-2.926125516613947</v>
      </c>
      <c r="AN47" s="27">
        <f t="shared" si="108"/>
        <v>-3.0674853697983124</v>
      </c>
      <c r="AO47" s="27">
        <f t="shared" si="109"/>
        <v>-0.38398713222560854</v>
      </c>
      <c r="AP47" s="27">
        <f>AU11-AP11</f>
        <v>-6.3775980186378689</v>
      </c>
      <c r="AQ47" s="27"/>
      <c r="AR47" s="27">
        <f t="shared" si="131"/>
        <v>-4.861456993954075</v>
      </c>
      <c r="AS47" s="27">
        <f t="shared" si="111"/>
        <v>-4.7517751886634372</v>
      </c>
      <c r="AT47" s="27">
        <f t="shared" si="112"/>
        <v>-0.77281192164494361</v>
      </c>
      <c r="AU47" s="27">
        <f t="shared" si="113"/>
        <v>-10.38604410426246</v>
      </c>
    </row>
    <row r="48" spans="1:47" x14ac:dyDescent="0.25">
      <c r="A48" t="str">
        <f>$A$12</f>
        <v>Skilled trades occupations</v>
      </c>
      <c r="B48" s="27">
        <f t="shared" si="114"/>
        <v>-9.5306454039218984</v>
      </c>
      <c r="C48" s="27">
        <f t="shared" si="115"/>
        <v>-0.83227345716591028</v>
      </c>
      <c r="D48" s="27">
        <f t="shared" si="116"/>
        <v>1.2970381652104859</v>
      </c>
      <c r="E48" s="27">
        <f t="shared" si="117"/>
        <v>-9.0658806958773255</v>
      </c>
      <c r="F48" s="27"/>
      <c r="G48" s="27">
        <f t="shared" si="118"/>
        <v>-6.4746971598027834</v>
      </c>
      <c r="H48" s="27">
        <f t="shared" si="119"/>
        <v>0.74480451899973943</v>
      </c>
      <c r="I48" s="27">
        <f t="shared" si="120"/>
        <v>0.25996926950360333</v>
      </c>
      <c r="J48" s="27">
        <f t="shared" si="121"/>
        <v>-5.4699233712994371</v>
      </c>
      <c r="K48" s="27"/>
      <c r="L48" s="27">
        <f t="shared" si="122"/>
        <v>-16.005342563724682</v>
      </c>
      <c r="M48" s="27">
        <f t="shared" si="123"/>
        <v>-8.7468938166170851E-2</v>
      </c>
      <c r="N48" s="27">
        <f t="shared" si="124"/>
        <v>1.5570074347140892</v>
      </c>
      <c r="O48" s="27">
        <f t="shared" si="125"/>
        <v>-14.535804067176763</v>
      </c>
      <c r="Q48" t="str">
        <f>$A$12</f>
        <v>Skilled trades occupations</v>
      </c>
      <c r="R48" s="27">
        <f t="shared" si="126"/>
        <v>-9.6148542367552743</v>
      </c>
      <c r="S48" s="27">
        <f t="shared" si="96"/>
        <v>-0.71721479826438816</v>
      </c>
      <c r="T48" s="27">
        <f t="shared" si="97"/>
        <v>1.1250621808404517</v>
      </c>
      <c r="U48" s="27">
        <f t="shared" si="98"/>
        <v>-9.2070068541792125</v>
      </c>
      <c r="V48" s="27"/>
      <c r="W48" s="27">
        <f t="shared" si="127"/>
        <v>-6.5724706590823061</v>
      </c>
      <c r="X48" s="27">
        <f t="shared" si="99"/>
        <v>0.64791847361142718</v>
      </c>
      <c r="Y48" s="27">
        <f t="shared" si="100"/>
        <v>5.6656270963379995E-2</v>
      </c>
      <c r="Z48" s="27">
        <f t="shared" si="101"/>
        <v>-5.8678959145074998</v>
      </c>
      <c r="AA48" s="27"/>
      <c r="AB48" s="27">
        <f t="shared" si="128"/>
        <v>-16.18732489583758</v>
      </c>
      <c r="AC48" s="27">
        <f t="shared" si="102"/>
        <v>-6.9296324652960983E-2</v>
      </c>
      <c r="AD48" s="27">
        <f t="shared" si="103"/>
        <v>1.1817184518038317</v>
      </c>
      <c r="AE48" s="27">
        <f t="shared" si="104"/>
        <v>-15.074902768686712</v>
      </c>
      <c r="AG48" t="str">
        <f>$A$12</f>
        <v>Skilled trades occupations</v>
      </c>
      <c r="AH48" s="27">
        <f t="shared" si="129"/>
        <v>8.4208832833365221E-2</v>
      </c>
      <c r="AI48" s="27">
        <f t="shared" si="105"/>
        <v>-0.11505865890152256</v>
      </c>
      <c r="AJ48" s="27">
        <f t="shared" si="106"/>
        <v>0.17197598437001926</v>
      </c>
      <c r="AK48" s="27">
        <f t="shared" si="107"/>
        <v>0.14112615830186215</v>
      </c>
      <c r="AL48" s="27"/>
      <c r="AM48" s="27">
        <f t="shared" si="130"/>
        <v>9.7773499279538045E-2</v>
      </c>
      <c r="AN48" s="27">
        <f t="shared" si="108"/>
        <v>9.688604538831358E-2</v>
      </c>
      <c r="AO48" s="27">
        <f t="shared" si="109"/>
        <v>0.20331299854023688</v>
      </c>
      <c r="AP48" s="27">
        <f t="shared" si="110"/>
        <v>0.3979725432080885</v>
      </c>
      <c r="AQ48" s="27"/>
      <c r="AR48" s="27">
        <f t="shared" si="131"/>
        <v>0.18198233211290327</v>
      </c>
      <c r="AS48" s="27">
        <f t="shared" si="111"/>
        <v>-1.8172613513208979E-2</v>
      </c>
      <c r="AT48" s="27">
        <f t="shared" si="112"/>
        <v>0.37528898291025614</v>
      </c>
      <c r="AU48" s="27">
        <f t="shared" si="113"/>
        <v>0.53909870150995065</v>
      </c>
    </row>
    <row r="49" spans="1:47" x14ac:dyDescent="0.25">
      <c r="A49" t="str">
        <f>$A$13</f>
        <v>Caring, leisure and other service occupations</v>
      </c>
      <c r="B49" s="27">
        <f t="shared" si="114"/>
        <v>-0.19376140039817713</v>
      </c>
      <c r="C49" s="27">
        <f t="shared" si="115"/>
        <v>-0.22036332791271107</v>
      </c>
      <c r="D49" s="27">
        <f t="shared" si="116"/>
        <v>-0.72611147424120981</v>
      </c>
      <c r="E49" s="27">
        <f t="shared" si="117"/>
        <v>-1.1402362025520958</v>
      </c>
      <c r="F49" s="27"/>
      <c r="G49" s="27">
        <f t="shared" si="118"/>
        <v>3.7193266142925658</v>
      </c>
      <c r="H49" s="27">
        <f t="shared" si="119"/>
        <v>-9.1719547650075839E-2</v>
      </c>
      <c r="I49" s="27">
        <f t="shared" si="120"/>
        <v>0.95412783797023559</v>
      </c>
      <c r="J49" s="27">
        <f t="shared" si="121"/>
        <v>4.5817349046127234</v>
      </c>
      <c r="K49" s="27"/>
      <c r="L49" s="27">
        <f t="shared" si="122"/>
        <v>3.5255652138943887</v>
      </c>
      <c r="M49" s="27">
        <f t="shared" si="123"/>
        <v>-0.31208287556278691</v>
      </c>
      <c r="N49" s="27">
        <f t="shared" si="124"/>
        <v>0.22801636372902578</v>
      </c>
      <c r="O49" s="27">
        <f t="shared" si="125"/>
        <v>3.4414987020606276</v>
      </c>
      <c r="Q49" t="str">
        <f>$A$13</f>
        <v>Caring, leisure and other service occupations</v>
      </c>
      <c r="R49" s="27">
        <f t="shared" si="126"/>
        <v>-0.47755884122699399</v>
      </c>
      <c r="S49" s="27">
        <f t="shared" si="96"/>
        <v>0.18854005351584835</v>
      </c>
      <c r="T49" s="27">
        <f t="shared" si="97"/>
        <v>-1.0672236696190662E-2</v>
      </c>
      <c r="U49" s="27">
        <f t="shared" si="98"/>
        <v>-0.29969102440733586</v>
      </c>
      <c r="V49" s="27"/>
      <c r="W49" s="27">
        <f t="shared" si="127"/>
        <v>0.3660665478455476</v>
      </c>
      <c r="X49" s="27">
        <f t="shared" si="99"/>
        <v>0.62380185720708781</v>
      </c>
      <c r="Y49" s="27">
        <f t="shared" si="100"/>
        <v>0.33063963625570436</v>
      </c>
      <c r="Z49" s="27">
        <f t="shared" si="101"/>
        <v>1.3205080413083401</v>
      </c>
      <c r="AA49" s="27"/>
      <c r="AB49" s="27">
        <f t="shared" si="128"/>
        <v>-0.11149229338144639</v>
      </c>
      <c r="AC49" s="27">
        <f t="shared" si="102"/>
        <v>0.81234191072293616</v>
      </c>
      <c r="AD49" s="27">
        <f t="shared" si="103"/>
        <v>0.3199673995595137</v>
      </c>
      <c r="AE49" s="27">
        <f t="shared" si="104"/>
        <v>1.0208170169010042</v>
      </c>
      <c r="AG49" t="str">
        <f>$A$13</f>
        <v>Caring, leisure and other service occupations</v>
      </c>
      <c r="AH49" s="27">
        <f t="shared" si="129"/>
        <v>0.28379744082881331</v>
      </c>
      <c r="AI49" s="27">
        <f t="shared" si="105"/>
        <v>-0.40890338142855498</v>
      </c>
      <c r="AJ49" s="27">
        <f t="shared" si="106"/>
        <v>-0.71543923754502048</v>
      </c>
      <c r="AK49" s="27">
        <f t="shared" si="107"/>
        <v>-0.84054517814475815</v>
      </c>
      <c r="AL49" s="27"/>
      <c r="AM49" s="27">
        <f t="shared" si="130"/>
        <v>3.353260066447028</v>
      </c>
      <c r="AN49" s="27">
        <f t="shared" si="108"/>
        <v>-0.71552140485717075</v>
      </c>
      <c r="AO49" s="27">
        <f t="shared" si="109"/>
        <v>0.62348820171453267</v>
      </c>
      <c r="AP49" s="27">
        <f t="shared" si="110"/>
        <v>3.2612268633043797</v>
      </c>
      <c r="AQ49" s="27"/>
      <c r="AR49" s="27">
        <f t="shared" si="131"/>
        <v>3.6370575072758413</v>
      </c>
      <c r="AS49" s="27">
        <f t="shared" si="111"/>
        <v>-1.1244247862857257</v>
      </c>
      <c r="AT49" s="27">
        <f t="shared" si="112"/>
        <v>-9.1951035830487804E-2</v>
      </c>
      <c r="AU49" s="27">
        <f t="shared" si="113"/>
        <v>2.4206816851596216</v>
      </c>
    </row>
    <row r="50" spans="1:47" x14ac:dyDescent="0.25">
      <c r="A50" t="str">
        <f>$A$14</f>
        <v>Sales and customer service occupations</v>
      </c>
      <c r="B50" s="27">
        <f t="shared" si="114"/>
        <v>-1.7189226356648071</v>
      </c>
      <c r="C50" s="27">
        <f t="shared" si="115"/>
        <v>-1.3189886828731083</v>
      </c>
      <c r="D50" s="27">
        <f t="shared" si="116"/>
        <v>-0.93479358275923263</v>
      </c>
      <c r="E50" s="27">
        <f t="shared" si="117"/>
        <v>-3.9727049012971491</v>
      </c>
      <c r="F50" s="27"/>
      <c r="G50" s="27">
        <f t="shared" si="118"/>
        <v>-4.1340045046158735E-2</v>
      </c>
      <c r="H50" s="27">
        <f t="shared" si="119"/>
        <v>8.9791488116198082E-2</v>
      </c>
      <c r="I50" s="27">
        <f t="shared" si="120"/>
        <v>-0.30715457981355176</v>
      </c>
      <c r="J50" s="27">
        <f t="shared" si="121"/>
        <v>-0.25870313674351308</v>
      </c>
      <c r="K50" s="27"/>
      <c r="L50" s="27">
        <f t="shared" si="122"/>
        <v>-1.7602626807109658</v>
      </c>
      <c r="M50" s="27">
        <f t="shared" si="123"/>
        <v>-1.2291971947569102</v>
      </c>
      <c r="N50" s="27">
        <f t="shared" si="124"/>
        <v>-1.2419481625727844</v>
      </c>
      <c r="O50" s="27">
        <f t="shared" si="125"/>
        <v>-4.2314080380406622</v>
      </c>
      <c r="Q50" t="str">
        <f>$A$14</f>
        <v>Sales and customer service occupations</v>
      </c>
      <c r="R50" s="27">
        <f t="shared" si="126"/>
        <v>-0.94403576315206905</v>
      </c>
      <c r="S50" s="27">
        <f t="shared" si="96"/>
        <v>0.63881612400949805</v>
      </c>
      <c r="T50" s="27">
        <f t="shared" si="97"/>
        <v>-0.67253386576295293</v>
      </c>
      <c r="U50" s="27">
        <f t="shared" si="98"/>
        <v>-0.97775350490552526</v>
      </c>
      <c r="V50" s="27"/>
      <c r="W50" s="27">
        <f t="shared" si="127"/>
        <v>0.46831890934405607</v>
      </c>
      <c r="X50" s="27">
        <f t="shared" si="99"/>
        <v>0.69911211735735002</v>
      </c>
      <c r="Y50" s="27">
        <f t="shared" si="100"/>
        <v>-0.11036663424677862</v>
      </c>
      <c r="Z50" s="27">
        <f t="shared" si="101"/>
        <v>1.0570643924546239</v>
      </c>
      <c r="AA50" s="27"/>
      <c r="AB50" s="27">
        <f t="shared" si="128"/>
        <v>-0.47571685380801298</v>
      </c>
      <c r="AC50" s="27">
        <f t="shared" si="102"/>
        <v>1.3379282413668481</v>
      </c>
      <c r="AD50" s="27">
        <f t="shared" si="103"/>
        <v>-0.78290050000973155</v>
      </c>
      <c r="AE50" s="27">
        <f t="shared" si="104"/>
        <v>7.9310887549098652E-2</v>
      </c>
      <c r="AG50" t="str">
        <f>$A$14</f>
        <v>Sales and customer service occupations</v>
      </c>
      <c r="AH50" s="27">
        <f t="shared" si="129"/>
        <v>-0.77488687251273713</v>
      </c>
      <c r="AI50" s="27">
        <f t="shared" si="105"/>
        <v>-1.9578048068826028</v>
      </c>
      <c r="AJ50" s="27">
        <f t="shared" si="106"/>
        <v>-0.2622597169962797</v>
      </c>
      <c r="AK50" s="27">
        <f t="shared" si="107"/>
        <v>-2.9949513963916203</v>
      </c>
      <c r="AL50" s="27"/>
      <c r="AM50" s="27">
        <f t="shared" si="130"/>
        <v>-0.50965895439022812</v>
      </c>
      <c r="AN50" s="27">
        <f t="shared" si="108"/>
        <v>-0.60932062924115726</v>
      </c>
      <c r="AO50" s="27">
        <f t="shared" si="109"/>
        <v>-0.19678794556677326</v>
      </c>
      <c r="AP50" s="27">
        <f t="shared" si="110"/>
        <v>-1.3157675291981583</v>
      </c>
      <c r="AQ50" s="27"/>
      <c r="AR50" s="27">
        <f t="shared" si="131"/>
        <v>-1.2845458269029653</v>
      </c>
      <c r="AS50" s="27">
        <f t="shared" si="111"/>
        <v>-2.5671254361237601</v>
      </c>
      <c r="AT50" s="27">
        <f t="shared" si="112"/>
        <v>-0.45904766256305296</v>
      </c>
      <c r="AU50" s="27">
        <f t="shared" si="113"/>
        <v>-4.3107189255897786</v>
      </c>
    </row>
    <row r="51" spans="1:47" x14ac:dyDescent="0.25">
      <c r="A51" t="str">
        <f>$A$15</f>
        <v>Process, plant and machine operatives</v>
      </c>
      <c r="B51" s="27">
        <f t="shared" si="114"/>
        <v>-8.8452585251113014</v>
      </c>
      <c r="C51" s="27">
        <f t="shared" si="115"/>
        <v>1.4210613330080548</v>
      </c>
      <c r="D51" s="27">
        <f t="shared" si="116"/>
        <v>0.64188743832420414</v>
      </c>
      <c r="E51" s="27">
        <f t="shared" si="117"/>
        <v>-6.782309753779046</v>
      </c>
      <c r="F51" s="27"/>
      <c r="G51" s="27">
        <f t="shared" si="118"/>
        <v>-2.5516931772907938</v>
      </c>
      <c r="H51" s="27">
        <f t="shared" si="119"/>
        <v>1.0012849937463946</v>
      </c>
      <c r="I51" s="27">
        <f t="shared" si="120"/>
        <v>1.3917716101557138</v>
      </c>
      <c r="J51" s="27">
        <f t="shared" si="121"/>
        <v>-0.15863657338868364</v>
      </c>
      <c r="K51" s="27"/>
      <c r="L51" s="27">
        <f t="shared" si="122"/>
        <v>-11.396951702402095</v>
      </c>
      <c r="M51" s="27">
        <f t="shared" si="123"/>
        <v>2.4223463267544494</v>
      </c>
      <c r="N51" s="27">
        <f t="shared" si="124"/>
        <v>2.033659048479918</v>
      </c>
      <c r="O51" s="27">
        <f t="shared" si="125"/>
        <v>-6.9409463271677296</v>
      </c>
      <c r="Q51" t="str">
        <f>$A$15</f>
        <v>Process, plant and machine operatives</v>
      </c>
      <c r="R51" s="27">
        <f t="shared" si="126"/>
        <v>-8.0654951051448229</v>
      </c>
      <c r="S51" s="27">
        <f t="shared" si="96"/>
        <v>1.3223223344271537</v>
      </c>
      <c r="T51" s="27">
        <f t="shared" si="97"/>
        <v>0.51081069512312904</v>
      </c>
      <c r="U51" s="27">
        <f t="shared" si="98"/>
        <v>-6.232362075594537</v>
      </c>
      <c r="V51" s="27"/>
      <c r="W51" s="27">
        <f t="shared" si="127"/>
        <v>-2.9855757617191117</v>
      </c>
      <c r="X51" s="27">
        <f t="shared" si="99"/>
        <v>0.39472990761069937</v>
      </c>
      <c r="Y51" s="27">
        <f t="shared" si="100"/>
        <v>1.3067029348650028</v>
      </c>
      <c r="Z51" s="27">
        <f t="shared" si="101"/>
        <v>-1.2841429192434148</v>
      </c>
      <c r="AA51" s="27"/>
      <c r="AB51" s="27">
        <f t="shared" si="128"/>
        <v>-11.051070866863935</v>
      </c>
      <c r="AC51" s="27">
        <f t="shared" si="102"/>
        <v>1.7170522420378531</v>
      </c>
      <c r="AD51" s="27">
        <f t="shared" si="103"/>
        <v>1.8175136299881318</v>
      </c>
      <c r="AE51" s="27">
        <f t="shared" si="104"/>
        <v>-7.5165049948379519</v>
      </c>
      <c r="AG51" t="str">
        <f>$A$15</f>
        <v>Process, plant and machine operatives</v>
      </c>
      <c r="AH51" s="27">
        <f t="shared" si="129"/>
        <v>-0.77976341996649357</v>
      </c>
      <c r="AI51" s="27">
        <f t="shared" si="105"/>
        <v>9.8738998580908399E-2</v>
      </c>
      <c r="AJ51" s="27">
        <f t="shared" si="106"/>
        <v>0.13107674320107299</v>
      </c>
      <c r="AK51" s="27">
        <f t="shared" si="107"/>
        <v>-0.54994767818451162</v>
      </c>
      <c r="AL51" s="27"/>
      <c r="AM51" s="27">
        <f t="shared" si="130"/>
        <v>0.43388258442831473</v>
      </c>
      <c r="AN51" s="27">
        <f t="shared" si="108"/>
        <v>0.60655508613569475</v>
      </c>
      <c r="AO51" s="27">
        <f t="shared" si="109"/>
        <v>8.5068675290709217E-2</v>
      </c>
      <c r="AP51" s="27">
        <f t="shared" si="110"/>
        <v>1.1255063458547179</v>
      </c>
      <c r="AQ51" s="27"/>
      <c r="AR51" s="27">
        <f t="shared" si="131"/>
        <v>-0.34588083553817883</v>
      </c>
      <c r="AS51" s="27">
        <f t="shared" si="111"/>
        <v>0.70529408471660315</v>
      </c>
      <c r="AT51" s="27">
        <f t="shared" si="112"/>
        <v>0.2161454184917822</v>
      </c>
      <c r="AU51" s="27">
        <f t="shared" si="113"/>
        <v>0.57555866767020625</v>
      </c>
    </row>
    <row r="52" spans="1:47" x14ac:dyDescent="0.25">
      <c r="A52" t="str">
        <f>$A$16</f>
        <v>Elementary occupations</v>
      </c>
      <c r="B52" s="27">
        <f t="shared" si="114"/>
        <v>-6.0114627978573587</v>
      </c>
      <c r="C52" s="27">
        <f t="shared" si="115"/>
        <v>-3.7990547743984031</v>
      </c>
      <c r="D52" s="27">
        <f t="shared" si="116"/>
        <v>-0.86258753970719138</v>
      </c>
      <c r="E52" s="27">
        <f t="shared" si="117"/>
        <v>-10.673105111962954</v>
      </c>
      <c r="F52" s="27"/>
      <c r="G52" s="27">
        <f t="shared" si="118"/>
        <v>1.5204050521774874</v>
      </c>
      <c r="H52" s="27">
        <f t="shared" si="119"/>
        <v>-3.1621975121292323</v>
      </c>
      <c r="I52" s="27">
        <f t="shared" si="120"/>
        <v>1.332911329198665</v>
      </c>
      <c r="J52" s="27">
        <f t="shared" si="121"/>
        <v>-0.30888113075307899</v>
      </c>
      <c r="K52" s="27"/>
      <c r="L52" s="27">
        <f t="shared" si="122"/>
        <v>-4.4910577456798713</v>
      </c>
      <c r="M52" s="27">
        <f t="shared" si="123"/>
        <v>-6.9612522865276354</v>
      </c>
      <c r="N52" s="27">
        <f t="shared" si="124"/>
        <v>0.47032378949147358</v>
      </c>
      <c r="O52" s="27">
        <f t="shared" si="125"/>
        <v>-10.981986242716033</v>
      </c>
      <c r="Q52" t="str">
        <f>$A$16</f>
        <v>Elementary occupations</v>
      </c>
      <c r="R52" s="27">
        <f t="shared" si="126"/>
        <v>-5.0496506061793625</v>
      </c>
      <c r="S52" s="27">
        <f t="shared" si="96"/>
        <v>-1.3227145648556311</v>
      </c>
      <c r="T52" s="27">
        <f t="shared" si="97"/>
        <v>-0.42823314484909236</v>
      </c>
      <c r="U52" s="27">
        <f t="shared" si="98"/>
        <v>-6.8005983158840841</v>
      </c>
      <c r="V52" s="27"/>
      <c r="W52" s="27">
        <f t="shared" si="127"/>
        <v>1.0460283383840085</v>
      </c>
      <c r="X52" s="27">
        <f t="shared" si="99"/>
        <v>-1.0401526223212283</v>
      </c>
      <c r="Y52" s="27">
        <f t="shared" si="100"/>
        <v>0.70326232838339653</v>
      </c>
      <c r="Z52" s="27">
        <f t="shared" si="101"/>
        <v>0.70913804444617767</v>
      </c>
      <c r="AA52" s="27"/>
      <c r="AB52" s="27">
        <f t="shared" si="128"/>
        <v>-4.0036222677953539</v>
      </c>
      <c r="AC52" s="27">
        <f t="shared" si="102"/>
        <v>-2.3628671871768594</v>
      </c>
      <c r="AD52" s="27">
        <f t="shared" si="103"/>
        <v>0.27502918353430417</v>
      </c>
      <c r="AE52" s="27">
        <f t="shared" si="104"/>
        <v>-6.0914602714379065</v>
      </c>
      <c r="AG52" t="str">
        <f>$A$16</f>
        <v>Elementary occupations</v>
      </c>
      <c r="AH52" s="27">
        <f t="shared" si="129"/>
        <v>-0.96181219167801579</v>
      </c>
      <c r="AI52" s="27">
        <f t="shared" si="105"/>
        <v>-2.4763402095427569</v>
      </c>
      <c r="AJ52" s="27">
        <f t="shared" si="106"/>
        <v>-0.43435439485809813</v>
      </c>
      <c r="AK52" s="27">
        <f t="shared" si="107"/>
        <v>-3.8725067960788735</v>
      </c>
      <c r="AL52" s="27"/>
      <c r="AM52" s="27">
        <f t="shared" si="130"/>
        <v>0.474376713793494</v>
      </c>
      <c r="AN52" s="27">
        <f t="shared" si="108"/>
        <v>-2.1220448898079951</v>
      </c>
      <c r="AO52" s="27">
        <f t="shared" si="109"/>
        <v>0.62964900081526665</v>
      </c>
      <c r="AP52" s="27">
        <f t="shared" si="110"/>
        <v>-1.0180191751992318</v>
      </c>
      <c r="AQ52" s="27"/>
      <c r="AR52" s="27">
        <f t="shared" si="131"/>
        <v>-0.4874354778845218</v>
      </c>
      <c r="AS52" s="27">
        <f t="shared" si="111"/>
        <v>-4.598385099350752</v>
      </c>
      <c r="AT52" s="27">
        <f t="shared" si="112"/>
        <v>0.19529460595716852</v>
      </c>
      <c r="AU52" s="27">
        <f t="shared" si="113"/>
        <v>-4.8905259712781053</v>
      </c>
    </row>
    <row r="53" spans="1:47" x14ac:dyDescent="0.25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5">
      <c r="A54" s="24" t="str">
        <f>$A$18</f>
        <v>All occupations</v>
      </c>
      <c r="B54" s="29">
        <f t="shared" si="114"/>
        <v>-12.592588869497888</v>
      </c>
      <c r="C54" s="29">
        <f t="shared" si="115"/>
        <v>2.7438885532994846</v>
      </c>
      <c r="D54" s="29">
        <f t="shared" si="116"/>
        <v>0.48070031619836584</v>
      </c>
      <c r="E54" s="29">
        <f t="shared" si="117"/>
        <v>-9.367999999999995</v>
      </c>
      <c r="F54" s="29"/>
      <c r="G54" s="29">
        <f t="shared" si="118"/>
        <v>16.705737561095077</v>
      </c>
      <c r="H54" s="29">
        <f t="shared" si="119"/>
        <v>5.4414372902022876</v>
      </c>
      <c r="I54" s="29">
        <f t="shared" si="120"/>
        <v>3.6028251487023084</v>
      </c>
      <c r="J54" s="29">
        <f t="shared" si="121"/>
        <v>25.749999999999602</v>
      </c>
      <c r="K54" s="29"/>
      <c r="L54" s="29">
        <f t="shared" si="122"/>
        <v>4.1131486915971891</v>
      </c>
      <c r="M54" s="29">
        <f t="shared" si="123"/>
        <v>8.1853258435017722</v>
      </c>
      <c r="N54" s="29">
        <f t="shared" si="124"/>
        <v>4.0835254649006743</v>
      </c>
      <c r="O54" s="29">
        <f t="shared" si="125"/>
        <v>16.381999999999607</v>
      </c>
      <c r="Q54" s="24" t="str">
        <f>$A$18</f>
        <v>All occupations</v>
      </c>
      <c r="R54" s="29">
        <f t="shared" ref="R54" si="132">W18-R18</f>
        <v>-18.751652551301788</v>
      </c>
      <c r="S54" s="29">
        <f t="shared" ref="S54" si="133">X18-S18</f>
        <v>3.8862133393376013</v>
      </c>
      <c r="T54" s="29">
        <f t="shared" ref="T54" si="134">Y18-T18</f>
        <v>1.4918411409298145</v>
      </c>
      <c r="U54" s="29">
        <f t="shared" ref="U54" si="135">Z18-U18</f>
        <v>-13.373598071034394</v>
      </c>
      <c r="V54" s="29"/>
      <c r="W54" s="29">
        <f t="shared" ref="W54" si="136">AB18-W18</f>
        <v>2.3658431647117766</v>
      </c>
      <c r="X54" s="29">
        <f t="shared" ref="X54" si="137">AC18-X18</f>
        <v>3.7626028731068786</v>
      </c>
      <c r="Y54" s="29">
        <f t="shared" ref="Y54" si="138">AD18-Y18</f>
        <v>2.2166175641736245</v>
      </c>
      <c r="Z54" s="29">
        <f t="shared" ref="Z54" si="139">AE18-Z18</f>
        <v>8.3450636019923081</v>
      </c>
      <c r="AA54" s="29"/>
      <c r="AB54" s="29">
        <f t="shared" ref="AB54" si="140">AB18-R18</f>
        <v>-16.385809386590012</v>
      </c>
      <c r="AC54" s="29">
        <f t="shared" ref="AC54" si="141">AC18-S18</f>
        <v>7.6488162124444798</v>
      </c>
      <c r="AD54" s="29">
        <f t="shared" ref="AD54" si="142">AD18-T18</f>
        <v>3.708458705103439</v>
      </c>
      <c r="AE54" s="29">
        <f t="shared" ref="AE54" si="143">AE18-U18</f>
        <v>-5.0285344690420857</v>
      </c>
      <c r="AG54" s="24" t="str">
        <f>$A$18</f>
        <v>All occupations</v>
      </c>
      <c r="AH54" s="29">
        <f t="shared" ref="AH54" si="144">AM18-AH18</f>
        <v>6.159063681803886</v>
      </c>
      <c r="AI54" s="29">
        <f t="shared" ref="AI54" si="145">AN18-AI18</f>
        <v>-1.1423247860380883</v>
      </c>
      <c r="AJ54" s="29">
        <f t="shared" ref="AJ54" si="146">AO18-AJ18</f>
        <v>-1.0111408247314806</v>
      </c>
      <c r="AK54" s="29">
        <f t="shared" ref="AK54" si="147">AP18-AK18</f>
        <v>4.0055980710343135</v>
      </c>
      <c r="AL54" s="29"/>
      <c r="AM54" s="29">
        <f t="shared" ref="AM54" si="148">AR18-AM18</f>
        <v>14.339894396383357</v>
      </c>
      <c r="AN54" s="29">
        <f t="shared" ref="AN54" si="149">AS18-AN18</f>
        <v>1.6788344170954161</v>
      </c>
      <c r="AO54" s="29">
        <f t="shared" ref="AO54" si="150">AT18-AO18</f>
        <v>1.3862075845286981</v>
      </c>
      <c r="AP54" s="29">
        <f t="shared" ref="AP54" si="151">AU18-AP18</f>
        <v>17.404936398007465</v>
      </c>
      <c r="AQ54" s="29"/>
      <c r="AR54" s="29">
        <f t="shared" ref="AR54" si="152">AR18-AH18</f>
        <v>20.498958078187243</v>
      </c>
      <c r="AS54" s="29">
        <f t="shared" ref="AS54" si="153">AS18-AI18</f>
        <v>0.53650963105732785</v>
      </c>
      <c r="AT54" s="29">
        <f t="shared" ref="AT54" si="154">AT18-AJ18</f>
        <v>0.37506675979721749</v>
      </c>
      <c r="AU54" s="29">
        <f t="shared" ref="AU54" si="155">AU18-AK18</f>
        <v>21.410534469041778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796875" defaultRowHeight="12.5" x14ac:dyDescent="0.25"/>
  <cols>
    <col min="1" max="1" width="11" style="157" bestFit="1" customWidth="1"/>
    <col min="2" max="9" width="9.1796875" style="157"/>
    <col min="10" max="10" width="17.54296875" style="157" customWidth="1"/>
    <col min="11" max="11" width="8.26953125" style="157" customWidth="1"/>
    <col min="12" max="12" width="52.7265625" style="91" customWidth="1"/>
    <col min="13" max="14" width="10.1796875" style="91" customWidth="1"/>
    <col min="15" max="16384" width="9.1796875" style="91"/>
  </cols>
  <sheetData>
    <row r="1" spans="1:14" ht="15.5" x14ac:dyDescent="0.35">
      <c r="A1" s="156" t="str">
        <f>CONCATENATE("Occupation Figure 1  Growth in Employment by Occupation (SOC 2020), ",M6," and ",N6,", ",Info!B5)</f>
        <v>Occupation Figure 1  Growth in Employment by Occupation (SOC 2020), 2015-2020 and 2020-2035, Black Country</v>
      </c>
    </row>
    <row r="2" spans="1:14" ht="13" x14ac:dyDescent="0.3">
      <c r="A2" s="364" t="s">
        <v>523</v>
      </c>
    </row>
    <row r="3" spans="1:14" ht="13" x14ac:dyDescent="0.3">
      <c r="L3" s="158" t="s">
        <v>428</v>
      </c>
    </row>
    <row r="5" spans="1:14" ht="13" x14ac:dyDescent="0.3">
      <c r="L5" s="122" t="s">
        <v>411</v>
      </c>
    </row>
    <row r="6" spans="1:14" x14ac:dyDescent="0.25">
      <c r="M6" s="178" t="str">
        <f>'Occ T2'!H151</f>
        <v>2015-2020</v>
      </c>
      <c r="N6" s="178" t="str">
        <f>'Occ T2'!I151</f>
        <v>2020-2035</v>
      </c>
    </row>
    <row r="7" spans="1:14" ht="13" x14ac:dyDescent="0.3">
      <c r="L7" s="114" t="str">
        <f>'Occ T3'!A51</f>
        <v>All occupations</v>
      </c>
      <c r="M7" s="91">
        <f>'Occ T2'!H180</f>
        <v>-0.37337526450478276</v>
      </c>
      <c r="N7" s="91">
        <f>'Occ T2'!I180</f>
        <v>0.33785827979151417</v>
      </c>
    </row>
    <row r="8" spans="1:14" ht="13" x14ac:dyDescent="0.3">
      <c r="L8" s="114"/>
    </row>
    <row r="9" spans="1:14" x14ac:dyDescent="0.25">
      <c r="L9" s="91" t="str">
        <f>'Occ T3'!A49</f>
        <v>92 Elementary administration and service occupations</v>
      </c>
      <c r="M9" s="91">
        <f>'Occ T2'!H178</f>
        <v>-3.6852004087132739</v>
      </c>
      <c r="N9" s="91">
        <f>'Occ T2'!I178</f>
        <v>-1.6241007083510617</v>
      </c>
    </row>
    <row r="10" spans="1:14" x14ac:dyDescent="0.25">
      <c r="L10" s="91" t="str">
        <f>'Occ T3'!A48</f>
        <v>91 Elementary trades and related occupations</v>
      </c>
      <c r="M10" s="91">
        <f>'Occ T2'!H177</f>
        <v>-5.6300457870917864</v>
      </c>
      <c r="N10" s="91">
        <f>'Occ T2'!I177</f>
        <v>4.4400691329606889</v>
      </c>
    </row>
    <row r="11" spans="1:14" ht="13" x14ac:dyDescent="0.3">
      <c r="L11" s="114" t="str">
        <f>"["&amp;'Occ T3'!A47&amp;"]"</f>
        <v>[Elementary occupations]</v>
      </c>
      <c r="M11" s="91">
        <f>'Occ T1'!H88</f>
        <v>-4.06488694397712</v>
      </c>
      <c r="N11" s="91">
        <f>'Occ T1'!I88</f>
        <v>-4.462711763347782E-2</v>
      </c>
    </row>
    <row r="12" spans="1:14" ht="13" x14ac:dyDescent="0.3">
      <c r="L12" s="114"/>
    </row>
    <row r="13" spans="1:14" x14ac:dyDescent="0.25">
      <c r="L13" s="91" t="str">
        <f>'Occ T3'!A45</f>
        <v>82 Transport and mobile machine drivers and operatives</v>
      </c>
      <c r="M13" s="91">
        <f>'Occ T2'!H176</f>
        <v>-1.8475168186694924</v>
      </c>
      <c r="N13" s="91">
        <f>'Occ T2'!I176</f>
        <v>0.2121973700340174</v>
      </c>
    </row>
    <row r="14" spans="1:14" x14ac:dyDescent="0.25">
      <c r="L14" s="91" t="str">
        <f>'Occ T3'!A44</f>
        <v>81 Process, plant and machine operatives</v>
      </c>
      <c r="M14" s="91">
        <f>'Occ T2'!H175</f>
        <v>-4.3972044343313694</v>
      </c>
      <c r="N14" s="91">
        <f>'Occ T2'!I175</f>
        <v>-0.32216476551590878</v>
      </c>
    </row>
    <row r="15" spans="1:14" ht="13" x14ac:dyDescent="0.3">
      <c r="L15" s="114" t="str">
        <f>"["&amp;'Occ T3'!A43&amp;"]"</f>
        <v>[Process, plant and machine operatives]</v>
      </c>
      <c r="M15" s="91">
        <f>'Occ T1'!H87</f>
        <v>-3.058986311425782</v>
      </c>
      <c r="N15" s="91">
        <f>'Occ T1'!I87</f>
        <v>-2.6252842027107981E-2</v>
      </c>
    </row>
    <row r="16" spans="1:14" ht="13" x14ac:dyDescent="0.3">
      <c r="L16" s="114"/>
    </row>
    <row r="17" spans="12:14" x14ac:dyDescent="0.25">
      <c r="L17" s="91" t="str">
        <f>'Occ T3'!A41</f>
        <v>72 Customer service occupations</v>
      </c>
      <c r="M17" s="91">
        <f>'Occ T2'!H174</f>
        <v>3.4363853247398879E-4</v>
      </c>
      <c r="N17" s="91">
        <f>'Occ T2'!I174</f>
        <v>1.4429460177838527</v>
      </c>
    </row>
    <row r="18" spans="12:14" x14ac:dyDescent="0.25">
      <c r="L18" s="91" t="str">
        <f>'Occ T3'!A40</f>
        <v>71 Sales occupations</v>
      </c>
      <c r="M18" s="91">
        <f>'Occ T2'!H173</f>
        <v>-2.4376784598331702</v>
      </c>
      <c r="N18" s="91">
        <f>'Occ T2'!I173</f>
        <v>-0.55850881574924793</v>
      </c>
    </row>
    <row r="19" spans="12:14" ht="13" x14ac:dyDescent="0.3">
      <c r="L19" s="114" t="str">
        <f>"["&amp;'Occ T3'!A39&amp;"]"</f>
        <v>[Sales and customer service occupations]</v>
      </c>
      <c r="M19" s="91">
        <f>'Occ T1'!H86</f>
        <v>-1.9057013424181979</v>
      </c>
      <c r="N19" s="91">
        <f>'Occ T1'!I86</f>
        <v>-4.3975911251237232E-2</v>
      </c>
    </row>
    <row r="20" spans="12:14" ht="13" x14ac:dyDescent="0.3">
      <c r="L20" s="114"/>
    </row>
    <row r="21" spans="12:14" x14ac:dyDescent="0.25">
      <c r="L21" s="107" t="str">
        <f>'Occ T3'!A37</f>
        <v>63 Community and civil enforcement occupations</v>
      </c>
      <c r="M21" s="91">
        <f>'Occ T2'!H172</f>
        <v>1.1806127781222031E-2</v>
      </c>
      <c r="N21" s="91">
        <f>'Occ T2'!I172</f>
        <v>-1.1622869012287262</v>
      </c>
    </row>
    <row r="22" spans="12:14" x14ac:dyDescent="0.25">
      <c r="L22" s="91" t="str">
        <f>'Occ T3'!A36</f>
        <v>62 Leisure, travel and related personal service occupations</v>
      </c>
      <c r="M22" s="91">
        <f>'Occ T2'!H171</f>
        <v>-4.3727231759594805</v>
      </c>
      <c r="N22" s="91">
        <f>'Occ T2'!I171</f>
        <v>-0.58125569202476246</v>
      </c>
    </row>
    <row r="23" spans="12:14" x14ac:dyDescent="0.25">
      <c r="L23" s="91" t="str">
        <f>'Occ T3'!A35</f>
        <v>61 Caring personal service occupations</v>
      </c>
      <c r="M23" s="91">
        <f>'Occ T2'!H170</f>
        <v>0.59460447567794006</v>
      </c>
      <c r="N23" s="91">
        <f>'Occ T2'!I170</f>
        <v>0.85698993594331974</v>
      </c>
    </row>
    <row r="24" spans="12:14" ht="13" x14ac:dyDescent="0.3">
      <c r="L24" s="114" t="str">
        <f>"["&amp;'Occ T3'!A34&amp;"]"</f>
        <v>[Caring, leisure and other service occupations]</v>
      </c>
      <c r="M24" s="91">
        <f>'Occ T1'!H85</f>
        <v>-0.45591198836449909</v>
      </c>
      <c r="N24" s="91">
        <f>'Occ T1'!I85</f>
        <v>0.5937695306053703</v>
      </c>
    </row>
    <row r="25" spans="12:14" ht="13" x14ac:dyDescent="0.3">
      <c r="L25" s="114"/>
    </row>
    <row r="26" spans="12:14" x14ac:dyDescent="0.25">
      <c r="L26" s="91" t="str">
        <f>'Occ T3'!A32</f>
        <v>54 Textiles, printing and other skilled trades</v>
      </c>
      <c r="M26" s="91">
        <f>'Occ T2'!H169</f>
        <v>-2.9388290827512153</v>
      </c>
      <c r="N26" s="91">
        <f>'Occ T2'!I169</f>
        <v>-0.28095792058610014</v>
      </c>
    </row>
    <row r="27" spans="12:14" x14ac:dyDescent="0.25">
      <c r="L27" s="91" t="str">
        <f>'Occ T3'!A31</f>
        <v>53 Skilled construction and building trades</v>
      </c>
      <c r="M27" s="91">
        <f>'Occ T2'!H168</f>
        <v>-1.3218965885935408</v>
      </c>
      <c r="N27" s="91">
        <f>'Occ T2'!I168</f>
        <v>-1.2807011061727547</v>
      </c>
    </row>
    <row r="28" spans="12:14" x14ac:dyDescent="0.25">
      <c r="L28" s="91" t="str">
        <f>'Occ T3'!A30</f>
        <v>52 Skilled metal, electrical and electronic trades</v>
      </c>
      <c r="M28" s="91">
        <f>'Occ T2'!H167</f>
        <v>-4.083502909618753</v>
      </c>
      <c r="N28" s="91">
        <f>'Occ T2'!I167</f>
        <v>-0.72277342843283243</v>
      </c>
    </row>
    <row r="29" spans="12:14" x14ac:dyDescent="0.25">
      <c r="L29" s="91" t="str">
        <f>'Occ T3'!A29</f>
        <v>51 Skilled agricultural and related trades</v>
      </c>
      <c r="M29" s="91">
        <f>'Occ T2'!H166</f>
        <v>-5.9151366231925406</v>
      </c>
      <c r="N29" s="91">
        <f>'Occ T2'!I166</f>
        <v>0.6803828236388032</v>
      </c>
    </row>
    <row r="30" spans="12:14" ht="13" x14ac:dyDescent="0.3">
      <c r="L30" s="114" t="str">
        <f>"["&amp;'Occ T3'!A28&amp;"]"</f>
        <v>[Skilled trades occupations]</v>
      </c>
      <c r="M30" s="91">
        <f>'Occ T1'!H84</f>
        <v>-3.1502625897510406</v>
      </c>
      <c r="N30" s="91">
        <f>'Occ T1'!I84</f>
        <v>-0.73475994895060293</v>
      </c>
    </row>
    <row r="31" spans="12:14" ht="13" x14ac:dyDescent="0.3">
      <c r="L31" s="114"/>
    </row>
    <row r="32" spans="12:14" x14ac:dyDescent="0.25">
      <c r="L32" s="91" t="str">
        <f>'Occ T3'!A26</f>
        <v>42 Secretarial and related occupations</v>
      </c>
      <c r="M32" s="91">
        <f>'Occ T2'!H165</f>
        <v>-3.3420221813353468</v>
      </c>
      <c r="N32" s="91">
        <f>'Occ T2'!I165</f>
        <v>-3.5367242946928501</v>
      </c>
    </row>
    <row r="33" spans="12:14" x14ac:dyDescent="0.25">
      <c r="L33" s="91" t="str">
        <f>'Occ T3'!A25</f>
        <v>41 Administrative occupations</v>
      </c>
      <c r="M33" s="91">
        <f>'Occ T2'!H164</f>
        <v>-0.80251961659546511</v>
      </c>
      <c r="N33" s="91">
        <f>'Occ T2'!I164</f>
        <v>0.12902272457058217</v>
      </c>
    </row>
    <row r="34" spans="12:14" ht="13" x14ac:dyDescent="0.3">
      <c r="L34" s="114" t="str">
        <f>"["&amp;'Occ T3'!A24&amp;"]"</f>
        <v>[Administrative and secretarial occupations]</v>
      </c>
      <c r="M34" s="91">
        <f>'Occ T1'!H83</f>
        <v>-1.2478068393020125</v>
      </c>
      <c r="N34" s="91">
        <f>'Occ T1'!I83</f>
        <v>-0.35714078831445839</v>
      </c>
    </row>
    <row r="35" spans="12:14" ht="13" x14ac:dyDescent="0.3">
      <c r="L35" s="114"/>
    </row>
    <row r="36" spans="12:14" x14ac:dyDescent="0.25">
      <c r="L36" s="91" t="str">
        <f>'Occ T3'!A22</f>
        <v>35 Business and public service associate professionals</v>
      </c>
      <c r="M36" s="91">
        <f>'Occ T2'!H163</f>
        <v>0.88330808713674713</v>
      </c>
      <c r="N36" s="91">
        <f>'Occ T2'!I163</f>
        <v>0.36499271392635979</v>
      </c>
    </row>
    <row r="37" spans="12:14" x14ac:dyDescent="0.25">
      <c r="L37" s="91" t="str">
        <f>'Occ T3'!A21</f>
        <v>34 Culture, media and sports occupations</v>
      </c>
      <c r="M37" s="91">
        <f>'Occ T2'!H162</f>
        <v>0.44404316777670871</v>
      </c>
      <c r="N37" s="91">
        <f>'Occ T2'!I162</f>
        <v>-0.40433329111217997</v>
      </c>
    </row>
    <row r="38" spans="12:14" x14ac:dyDescent="0.25">
      <c r="L38" s="91" t="str">
        <f>'Occ T3'!A20</f>
        <v>33 Protective service occupations</v>
      </c>
      <c r="M38" s="91">
        <f>'Occ T2'!H161</f>
        <v>1.0699074651868257</v>
      </c>
      <c r="N38" s="91">
        <f>'Occ T2'!I161</f>
        <v>-0.34290857454674084</v>
      </c>
    </row>
    <row r="39" spans="12:14" x14ac:dyDescent="0.25">
      <c r="L39" s="91" t="str">
        <f>'Occ T3'!A19</f>
        <v>32 Health and social care associate professionals</v>
      </c>
      <c r="M39" s="91">
        <f>'Occ T2'!H160</f>
        <v>4.0226870496867573</v>
      </c>
      <c r="N39" s="91">
        <f>'Occ T2'!I160</f>
        <v>4.422401319894731</v>
      </c>
    </row>
    <row r="40" spans="12:14" x14ac:dyDescent="0.25">
      <c r="L40" s="91" t="str">
        <f>'Occ T3'!A18</f>
        <v>31 Science, engineering and technology associate professionals</v>
      </c>
      <c r="M40" s="91">
        <f>'Occ T2'!H159</f>
        <v>2.6616112272142889</v>
      </c>
      <c r="N40" s="91">
        <f>'Occ T2'!I159</f>
        <v>-0.22037679293600565</v>
      </c>
    </row>
    <row r="41" spans="12:14" ht="13" x14ac:dyDescent="0.3">
      <c r="L41" s="114" t="str">
        <f>"["&amp;'Occ T3'!A17&amp;"]"</f>
        <v>[Associate professional occupations]</v>
      </c>
      <c r="M41" s="91">
        <f>'Occ T1'!H82</f>
        <v>1.6173908609099286</v>
      </c>
      <c r="N41" s="91">
        <f>'Occ T1'!I82</f>
        <v>1.0857867262725973</v>
      </c>
    </row>
    <row r="42" spans="12:14" ht="13" x14ac:dyDescent="0.3">
      <c r="L42" s="114"/>
    </row>
    <row r="43" spans="12:14" x14ac:dyDescent="0.25">
      <c r="L43" s="91" t="str">
        <f>'Occ T3'!A15</f>
        <v>24 Business, media and public service professionals</v>
      </c>
      <c r="M43" s="91">
        <f>'Occ T2'!H158</f>
        <v>4.1573473635407421</v>
      </c>
      <c r="N43" s="91">
        <f>'Occ T2'!I158</f>
        <v>1.015748682921247</v>
      </c>
    </row>
    <row r="44" spans="12:14" x14ac:dyDescent="0.25">
      <c r="L44" s="91" t="str">
        <f>'Occ T3'!A14</f>
        <v>23 Teaching and other educational professionals</v>
      </c>
      <c r="M44" s="91">
        <f>'Occ T2'!H157</f>
        <v>2.4242955423134038</v>
      </c>
      <c r="N44" s="91">
        <f>'Occ T2'!I157</f>
        <v>0.61970175648629056</v>
      </c>
    </row>
    <row r="45" spans="12:14" x14ac:dyDescent="0.25">
      <c r="L45" s="91" t="str">
        <f>'Occ T3'!A13</f>
        <v>22 Health professionals</v>
      </c>
      <c r="M45" s="91">
        <f>'Occ T2'!H156</f>
        <v>4.4027846668944992</v>
      </c>
      <c r="N45" s="91">
        <f>'Occ T2'!I156</f>
        <v>0.40825893933129631</v>
      </c>
    </row>
    <row r="46" spans="12:14" x14ac:dyDescent="0.25">
      <c r="L46" s="91" t="str">
        <f>'Occ T3'!A12</f>
        <v>21 Science, research, engineering and technology professionals</v>
      </c>
      <c r="M46" s="91">
        <f>'Occ T2'!H155</f>
        <v>2.3989964645567241</v>
      </c>
      <c r="N46" s="91">
        <f>'Occ T2'!I155</f>
        <v>2.1053550953749944</v>
      </c>
    </row>
    <row r="47" spans="12:14" ht="13" x14ac:dyDescent="0.3">
      <c r="L47" s="114" t="str">
        <f>"["&amp;'Occ T3'!A11&amp;"]"</f>
        <v>[Professional occupations]</v>
      </c>
      <c r="M47" s="91">
        <f>'Occ T1'!H81</f>
        <v>3.3739606107497266</v>
      </c>
      <c r="N47" s="91">
        <f>'Occ T1'!I81</f>
        <v>1.0850858994736923</v>
      </c>
    </row>
    <row r="49" spans="12:14" x14ac:dyDescent="0.25">
      <c r="L49" s="107" t="str">
        <f>'Occ T3'!A9</f>
        <v>12 Other managers and proprietors</v>
      </c>
      <c r="M49" s="91">
        <f>'Occ T2'!H154</f>
        <v>1.1422240086861102</v>
      </c>
      <c r="N49" s="91">
        <f>'Occ T2'!I154</f>
        <v>0.96772729272256441</v>
      </c>
    </row>
    <row r="50" spans="12:14" x14ac:dyDescent="0.25">
      <c r="L50" s="107" t="str">
        <f>'Occ T3'!A8</f>
        <v>11 Corporate managers and directors</v>
      </c>
      <c r="M50" s="91">
        <f>'Occ T2'!H153</f>
        <v>2.9507896898499641</v>
      </c>
      <c r="N50" s="91">
        <f>'Occ T2'!I153</f>
        <v>-0.12304988831006725</v>
      </c>
    </row>
    <row r="51" spans="12:14" ht="13" x14ac:dyDescent="0.3">
      <c r="L51" s="114" t="str">
        <f>"["&amp;'Occ T3'!A7&amp;"]"</f>
        <v>[Managers, directors and senior officials]</v>
      </c>
      <c r="M51" s="91">
        <f>'Occ T1'!H80</f>
        <v>2.4301925967987525</v>
      </c>
      <c r="N51" s="91">
        <f>'Occ T1'!I80</f>
        <v>0.1961404623199936</v>
      </c>
    </row>
    <row r="80" spans="1:1" ht="15.5" x14ac:dyDescent="0.35">
      <c r="A80" s="156" t="str">
        <f>CONCATENATE("Occupation Figure 1.1  Change in Employment by Occupation (SOC 2020), ",M81," and ",N81,", ",Info!B5)</f>
        <v>Occupation Figure 1.1  Change in Employment by Occupation (SOC 2020), 2015-2020 and 2020-2035, Black Country</v>
      </c>
    </row>
    <row r="81" spans="12:14" x14ac:dyDescent="0.25">
      <c r="M81" s="107" t="str">
        <f>'Occ F1'!M6</f>
        <v>2015-2020</v>
      </c>
      <c r="N81" s="107" t="str">
        <f>'Occ F1'!N6</f>
        <v>2020-2035</v>
      </c>
    </row>
    <row r="82" spans="12:14" x14ac:dyDescent="0.25">
      <c r="L82" s="10" t="str">
        <f>name!D4</f>
        <v>11 Corporate managers and directors</v>
      </c>
      <c r="M82" s="94">
        <f>'Occ T2'!D8-'Occ T2'!B8</f>
        <v>4.6765637180368742</v>
      </c>
      <c r="N82" s="94">
        <f>'Occ T2'!F119</f>
        <v>-0.63237684257853033</v>
      </c>
    </row>
    <row r="83" spans="12:14" x14ac:dyDescent="0.25">
      <c r="L83" s="10" t="str">
        <f>name!D5</f>
        <v>12 Other managers and proprietors</v>
      </c>
      <c r="M83" s="94">
        <f>'Occ T2'!D9-'Occ T2'!B9</f>
        <v>0.73108315833857418</v>
      </c>
      <c r="N83" s="94">
        <f>'Occ T2'!F120</f>
        <v>2.0581886367369489</v>
      </c>
    </row>
    <row r="84" spans="12:14" x14ac:dyDescent="0.25">
      <c r="L84" s="10" t="str">
        <f>name!D6</f>
        <v>21 Science, research, engineering and technology professionals</v>
      </c>
      <c r="M84" s="94">
        <f>'Occ T2'!D10-'Occ T2'!B10</f>
        <v>2.9815849256972591</v>
      </c>
      <c r="N84" s="94">
        <f>'Occ T2'!F121</f>
        <v>9.785995648515307</v>
      </c>
    </row>
    <row r="85" spans="12:14" x14ac:dyDescent="0.25">
      <c r="L85" s="10" t="str">
        <f>name!D7</f>
        <v>22 Health professionals</v>
      </c>
      <c r="M85" s="94">
        <f>'Occ T2'!D11-'Occ T2'!B11</f>
        <v>5.210531890222569</v>
      </c>
      <c r="N85" s="94">
        <f>'Occ T2'!F122</f>
        <v>1.6943192677989956</v>
      </c>
    </row>
    <row r="86" spans="12:14" x14ac:dyDescent="0.25">
      <c r="L86" s="10" t="str">
        <f>name!D8</f>
        <v>23 Teaching and other educational professionals</v>
      </c>
      <c r="M86" s="94">
        <f>'Occ T2'!D12-'Occ T2'!B12</f>
        <v>2.4862430778373721</v>
      </c>
      <c r="N86" s="94">
        <f>'Occ T2'!F123</f>
        <v>2.1387384451723044</v>
      </c>
    </row>
    <row r="87" spans="12:14" x14ac:dyDescent="0.25">
      <c r="L87" s="10" t="str">
        <f>name!D9</f>
        <v>24 Business, media and public service professionals</v>
      </c>
      <c r="M87" s="94">
        <f>'Occ T2'!D13-'Occ T2'!B13</f>
        <v>5.1515657011708598</v>
      </c>
      <c r="N87" s="94">
        <f>'Occ T2'!F124</f>
        <v>4.5763308973755699</v>
      </c>
    </row>
    <row r="88" spans="12:14" x14ac:dyDescent="0.25">
      <c r="L88" s="10" t="str">
        <f>name!D10</f>
        <v>31 Science, engineering and technology associate professionals</v>
      </c>
      <c r="M88" s="94">
        <f>'Occ T2'!D14-'Occ T2'!B14</f>
        <v>1.0722669969975689</v>
      </c>
      <c r="N88" s="94">
        <f>'Occ T2'!F125</f>
        <v>-0.28358469201754843</v>
      </c>
    </row>
    <row r="89" spans="12:14" x14ac:dyDescent="0.25">
      <c r="L89" s="10" t="str">
        <f>name!D11</f>
        <v>32 Health and social care associate professionals</v>
      </c>
      <c r="M89" s="94">
        <f>'Occ T2'!D15-'Occ T2'!B15</f>
        <v>1.9689939474744271</v>
      </c>
      <c r="N89" s="94">
        <f>'Occ T2'!F126</f>
        <v>10.053937867540389</v>
      </c>
    </row>
    <row r="90" spans="12:14" x14ac:dyDescent="0.25">
      <c r="L90" s="10" t="str">
        <f>name!D12</f>
        <v>33 Protective service occupations</v>
      </c>
      <c r="M90" s="94">
        <f>'Occ T2'!D16-'Occ T2'!B16</f>
        <v>0.24289834698689905</v>
      </c>
      <c r="N90" s="94">
        <f>'Occ T2'!F127</f>
        <v>-0.23539630392559019</v>
      </c>
    </row>
    <row r="91" spans="12:14" x14ac:dyDescent="0.25">
      <c r="L91" s="10" t="str">
        <f>name!D13</f>
        <v>34 Culture, media and sports occupations</v>
      </c>
      <c r="M91" s="94">
        <f>'Occ T2'!D17-'Occ T2'!B17</f>
        <v>0.16860632659395058</v>
      </c>
      <c r="N91" s="94">
        <f>'Occ T2'!F128</f>
        <v>-0.45375675075010058</v>
      </c>
    </row>
    <row r="92" spans="12:14" x14ac:dyDescent="0.25">
      <c r="L92" s="10" t="str">
        <f>name!D14</f>
        <v>35 Business and public service associate professionals</v>
      </c>
      <c r="M92" s="94">
        <f>'Occ T2'!D18-'Occ T2'!B18</f>
        <v>1.235451028761311</v>
      </c>
      <c r="N92" s="94">
        <f>'Occ T2'!F129</f>
        <v>1.613142520901345</v>
      </c>
    </row>
    <row r="93" spans="12:14" x14ac:dyDescent="0.25">
      <c r="L93" s="10" t="str">
        <f>name!D15</f>
        <v>41 Administrative occupations</v>
      </c>
      <c r="M93" s="94">
        <f>'Occ T2'!D19-'Occ T2'!B19</f>
        <v>-1.9403324469086698</v>
      </c>
      <c r="N93" s="94">
        <f>'Occ T2'!F130</f>
        <v>0.92173963148113103</v>
      </c>
    </row>
    <row r="94" spans="12:14" x14ac:dyDescent="0.25">
      <c r="L94" s="10" t="str">
        <f>name!D16</f>
        <v>42 Secretarial and related occupations</v>
      </c>
      <c r="M94" s="94">
        <f>'Occ T2'!D20-'Occ T2'!B20</f>
        <v>-1.7192200057405405</v>
      </c>
      <c r="N94" s="94">
        <f>'Occ T2'!F131</f>
        <v>-3.8728690186784727</v>
      </c>
    </row>
    <row r="95" spans="12:14" x14ac:dyDescent="0.25">
      <c r="L95" s="10" t="str">
        <f>name!D17</f>
        <v>51 Skilled agricultural and related trades</v>
      </c>
      <c r="M95" s="94">
        <f>'Occ T2'!D21-'Occ T2'!B21</f>
        <v>-1.1381708058575417</v>
      </c>
      <c r="N95" s="94">
        <f>'Occ T2'!F132</f>
        <v>0.34187206540108628</v>
      </c>
    </row>
    <row r="96" spans="12:14" x14ac:dyDescent="0.25">
      <c r="L96" s="10" t="str">
        <f>name!D18</f>
        <v>52 Skilled metal, electrical and electronic trades</v>
      </c>
      <c r="M96" s="94">
        <f>'Occ T2'!D22-'Occ T2'!B22</f>
        <v>-5.3858515546717918</v>
      </c>
      <c r="N96" s="94">
        <f>'Occ T2'!F133</f>
        <v>-2.3956919400202921</v>
      </c>
    </row>
    <row r="97" spans="12:14" x14ac:dyDescent="0.25">
      <c r="L97" s="10" t="str">
        <f>name!D19</f>
        <v>53 Skilled construction and building trades</v>
      </c>
      <c r="M97" s="94">
        <f>'Occ T2'!D23-'Occ T2'!B23</f>
        <v>-1.2021571662427988</v>
      </c>
      <c r="N97" s="94">
        <f>'Occ T2'!F134</f>
        <v>-3.0718921750692889</v>
      </c>
    </row>
    <row r="98" spans="12:14" x14ac:dyDescent="0.25">
      <c r="L98" s="10" t="str">
        <f>name!D20</f>
        <v>54 Textiles, printing and other skilled trades</v>
      </c>
      <c r="M98" s="94">
        <f>'Occ T2'!D24-'Occ T2'!B24</f>
        <v>-1.3397011691052612</v>
      </c>
      <c r="N98" s="94">
        <f>'Occ T2'!F135</f>
        <v>-0.34421132161091972</v>
      </c>
    </row>
    <row r="99" spans="12:14" x14ac:dyDescent="0.25">
      <c r="L99" s="10" t="str">
        <f>name!D21</f>
        <v>61 Caring personal service occupations</v>
      </c>
      <c r="M99" s="94">
        <f>'Occ T2'!D25-'Occ T2'!B25</f>
        <v>1.1597876583648699</v>
      </c>
      <c r="N99" s="94">
        <f>'Occ T2'!F136</f>
        <v>5.4224209045557998</v>
      </c>
    </row>
    <row r="100" spans="12:14" x14ac:dyDescent="0.25">
      <c r="L100" s="10" t="str">
        <f>name!D22</f>
        <v>62 Leisure, travel and related personal service occupations</v>
      </c>
      <c r="M100" s="94">
        <f>'Occ T2'!D26-'Occ T2'!B26</f>
        <v>-2.3002875958231126</v>
      </c>
      <c r="N100" s="94">
        <f>'Occ T2'!F137</f>
        <v>-0.76879720143824137</v>
      </c>
    </row>
    <row r="101" spans="12:14" x14ac:dyDescent="0.25">
      <c r="L101" s="10" t="str">
        <f>name!D23</f>
        <v>63 Community and civil enforcement occupations</v>
      </c>
      <c r="M101" s="94">
        <f>'Occ T2'!D27-'Occ T2'!B27</f>
        <v>2.63734906043811E-4</v>
      </c>
      <c r="N101" s="94">
        <f>'Occ T2'!F138</f>
        <v>-7.1888798504818552E-2</v>
      </c>
    </row>
    <row r="102" spans="12:14" x14ac:dyDescent="0.25">
      <c r="L102" s="10" t="str">
        <f>name!D24</f>
        <v>71 Sales occupations</v>
      </c>
      <c r="M102" s="94">
        <f>'Occ T2'!D28-'Occ T2'!B28</f>
        <v>-3.9728610635861052</v>
      </c>
      <c r="N102" s="94">
        <f>'Occ T2'!F139</f>
        <v>-2.437590182482154</v>
      </c>
    </row>
    <row r="103" spans="12:14" x14ac:dyDescent="0.25">
      <c r="L103" s="10" t="str">
        <f>name!D25</f>
        <v>72 Customer service occupations</v>
      </c>
      <c r="M103" s="94">
        <f>'Occ T2'!D29-'Occ T2'!B29</f>
        <v>1.5616228900583451E-4</v>
      </c>
      <c r="N103" s="94">
        <f>'Occ T2'!F140</f>
        <v>2.1788870457386089</v>
      </c>
    </row>
    <row r="104" spans="12:14" x14ac:dyDescent="0.25">
      <c r="L104" s="10" t="str">
        <f>name!D26</f>
        <v>81 Process, plant and machine operatives</v>
      </c>
      <c r="M104" s="94">
        <f>'Occ T2'!D30-'Occ T2'!B30</f>
        <v>-4.6347589542310885</v>
      </c>
      <c r="N104" s="94">
        <f>'Occ T2'!F141</f>
        <v>-0.86859262633460332</v>
      </c>
    </row>
    <row r="105" spans="12:14" x14ac:dyDescent="0.25">
      <c r="L105" s="10" t="str">
        <f>name!D27</f>
        <v>82 Transport and mobile machine drivers and operatives</v>
      </c>
      <c r="M105" s="94">
        <f>'Occ T2'!D31-'Occ T2'!B31</f>
        <v>-2.1475507995479965</v>
      </c>
      <c r="N105" s="94">
        <f>'Occ T2'!F142</f>
        <v>0.70995605294593744</v>
      </c>
    </row>
    <row r="106" spans="12:14" x14ac:dyDescent="0.25">
      <c r="L106" s="10" t="str">
        <f>name!D28</f>
        <v>91 Elementary trades and related occupations</v>
      </c>
      <c r="M106" s="94">
        <f>'Occ T2'!D32-'Occ T2'!B32</f>
        <v>-2.8895490557075245</v>
      </c>
      <c r="N106" s="94">
        <f>'Occ T2'!F143</f>
        <v>7.8988926835633269</v>
      </c>
    </row>
    <row r="107" spans="12:14" x14ac:dyDescent="0.25">
      <c r="L107" s="10" t="str">
        <f>name!D29</f>
        <v>92 Elementary administration and service occupations</v>
      </c>
      <c r="M107" s="94">
        <f>'Occ T2'!D33-'Occ T2'!B33</f>
        <v>-7.7835560562555415</v>
      </c>
      <c r="N107" s="94">
        <f>'Occ T2'!F144</f>
        <v>-8.2077738143163437</v>
      </c>
    </row>
    <row r="108" spans="12:14" x14ac:dyDescent="0.25">
      <c r="L108" s="10"/>
      <c r="M108" s="94"/>
      <c r="N108" s="94"/>
    </row>
    <row r="109" spans="12:14" x14ac:dyDescent="0.25">
      <c r="L109" s="10" t="str">
        <f>name!D3</f>
        <v>All occupations</v>
      </c>
      <c r="M109" s="94">
        <f>'Occ T2'!D35-'Occ T2'!B35</f>
        <v>-9.3680000000005066</v>
      </c>
      <c r="N109" s="94">
        <f>'Occ T2'!F146</f>
        <v>25.750000000000114</v>
      </c>
    </row>
    <row r="150" spans="1:14" ht="15.5" x14ac:dyDescent="0.35">
      <c r="A150" s="156" t="str">
        <f>CONCATENATE("Occupation Figure 1.2  Change in Employment by Occupation (SOC 2020), ",M152," and ",N152,", ",Info!B5)</f>
        <v>Occupation Figure 1.2  Change in Employment by Occupation (SOC 2020), 2015 - 2020 and 2020-2035, Black Country</v>
      </c>
    </row>
    <row r="152" spans="1:14" x14ac:dyDescent="0.25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94">
        <f>'Occ T1'!D8-'Occ T1'!B8</f>
        <v>5.4076468763754519</v>
      </c>
      <c r="N153" s="94">
        <f>'Occ T1'!H8</f>
        <v>1.4258117941584203</v>
      </c>
    </row>
    <row r="154" spans="1:14" x14ac:dyDescent="0.25">
      <c r="L154" s="10" t="str">
        <f>name!E5</f>
        <v>Professional occupations</v>
      </c>
      <c r="M154" s="94">
        <f>'Occ T1'!D9-'Occ T1'!B9</f>
        <v>15.829925594928071</v>
      </c>
      <c r="N154" s="94">
        <f>'Occ T1'!H9</f>
        <v>18.195384258862177</v>
      </c>
    </row>
    <row r="155" spans="1:14" x14ac:dyDescent="0.25">
      <c r="L155" s="10" t="str">
        <f>name!E6</f>
        <v>Associate professional occupations</v>
      </c>
      <c r="M155" s="94">
        <f>'Occ T1'!D10-'Occ T1'!B10</f>
        <v>4.6882166468141548</v>
      </c>
      <c r="N155" s="94">
        <f>'Occ T1'!H10</f>
        <v>10.694342641748491</v>
      </c>
    </row>
    <row r="156" spans="1:14" x14ac:dyDescent="0.25">
      <c r="L156" s="10" t="str">
        <f>name!E7</f>
        <v>Administrative and secretarial occupations</v>
      </c>
      <c r="M156" s="94">
        <f>'Occ T1'!D11-'Occ T1'!B11</f>
        <v>-3.6595524526492085</v>
      </c>
      <c r="N156" s="94">
        <f>'Occ T1'!H11</f>
        <v>-2.9511293871973407</v>
      </c>
    </row>
    <row r="157" spans="1:14" x14ac:dyDescent="0.25">
      <c r="L157" s="10" t="str">
        <f>name!E8</f>
        <v>Skilled trades occupations</v>
      </c>
      <c r="M157" s="94">
        <f>'Occ T1'!D12-'Occ T1'!B12</f>
        <v>-9.0658806958773965</v>
      </c>
      <c r="N157" s="94">
        <f>'Occ T1'!H12</f>
        <v>-5.4699233712994157</v>
      </c>
    </row>
    <row r="158" spans="1:14" x14ac:dyDescent="0.25">
      <c r="L158" s="10" t="str">
        <f>name!E9</f>
        <v>Caring, leisure and other service occupations</v>
      </c>
      <c r="M158" s="94">
        <f>'Occ T1'!D13-'Occ T1'!B13</f>
        <v>-1.1402362025521953</v>
      </c>
      <c r="N158" s="94">
        <f>'Occ T1'!H13</f>
        <v>4.5817349046127376</v>
      </c>
    </row>
    <row r="159" spans="1:14" x14ac:dyDescent="0.25">
      <c r="L159" s="10" t="str">
        <f>name!E10</f>
        <v>Sales and customer service occupations</v>
      </c>
      <c r="M159" s="94">
        <f>'Occ T1'!D14-'Occ T1'!B14</f>
        <v>-3.9727049012970994</v>
      </c>
      <c r="N159" s="94">
        <f>'Occ T1'!H14</f>
        <v>-0.25870313674354861</v>
      </c>
    </row>
    <row r="160" spans="1:14" x14ac:dyDescent="0.25">
      <c r="L160" s="10" t="str">
        <f>name!E11</f>
        <v>Process, plant and machine operatives</v>
      </c>
      <c r="M160" s="94">
        <f>'Occ T1'!D15-'Occ T1'!B15</f>
        <v>-6.7823097537790886</v>
      </c>
      <c r="N160" s="94">
        <f>'Occ T1'!H15</f>
        <v>-0.15863657338866233</v>
      </c>
    </row>
    <row r="161" spans="12:14" x14ac:dyDescent="0.25">
      <c r="L161" s="10" t="str">
        <f>name!E12</f>
        <v>Elementary occupations</v>
      </c>
      <c r="M161" s="94">
        <f>'Occ T1'!D16-'Occ T1'!B16</f>
        <v>-10.673105111963068</v>
      </c>
      <c r="N161" s="94">
        <f>'Occ T1'!H16</f>
        <v>-0.30888113075301504</v>
      </c>
    </row>
    <row r="162" spans="12:14" x14ac:dyDescent="0.25">
      <c r="L162" s="10"/>
      <c r="M162" s="94"/>
      <c r="N162" s="94"/>
    </row>
    <row r="163" spans="12:14" x14ac:dyDescent="0.25">
      <c r="L163" s="10" t="str">
        <f>name!E3</f>
        <v>All occupations</v>
      </c>
      <c r="M163" s="94">
        <f>'Occ T1'!D18-'Occ T1'!B18</f>
        <v>-9.3680000000004497</v>
      </c>
      <c r="N163" s="94">
        <f>'Occ T1'!H18</f>
        <v>25.749999999999844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796875"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80" t="str">
        <f>CONCATENATE("Occupation Figure 2  Employment by Occupation (SOC 2020), ",$M$2,"-",$O$2,", ",Info!B5)</f>
        <v>Occupation Figure 2  Employment by Occupation (SOC 2020), 2010-2035, Black Country</v>
      </c>
      <c r="L1" s="46"/>
    </row>
    <row r="2" spans="1:64" ht="13" x14ac:dyDescent="0.3">
      <c r="A2" s="364" t="s">
        <v>523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5">
      <c r="L3" s="16"/>
      <c r="M3" s="16"/>
      <c r="N3" s="47"/>
      <c r="O3" s="16"/>
    </row>
    <row r="4" spans="1:64" ht="13" x14ac:dyDescent="0.3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87">
        <f t="shared" ref="M5" si="0">SUM(M6:M7)</f>
        <v>35.862180867533461</v>
      </c>
      <c r="N5" s="87">
        <f>SUM(N6:N7)</f>
        <v>38.511174589502531</v>
      </c>
      <c r="O5" s="87">
        <f t="shared" ref="O5:AL5" si="1">SUM(O6:O7)</f>
        <v>39.64259224433583</v>
      </c>
      <c r="P5" s="87">
        <f t="shared" si="1"/>
        <v>40.316415513863291</v>
      </c>
      <c r="Q5" s="87">
        <f t="shared" si="1"/>
        <v>40.243872987208107</v>
      </c>
      <c r="R5" s="87">
        <f t="shared" si="1"/>
        <v>42.392720616000332</v>
      </c>
      <c r="S5" s="87">
        <f t="shared" si="1"/>
        <v>42.985464839465521</v>
      </c>
      <c r="T5" s="87">
        <f t="shared" si="1"/>
        <v>44.984427135591197</v>
      </c>
      <c r="U5" s="87">
        <f t="shared" si="1"/>
        <v>45.975161924547479</v>
      </c>
      <c r="V5" s="87">
        <f t="shared" si="1"/>
        <v>46.345148009577287</v>
      </c>
      <c r="W5" s="87">
        <f t="shared" si="1"/>
        <v>47.800367492375784</v>
      </c>
      <c r="X5" s="87">
        <f t="shared" si="1"/>
        <v>43.060535762133284</v>
      </c>
      <c r="Y5" s="87">
        <f t="shared" si="1"/>
        <v>43.454015245303204</v>
      </c>
      <c r="Z5" s="87">
        <f t="shared" si="1"/>
        <v>43.880784263827806</v>
      </c>
      <c r="AA5" s="87">
        <f t="shared" si="1"/>
        <v>44.389079234129113</v>
      </c>
      <c r="AB5" s="87">
        <f t="shared" si="1"/>
        <v>44.836824250943323</v>
      </c>
      <c r="AC5" s="87">
        <f t="shared" si="1"/>
        <v>45.243249097567087</v>
      </c>
      <c r="AD5" s="87">
        <f t="shared" si="1"/>
        <v>45.641551239195167</v>
      </c>
      <c r="AE5" s="87">
        <f t="shared" si="1"/>
        <v>46.052615855161022</v>
      </c>
      <c r="AF5" s="87">
        <f t="shared" si="1"/>
        <v>46.472351672888863</v>
      </c>
      <c r="AG5" s="87">
        <f t="shared" si="1"/>
        <v>46.923273602695382</v>
      </c>
      <c r="AH5" s="87">
        <f t="shared" si="1"/>
        <v>47.364506275000423</v>
      </c>
      <c r="AI5" s="87">
        <f t="shared" si="1"/>
        <v>47.808224500789919</v>
      </c>
      <c r="AJ5" s="87">
        <f t="shared" si="1"/>
        <v>48.264954800681885</v>
      </c>
      <c r="AK5" s="87">
        <f t="shared" si="1"/>
        <v>48.738490857078631</v>
      </c>
      <c r="AL5" s="87">
        <f t="shared" si="1"/>
        <v>49.226179286534204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232" t="str">
        <f>'Occ T3'!A8</f>
        <v>11 Corporate managers and directors</v>
      </c>
      <c r="M6" s="11">
        <v>25.579593238439738</v>
      </c>
      <c r="N6" s="11">
        <v>27.40169587563938</v>
      </c>
      <c r="O6" s="11">
        <v>28.168559828983248</v>
      </c>
      <c r="P6" s="11">
        <v>28.699744694795161</v>
      </c>
      <c r="Q6" s="11">
        <v>27.526629945729731</v>
      </c>
      <c r="R6" s="11">
        <v>29.880785800881405</v>
      </c>
      <c r="S6" s="11">
        <v>31.39905331134868</v>
      </c>
      <c r="T6" s="11">
        <v>32.04154656777888</v>
      </c>
      <c r="U6" s="11">
        <v>33.297068548179432</v>
      </c>
      <c r="V6" s="11">
        <v>33.670781149647794</v>
      </c>
      <c r="W6" s="11">
        <v>34.557349518918279</v>
      </c>
      <c r="X6" s="11">
        <v>30.075727690006548</v>
      </c>
      <c r="Y6" s="11">
        <v>30.291432415932476</v>
      </c>
      <c r="Z6" s="11">
        <v>30.557092989920058</v>
      </c>
      <c r="AA6" s="11">
        <v>30.893841930483362</v>
      </c>
      <c r="AB6" s="11">
        <v>31.172230771306513</v>
      </c>
      <c r="AC6" s="11">
        <v>31.429118254214508</v>
      </c>
      <c r="AD6" s="11">
        <v>31.685152719904647</v>
      </c>
      <c r="AE6" s="11">
        <v>31.950062959950447</v>
      </c>
      <c r="AF6" s="11">
        <v>32.211441044902173</v>
      </c>
      <c r="AG6" s="11">
        <v>32.495532292470394</v>
      </c>
      <c r="AH6" s="11">
        <v>32.77102116260231</v>
      </c>
      <c r="AI6" s="11">
        <v>33.051061364181777</v>
      </c>
      <c r="AJ6" s="11">
        <v>33.337145705645646</v>
      </c>
      <c r="AK6" s="11">
        <v>33.627082802042622</v>
      </c>
      <c r="AL6" s="11">
        <v>33.924972676339749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232" t="str">
        <f>'Occ T3'!A9</f>
        <v>12 Other managers and proprietors</v>
      </c>
      <c r="M7" s="11">
        <v>10.282587629093722</v>
      </c>
      <c r="N7" s="11">
        <v>11.109478713863155</v>
      </c>
      <c r="O7" s="11">
        <v>11.474032415352585</v>
      </c>
      <c r="P7" s="11">
        <v>11.616670819068126</v>
      </c>
      <c r="Q7" s="11">
        <v>12.717243041478378</v>
      </c>
      <c r="R7" s="11">
        <v>12.511934815118931</v>
      </c>
      <c r="S7" s="11">
        <v>11.586411528116839</v>
      </c>
      <c r="T7" s="11">
        <v>12.942880567812317</v>
      </c>
      <c r="U7" s="11">
        <v>12.678093376368045</v>
      </c>
      <c r="V7" s="11">
        <v>12.674366859929489</v>
      </c>
      <c r="W7" s="11">
        <v>13.243017973457505</v>
      </c>
      <c r="X7" s="11">
        <v>12.984808072126734</v>
      </c>
      <c r="Y7" s="11">
        <v>13.162582829370725</v>
      </c>
      <c r="Z7" s="11">
        <v>13.323691273907748</v>
      </c>
      <c r="AA7" s="11">
        <v>13.49523730364575</v>
      </c>
      <c r="AB7" s="11">
        <v>13.664593479636807</v>
      </c>
      <c r="AC7" s="11">
        <v>13.814130843352583</v>
      </c>
      <c r="AD7" s="11">
        <v>13.956398519290516</v>
      </c>
      <c r="AE7" s="11">
        <v>14.102552895210573</v>
      </c>
      <c r="AF7" s="11">
        <v>14.260910627986689</v>
      </c>
      <c r="AG7" s="11">
        <v>14.42774131022499</v>
      </c>
      <c r="AH7" s="11">
        <v>14.593485112398117</v>
      </c>
      <c r="AI7" s="11">
        <v>14.757163136608142</v>
      </c>
      <c r="AJ7" s="11">
        <v>14.927809095036238</v>
      </c>
      <c r="AK7" s="11">
        <v>15.111408055036012</v>
      </c>
      <c r="AL7" s="11">
        <v>15.301206610194454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87">
        <f t="shared" ref="M9" si="2">SUM(M10:M13)</f>
        <v>86.206821442855571</v>
      </c>
      <c r="N9" s="87">
        <f>SUM(N10:N13)</f>
        <v>85.731316551172029</v>
      </c>
      <c r="O9" s="87">
        <f t="shared" ref="O9:AL9" si="3">SUM(O10:O13)</f>
        <v>84.571828003452111</v>
      </c>
      <c r="P9" s="87">
        <f t="shared" si="3"/>
        <v>86.321165784949471</v>
      </c>
      <c r="Q9" s="87">
        <f t="shared" si="3"/>
        <v>87.165939561521355</v>
      </c>
      <c r="R9" s="87">
        <f t="shared" si="3"/>
        <v>87.713907644760383</v>
      </c>
      <c r="S9" s="87">
        <f t="shared" si="3"/>
        <v>92.887078996026617</v>
      </c>
      <c r="T9" s="87">
        <f t="shared" si="3"/>
        <v>93.43879519461521</v>
      </c>
      <c r="U9" s="87">
        <f t="shared" si="3"/>
        <v>96.075621748911246</v>
      </c>
      <c r="V9" s="87">
        <f t="shared" si="3"/>
        <v>99.060176549524812</v>
      </c>
      <c r="W9" s="87">
        <f t="shared" si="3"/>
        <v>103.54383323968845</v>
      </c>
      <c r="X9" s="87">
        <f t="shared" si="3"/>
        <v>104.99516752620241</v>
      </c>
      <c r="Y9" s="87">
        <f t="shared" si="3"/>
        <v>106.00365646184794</v>
      </c>
      <c r="Z9" s="87">
        <f t="shared" si="3"/>
        <v>107.24803069004871</v>
      </c>
      <c r="AA9" s="87">
        <f t="shared" si="3"/>
        <v>108.70617423210903</v>
      </c>
      <c r="AB9" s="87">
        <f t="shared" si="3"/>
        <v>109.96238805392818</v>
      </c>
      <c r="AC9" s="87">
        <f t="shared" si="3"/>
        <v>111.1484554981422</v>
      </c>
      <c r="AD9" s="87">
        <f t="shared" si="3"/>
        <v>112.31089713171626</v>
      </c>
      <c r="AE9" s="87">
        <f t="shared" si="3"/>
        <v>113.43589562579079</v>
      </c>
      <c r="AF9" s="87">
        <f t="shared" si="3"/>
        <v>114.57329559762601</v>
      </c>
      <c r="AG9" s="87">
        <f t="shared" si="3"/>
        <v>115.77397136993768</v>
      </c>
      <c r="AH9" s="87">
        <f t="shared" si="3"/>
        <v>116.97986811251998</v>
      </c>
      <c r="AI9" s="87">
        <f t="shared" si="3"/>
        <v>118.16663666353965</v>
      </c>
      <c r="AJ9" s="87">
        <f t="shared" si="3"/>
        <v>119.36661533226028</v>
      </c>
      <c r="AK9" s="87">
        <f t="shared" si="3"/>
        <v>120.57211980846094</v>
      </c>
      <c r="AL9" s="87">
        <f t="shared" si="3"/>
        <v>121.73921749855063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232" t="str">
        <f>'Occ T3'!A12</f>
        <v>21 Science, research, engineering and technology professionals</v>
      </c>
      <c r="M10" s="11">
        <v>22.377811895442253</v>
      </c>
      <c r="N10" s="11">
        <v>21.147922737477579</v>
      </c>
      <c r="O10" s="11">
        <v>21.373272016484549</v>
      </c>
      <c r="P10" s="11">
        <v>21.38951926771017</v>
      </c>
      <c r="Q10" s="11">
        <v>22.292308176904616</v>
      </c>
      <c r="R10" s="11">
        <v>23.692567314037611</v>
      </c>
      <c r="S10" s="11">
        <v>24.089672943557431</v>
      </c>
      <c r="T10" s="11">
        <v>23.173002025289211</v>
      </c>
      <c r="U10" s="11">
        <v>25.387472391358401</v>
      </c>
      <c r="V10" s="11">
        <v>25.522442469208745</v>
      </c>
      <c r="W10" s="11">
        <v>26.67415223973487</v>
      </c>
      <c r="X10" s="11">
        <v>30.584511425055727</v>
      </c>
      <c r="Y10" s="11">
        <v>30.950848576356279</v>
      </c>
      <c r="Z10" s="11">
        <v>31.38392542753812</v>
      </c>
      <c r="AA10" s="11">
        <v>31.887494497599565</v>
      </c>
      <c r="AB10" s="11">
        <v>32.331352616593463</v>
      </c>
      <c r="AC10" s="11">
        <v>32.738821698467824</v>
      </c>
      <c r="AD10" s="11">
        <v>33.129988174010208</v>
      </c>
      <c r="AE10" s="11">
        <v>33.515713849750739</v>
      </c>
      <c r="AF10" s="11">
        <v>33.903539207830491</v>
      </c>
      <c r="AG10" s="11">
        <v>34.326048204468954</v>
      </c>
      <c r="AH10" s="11">
        <v>34.744655113261388</v>
      </c>
      <c r="AI10" s="11">
        <v>35.169624735640845</v>
      </c>
      <c r="AJ10" s="11">
        <v>35.591619161000544</v>
      </c>
      <c r="AK10" s="11">
        <v>36.027313718101766</v>
      </c>
      <c r="AL10" s="11">
        <v>36.460147888250177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232" t="str">
        <f>'Occ T3'!A13</f>
        <v>22 Health professionals</v>
      </c>
      <c r="M11" s="11">
        <v>20.190295533415984</v>
      </c>
      <c r="N11" s="11">
        <v>21.70156410510868</v>
      </c>
      <c r="O11" s="11">
        <v>22.504275666399398</v>
      </c>
      <c r="P11" s="11">
        <v>22.874578467079267</v>
      </c>
      <c r="Q11" s="11">
        <v>23.071665541173786</v>
      </c>
      <c r="R11" s="11">
        <v>21.674771905892207</v>
      </c>
      <c r="S11" s="11">
        <v>24.616500003749771</v>
      </c>
      <c r="T11" s="11">
        <v>26.243237289701206</v>
      </c>
      <c r="U11" s="11">
        <v>25.449093962651084</v>
      </c>
      <c r="V11" s="11">
        <v>27.315802663195459</v>
      </c>
      <c r="W11" s="11">
        <v>26.885303796114776</v>
      </c>
      <c r="X11" s="11">
        <v>25.484947536938776</v>
      </c>
      <c r="Y11" s="11">
        <v>25.726675786960506</v>
      </c>
      <c r="Z11" s="11">
        <v>25.989492309915555</v>
      </c>
      <c r="AA11" s="11">
        <v>26.295795229622467</v>
      </c>
      <c r="AB11" s="11">
        <v>26.54413441665373</v>
      </c>
      <c r="AC11" s="11">
        <v>26.772172397431909</v>
      </c>
      <c r="AD11" s="11">
        <v>26.988497743327557</v>
      </c>
      <c r="AE11" s="11">
        <v>27.163545486327397</v>
      </c>
      <c r="AF11" s="11">
        <v>27.370470347226167</v>
      </c>
      <c r="AG11" s="11">
        <v>27.573922504711341</v>
      </c>
      <c r="AH11" s="11">
        <v>27.78040092922064</v>
      </c>
      <c r="AI11" s="11">
        <v>27.984584447828627</v>
      </c>
      <c r="AJ11" s="11">
        <v>28.191988415654016</v>
      </c>
      <c r="AK11" s="11">
        <v>28.394571433941138</v>
      </c>
      <c r="AL11" s="11">
        <v>28.579623063913772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232" t="str">
        <f>'Occ T3'!A14</f>
        <v>23 Teaching and other educational professionals</v>
      </c>
      <c r="M12" s="11">
        <v>20.456879175385708</v>
      </c>
      <c r="N12" s="11">
        <v>21.055623593171269</v>
      </c>
      <c r="O12" s="11">
        <v>19.699149496513833</v>
      </c>
      <c r="P12" s="11">
        <v>19.701836017610951</v>
      </c>
      <c r="Q12" s="11">
        <v>19.41236908695241</v>
      </c>
      <c r="R12" s="11">
        <v>19.540374765671235</v>
      </c>
      <c r="S12" s="11">
        <v>20.300023917060315</v>
      </c>
      <c r="T12" s="11">
        <v>19.85962826589396</v>
      </c>
      <c r="U12" s="11">
        <v>19.555534387074616</v>
      </c>
      <c r="V12" s="11">
        <v>20.765597855160532</v>
      </c>
      <c r="W12" s="11">
        <v>22.026617843508607</v>
      </c>
      <c r="X12" s="11">
        <v>21.042952128097475</v>
      </c>
      <c r="Y12" s="11">
        <v>21.216801564954341</v>
      </c>
      <c r="Z12" s="11">
        <v>21.457775128923572</v>
      </c>
      <c r="AA12" s="11">
        <v>21.728442336362058</v>
      </c>
      <c r="AB12" s="11">
        <v>21.969692618216403</v>
      </c>
      <c r="AC12" s="11">
        <v>22.211058677789687</v>
      </c>
      <c r="AD12" s="11">
        <v>22.452927620239169</v>
      </c>
      <c r="AE12" s="11">
        <v>22.68441556001617</v>
      </c>
      <c r="AF12" s="11">
        <v>22.89791829591648</v>
      </c>
      <c r="AG12" s="11">
        <v>23.120233394978808</v>
      </c>
      <c r="AH12" s="11">
        <v>23.35175936660082</v>
      </c>
      <c r="AI12" s="11">
        <v>23.556573071221266</v>
      </c>
      <c r="AJ12" s="11">
        <v>23.765156584793846</v>
      </c>
      <c r="AK12" s="11">
        <v>23.970926432272623</v>
      </c>
      <c r="AL12" s="11">
        <v>24.165356288680911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232" t="str">
        <f>'Occ T3'!A15</f>
        <v>24 Business, media and public service professionals</v>
      </c>
      <c r="M13" s="11">
        <v>23.181834838611625</v>
      </c>
      <c r="N13" s="11">
        <v>21.826206115414504</v>
      </c>
      <c r="O13" s="11">
        <v>20.995130824054328</v>
      </c>
      <c r="P13" s="11">
        <v>22.355232032549083</v>
      </c>
      <c r="Q13" s="11">
        <v>22.389596756490544</v>
      </c>
      <c r="R13" s="11">
        <v>22.806193659159341</v>
      </c>
      <c r="S13" s="11">
        <v>23.880882131659085</v>
      </c>
      <c r="T13" s="11">
        <v>24.162927613730837</v>
      </c>
      <c r="U13" s="11">
        <v>25.683521007827142</v>
      </c>
      <c r="V13" s="11">
        <v>25.456333561960076</v>
      </c>
      <c r="W13" s="11">
        <v>27.957759360330201</v>
      </c>
      <c r="X13" s="11">
        <v>27.882756436110437</v>
      </c>
      <c r="Y13" s="11">
        <v>28.109330533576806</v>
      </c>
      <c r="Z13" s="11">
        <v>28.416837823671454</v>
      </c>
      <c r="AA13" s="11">
        <v>28.794442168524952</v>
      </c>
      <c r="AB13" s="11">
        <v>29.117208402464584</v>
      </c>
      <c r="AC13" s="11">
        <v>29.426402724452764</v>
      </c>
      <c r="AD13" s="11">
        <v>29.739483594139326</v>
      </c>
      <c r="AE13" s="11">
        <v>30.0722207296965</v>
      </c>
      <c r="AF13" s="11">
        <v>30.401367746652877</v>
      </c>
      <c r="AG13" s="11">
        <v>30.753767265778574</v>
      </c>
      <c r="AH13" s="11">
        <v>31.103052703437125</v>
      </c>
      <c r="AI13" s="11">
        <v>31.455854408848911</v>
      </c>
      <c r="AJ13" s="11">
        <v>31.817851170811881</v>
      </c>
      <c r="AK13" s="11">
        <v>32.179308224145416</v>
      </c>
      <c r="AL13" s="11">
        <v>32.53409025770577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87">
        <f t="shared" ref="M15" si="4">SUM(M16:M20)</f>
        <v>53.373040106788551</v>
      </c>
      <c r="N15" s="87">
        <f>SUM(N16:N20)</f>
        <v>53.085699220941578</v>
      </c>
      <c r="O15" s="87">
        <f t="shared" ref="O15:AL15" si="5">SUM(O16:O20)</f>
        <v>54.517980862841341</v>
      </c>
      <c r="P15" s="87">
        <f t="shared" si="5"/>
        <v>54.016251400602997</v>
      </c>
      <c r="Q15" s="87">
        <f t="shared" si="5"/>
        <v>54.773115656466345</v>
      </c>
      <c r="R15" s="87">
        <f t="shared" si="5"/>
        <v>56.127385363836439</v>
      </c>
      <c r="S15" s="87">
        <f t="shared" si="5"/>
        <v>56.929880454626009</v>
      </c>
      <c r="T15" s="87">
        <f t="shared" si="5"/>
        <v>59.145991111724456</v>
      </c>
      <c r="U15" s="87">
        <f t="shared" si="5"/>
        <v>58.733511687785942</v>
      </c>
      <c r="V15" s="87">
        <f t="shared" si="5"/>
        <v>58.716382031893609</v>
      </c>
      <c r="W15" s="87">
        <f t="shared" si="5"/>
        <v>60.815602010650593</v>
      </c>
      <c r="X15" s="87">
        <f t="shared" si="5"/>
        <v>62.591725584243491</v>
      </c>
      <c r="Y15" s="87">
        <f t="shared" si="5"/>
        <v>63.042523368051235</v>
      </c>
      <c r="Z15" s="87">
        <f t="shared" si="5"/>
        <v>63.670397736706633</v>
      </c>
      <c r="AA15" s="87">
        <f t="shared" si="5"/>
        <v>64.479735894815377</v>
      </c>
      <c r="AB15" s="87">
        <f t="shared" si="5"/>
        <v>65.159050767565844</v>
      </c>
      <c r="AC15" s="87">
        <f t="shared" si="5"/>
        <v>65.772525163454162</v>
      </c>
      <c r="AD15" s="87">
        <f t="shared" si="5"/>
        <v>66.363964798377609</v>
      </c>
      <c r="AE15" s="87">
        <f t="shared" si="5"/>
        <v>66.980351518458008</v>
      </c>
      <c r="AF15" s="87">
        <f t="shared" si="5"/>
        <v>67.604287905090175</v>
      </c>
      <c r="AG15" s="87">
        <f t="shared" si="5"/>
        <v>68.245715388476015</v>
      </c>
      <c r="AH15" s="87">
        <f t="shared" si="5"/>
        <v>68.871488840188093</v>
      </c>
      <c r="AI15" s="87">
        <f t="shared" si="5"/>
        <v>69.49163677829128</v>
      </c>
      <c r="AJ15" s="87">
        <f t="shared" si="5"/>
        <v>70.160948181429546</v>
      </c>
      <c r="AK15" s="87">
        <f t="shared" si="5"/>
        <v>70.8278570291086</v>
      </c>
      <c r="AL15" s="87">
        <f t="shared" si="5"/>
        <v>71.509944652399085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232" t="str">
        <f>'Occ T3'!A18</f>
        <v>31 Science, engineering and technology associate professionals</v>
      </c>
      <c r="M16" s="11">
        <v>8.0026378401912979</v>
      </c>
      <c r="N16" s="11">
        <v>7.8918188838311796</v>
      </c>
      <c r="O16" s="11">
        <v>7.9566676567861299</v>
      </c>
      <c r="P16" s="11">
        <v>8.095071965655249</v>
      </c>
      <c r="Q16" s="11">
        <v>7.5275931013521182</v>
      </c>
      <c r="R16" s="11">
        <v>7.6396337675645283</v>
      </c>
      <c r="S16" s="11">
        <v>7.7316004319096425</v>
      </c>
      <c r="T16" s="11">
        <v>8.4433808137116024</v>
      </c>
      <c r="U16" s="11">
        <v>8.618911060917954</v>
      </c>
      <c r="V16" s="11">
        <v>8.077817744101548</v>
      </c>
      <c r="W16" s="11">
        <v>8.7119007645620972</v>
      </c>
      <c r="X16" s="11">
        <v>7.8154822069366414</v>
      </c>
      <c r="Y16" s="11">
        <v>7.8519011465352007</v>
      </c>
      <c r="Z16" s="11">
        <v>7.8997690159201683</v>
      </c>
      <c r="AA16" s="11">
        <v>7.9659935916920501</v>
      </c>
      <c r="AB16" s="11">
        <v>8.0146156799495873</v>
      </c>
      <c r="AC16" s="11">
        <v>8.058922224212111</v>
      </c>
      <c r="AD16" s="11">
        <v>8.0985750127382072</v>
      </c>
      <c r="AE16" s="11">
        <v>8.1399103325282347</v>
      </c>
      <c r="AF16" s="11">
        <v>8.1736007712211318</v>
      </c>
      <c r="AG16" s="11">
        <v>8.2107619326212209</v>
      </c>
      <c r="AH16" s="11">
        <v>8.2529179019557155</v>
      </c>
      <c r="AI16" s="11">
        <v>8.2928843329108926</v>
      </c>
      <c r="AJ16" s="11">
        <v>8.3325113445622101</v>
      </c>
      <c r="AK16" s="11">
        <v>8.3801076698848807</v>
      </c>
      <c r="AL16" s="11">
        <v>8.4283160725445487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232" t="str">
        <f>'Occ T3'!A19</f>
        <v>32 Health and social care associate professionals</v>
      </c>
      <c r="M17" s="11">
        <v>7.4533977210465165</v>
      </c>
      <c r="N17" s="11">
        <v>9.6402914284411594</v>
      </c>
      <c r="O17" s="11">
        <v>9.6565284049571449</v>
      </c>
      <c r="P17" s="11">
        <v>9.3633055853096199</v>
      </c>
      <c r="Q17" s="11">
        <v>9.4873040570003777</v>
      </c>
      <c r="R17" s="11">
        <v>9.0328897579836376</v>
      </c>
      <c r="S17" s="11">
        <v>10.067518877132974</v>
      </c>
      <c r="T17" s="11">
        <v>10.260715582861986</v>
      </c>
      <c r="U17" s="11">
        <v>10.639545655659223</v>
      </c>
      <c r="V17" s="11">
        <v>10.95672977042833</v>
      </c>
      <c r="W17" s="11">
        <v>11.001883705458065</v>
      </c>
      <c r="X17" s="11">
        <v>16.23493999390395</v>
      </c>
      <c r="Y17" s="11">
        <v>16.581418807358681</v>
      </c>
      <c r="Z17" s="11">
        <v>16.940217895142144</v>
      </c>
      <c r="AA17" s="11">
        <v>17.329627726360158</v>
      </c>
      <c r="AB17" s="11">
        <v>17.680149098148942</v>
      </c>
      <c r="AC17" s="11">
        <v>18.014640162263404</v>
      </c>
      <c r="AD17" s="11">
        <v>18.345791199127664</v>
      </c>
      <c r="AE17" s="11">
        <v>18.688578097210915</v>
      </c>
      <c r="AF17" s="11">
        <v>19.027156568805363</v>
      </c>
      <c r="AG17" s="11">
        <v>19.366276900294569</v>
      </c>
      <c r="AH17" s="11">
        <v>19.690003395597188</v>
      </c>
      <c r="AI17" s="11">
        <v>20.009658742891062</v>
      </c>
      <c r="AJ17" s="11">
        <v>20.357763842913297</v>
      </c>
      <c r="AK17" s="11">
        <v>20.707567011034541</v>
      </c>
      <c r="AL17" s="11">
        <v>21.055821572998454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232" t="str">
        <f>'Occ T3'!A20</f>
        <v>33 Protective service occupations</v>
      </c>
      <c r="M18" s="11">
        <v>4.3847456175225963</v>
      </c>
      <c r="N18" s="11">
        <v>4.9115292651673448</v>
      </c>
      <c r="O18" s="11">
        <v>5.1879496914215508</v>
      </c>
      <c r="P18" s="11">
        <v>4.5116944284687852</v>
      </c>
      <c r="Q18" s="11">
        <v>4.7548846718762015</v>
      </c>
      <c r="R18" s="11">
        <v>4.4444232941510675</v>
      </c>
      <c r="S18" s="11">
        <v>4.8746564590373804</v>
      </c>
      <c r="T18" s="11">
        <v>4.676208807640184</v>
      </c>
      <c r="U18" s="11">
        <v>4.5919056855440168</v>
      </c>
      <c r="V18" s="11">
        <v>4.4270085893151121</v>
      </c>
      <c r="W18" s="11">
        <v>4.6873216411379666</v>
      </c>
      <c r="X18" s="11">
        <v>3.8525308087656853</v>
      </c>
      <c r="Y18" s="11">
        <v>3.8948131279753908</v>
      </c>
      <c r="Z18" s="11">
        <v>3.9428531196105729</v>
      </c>
      <c r="AA18" s="11">
        <v>4.0017784635565326</v>
      </c>
      <c r="AB18" s="11">
        <v>4.0581613546153656</v>
      </c>
      <c r="AC18" s="11">
        <v>4.1010754762309976</v>
      </c>
      <c r="AD18" s="11">
        <v>4.141769151668913</v>
      </c>
      <c r="AE18" s="11">
        <v>4.16946411438804</v>
      </c>
      <c r="AF18" s="11">
        <v>4.2192408933339731</v>
      </c>
      <c r="AG18" s="11">
        <v>4.2556795079149445</v>
      </c>
      <c r="AH18" s="11">
        <v>4.291783265899463</v>
      </c>
      <c r="AI18" s="11">
        <v>4.3167468241689884</v>
      </c>
      <c r="AJ18" s="11">
        <v>4.3694149889279021</v>
      </c>
      <c r="AK18" s="11">
        <v>4.396658789070985</v>
      </c>
      <c r="AL18" s="11">
        <v>4.4519253372123764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232" t="str">
        <f>'Occ T3'!A21</f>
        <v>34 Culture, media and sports occupations</v>
      </c>
      <c r="M19" s="11">
        <v>6.1358370109161919</v>
      </c>
      <c r="N19" s="11">
        <v>5.4715088391413067</v>
      </c>
      <c r="O19" s="11">
        <v>5.9313934480462045</v>
      </c>
      <c r="P19" s="11">
        <v>6.1979401114567665</v>
      </c>
      <c r="Q19" s="11">
        <v>6.3931837189110832</v>
      </c>
      <c r="R19" s="11">
        <v>7.5269975158661087</v>
      </c>
      <c r="S19" s="11">
        <v>6.901704513757366</v>
      </c>
      <c r="T19" s="11">
        <v>7.3001313924002416</v>
      </c>
      <c r="U19" s="11">
        <v>6.6834593502709687</v>
      </c>
      <c r="V19" s="11">
        <v>7.4707121265529306</v>
      </c>
      <c r="W19" s="11">
        <v>7.6956038424600592</v>
      </c>
      <c r="X19" s="11">
        <v>6.5926783745323458</v>
      </c>
      <c r="Y19" s="11">
        <v>6.482429479434499</v>
      </c>
      <c r="Z19" s="11">
        <v>6.4840839145934428</v>
      </c>
      <c r="AA19" s="11">
        <v>6.5572983869707073</v>
      </c>
      <c r="AB19" s="11">
        <v>6.6237757922128777</v>
      </c>
      <c r="AC19" s="11">
        <v>6.6817764358186151</v>
      </c>
      <c r="AD19" s="11">
        <v>6.7373164559830316</v>
      </c>
      <c r="AE19" s="11">
        <v>6.7934236250218554</v>
      </c>
      <c r="AF19" s="11">
        <v>6.8516628953631509</v>
      </c>
      <c r="AG19" s="11">
        <v>6.9163311270490508</v>
      </c>
      <c r="AH19" s="11">
        <v>6.974713838818829</v>
      </c>
      <c r="AI19" s="11">
        <v>7.0407353930975782</v>
      </c>
      <c r="AJ19" s="11">
        <v>7.1101317053477757</v>
      </c>
      <c r="AK19" s="11">
        <v>7.1742310849897191</v>
      </c>
      <c r="AL19" s="11">
        <v>7.2418470917099587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232" t="str">
        <f>'Occ T3'!A22</f>
        <v>35 Business and public service associate professionals</v>
      </c>
      <c r="M20" s="11">
        <v>27.396421917111951</v>
      </c>
      <c r="N20" s="11">
        <v>25.170550804360587</v>
      </c>
      <c r="O20" s="11">
        <v>25.785441661630312</v>
      </c>
      <c r="P20" s="11">
        <v>25.848239309712579</v>
      </c>
      <c r="Q20" s="11">
        <v>26.610150107326568</v>
      </c>
      <c r="R20" s="11">
        <v>27.483441028271098</v>
      </c>
      <c r="S20" s="11">
        <v>27.354400172788644</v>
      </c>
      <c r="T20" s="11">
        <v>28.465554515110441</v>
      </c>
      <c r="U20" s="11">
        <v>28.199689935393778</v>
      </c>
      <c r="V20" s="11">
        <v>27.784113801495693</v>
      </c>
      <c r="W20" s="11">
        <v>28.718892057032409</v>
      </c>
      <c r="X20" s="11">
        <v>28.096094200104869</v>
      </c>
      <c r="Y20" s="11">
        <v>28.231960806747463</v>
      </c>
      <c r="Z20" s="11">
        <v>28.403473791440305</v>
      </c>
      <c r="AA20" s="11">
        <v>28.625037726235938</v>
      </c>
      <c r="AB20" s="11">
        <v>28.782348842639074</v>
      </c>
      <c r="AC20" s="11">
        <v>28.916110864929045</v>
      </c>
      <c r="AD20" s="11">
        <v>29.040512978859791</v>
      </c>
      <c r="AE20" s="11">
        <v>29.188975349308965</v>
      </c>
      <c r="AF20" s="11">
        <v>29.332626776366556</v>
      </c>
      <c r="AG20" s="11">
        <v>29.496665920596229</v>
      </c>
      <c r="AH20" s="11">
        <v>29.662070437916896</v>
      </c>
      <c r="AI20" s="11">
        <v>29.831611485222755</v>
      </c>
      <c r="AJ20" s="11">
        <v>29.991126299678367</v>
      </c>
      <c r="AK20" s="11">
        <v>30.169292474128479</v>
      </c>
      <c r="AL20" s="11">
        <v>30.332034577933754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87">
        <f t="shared" ref="M22" si="6">SUM(M23:M24)</f>
        <v>57.839044153626922</v>
      </c>
      <c r="N22" s="87">
        <f>SUM(N23:N24)</f>
        <v>57.908265786389578</v>
      </c>
      <c r="O22" s="87">
        <f t="shared" ref="O22:AL22" si="7">SUM(O23:O24)</f>
        <v>58.656731622355053</v>
      </c>
      <c r="P22" s="87">
        <f t="shared" si="7"/>
        <v>56.430568954100771</v>
      </c>
      <c r="Q22" s="87">
        <f t="shared" si="7"/>
        <v>57.452543673448133</v>
      </c>
      <c r="R22" s="87">
        <f t="shared" si="7"/>
        <v>60.137952735863799</v>
      </c>
      <c r="S22" s="87">
        <f t="shared" si="7"/>
        <v>57.612393248091713</v>
      </c>
      <c r="T22" s="87">
        <f t="shared" si="7"/>
        <v>60.105228409853098</v>
      </c>
      <c r="U22" s="87">
        <f t="shared" si="7"/>
        <v>58.395454884826378</v>
      </c>
      <c r="V22" s="87">
        <f t="shared" si="7"/>
        <v>54.660014915246499</v>
      </c>
      <c r="W22" s="87">
        <f t="shared" si="7"/>
        <v>56.47840028321459</v>
      </c>
      <c r="X22" s="87">
        <f t="shared" si="7"/>
        <v>57.744021619335498</v>
      </c>
      <c r="Y22" s="87">
        <f t="shared" si="7"/>
        <v>57.731774318485094</v>
      </c>
      <c r="Z22" s="87">
        <f t="shared" si="7"/>
        <v>57.668909636307632</v>
      </c>
      <c r="AA22" s="87">
        <f t="shared" si="7"/>
        <v>57.657638665145029</v>
      </c>
      <c r="AB22" s="87">
        <f t="shared" si="7"/>
        <v>57.502694930725809</v>
      </c>
      <c r="AC22" s="87">
        <f t="shared" si="7"/>
        <v>57.20691059603655</v>
      </c>
      <c r="AD22" s="87">
        <f t="shared" si="7"/>
        <v>56.86982049748616</v>
      </c>
      <c r="AE22" s="87">
        <f t="shared" si="7"/>
        <v>56.482319653123184</v>
      </c>
      <c r="AF22" s="87">
        <f t="shared" si="7"/>
        <v>56.078956023378588</v>
      </c>
      <c r="AG22" s="87">
        <f t="shared" si="7"/>
        <v>55.701650999803462</v>
      </c>
      <c r="AH22" s="87">
        <f t="shared" si="7"/>
        <v>55.292920723479483</v>
      </c>
      <c r="AI22" s="87">
        <f t="shared" si="7"/>
        <v>54.87887406699199</v>
      </c>
      <c r="AJ22" s="87">
        <f t="shared" si="7"/>
        <v>54.391678584397226</v>
      </c>
      <c r="AK22" s="87">
        <f t="shared" si="7"/>
        <v>53.927573304210426</v>
      </c>
      <c r="AL22" s="87">
        <f t="shared" si="7"/>
        <v>53.527270896017249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232" t="str">
        <f>'Occ T3'!A25</f>
        <v>41 Administrative occupations</v>
      </c>
      <c r="M23" s="11">
        <v>45.161833904360783</v>
      </c>
      <c r="N23" s="11">
        <v>46.115132316247106</v>
      </c>
      <c r="O23" s="11">
        <v>47.259612307060713</v>
      </c>
      <c r="P23" s="11">
        <v>45.025754410125693</v>
      </c>
      <c r="Q23" s="11">
        <v>46.156371669307241</v>
      </c>
      <c r="R23" s="11">
        <v>49.13839945665805</v>
      </c>
      <c r="S23" s="11">
        <v>47.207392482003854</v>
      </c>
      <c r="T23" s="11">
        <v>48.978127392640424</v>
      </c>
      <c r="U23" s="11">
        <v>47.50528606050662</v>
      </c>
      <c r="V23" s="11">
        <v>45.165151846246381</v>
      </c>
      <c r="W23" s="11">
        <v>47.19806700974938</v>
      </c>
      <c r="X23" s="11">
        <v>48.521030989910265</v>
      </c>
      <c r="Y23" s="11">
        <v>48.62660030461786</v>
      </c>
      <c r="Z23" s="11">
        <v>48.723386233326174</v>
      </c>
      <c r="AA23" s="11">
        <v>48.874779378086927</v>
      </c>
      <c r="AB23" s="11">
        <v>48.934345395177246</v>
      </c>
      <c r="AC23" s="11">
        <v>48.927854583739013</v>
      </c>
      <c r="AD23" s="11">
        <v>48.865408449766718</v>
      </c>
      <c r="AE23" s="11">
        <v>48.781326157439551</v>
      </c>
      <c r="AF23" s="11">
        <v>48.705437401308153</v>
      </c>
      <c r="AG23" s="11">
        <v>48.659816475317555</v>
      </c>
      <c r="AH23" s="11">
        <v>48.595596153685619</v>
      </c>
      <c r="AI23" s="11">
        <v>48.503865639209117</v>
      </c>
      <c r="AJ23" s="11">
        <v>48.40223085676103</v>
      </c>
      <c r="AK23" s="11">
        <v>48.273035160713384</v>
      </c>
      <c r="AL23" s="11">
        <v>48.119806641230511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232" t="str">
        <f>'Occ T3'!A26</f>
        <v>42 Secretarial and related occupations</v>
      </c>
      <c r="M24" s="11">
        <v>12.677210249266141</v>
      </c>
      <c r="N24" s="11">
        <v>11.79313347014247</v>
      </c>
      <c r="O24" s="11">
        <v>11.397119315294336</v>
      </c>
      <c r="P24" s="11">
        <v>11.40481454397508</v>
      </c>
      <c r="Q24" s="11">
        <v>11.296172004140892</v>
      </c>
      <c r="R24" s="11">
        <v>10.999553279205751</v>
      </c>
      <c r="S24" s="11">
        <v>10.405000766087859</v>
      </c>
      <c r="T24" s="11">
        <v>11.127101017212677</v>
      </c>
      <c r="U24" s="11">
        <v>10.89016882431976</v>
      </c>
      <c r="V24" s="11">
        <v>9.4948630690001181</v>
      </c>
      <c r="W24" s="11">
        <v>9.2803332734652102</v>
      </c>
      <c r="X24" s="11">
        <v>9.2229906294252366</v>
      </c>
      <c r="Y24" s="11">
        <v>9.1051740138672326</v>
      </c>
      <c r="Z24" s="11">
        <v>8.9455234029814577</v>
      </c>
      <c r="AA24" s="11">
        <v>8.7828592870581037</v>
      </c>
      <c r="AB24" s="11">
        <v>8.5683495355485668</v>
      </c>
      <c r="AC24" s="11">
        <v>8.2790560122975378</v>
      </c>
      <c r="AD24" s="11">
        <v>8.0044120477194394</v>
      </c>
      <c r="AE24" s="11">
        <v>7.7009934956836306</v>
      </c>
      <c r="AF24" s="11">
        <v>7.3735186220704341</v>
      </c>
      <c r="AG24" s="11">
        <v>7.0418345244859051</v>
      </c>
      <c r="AH24" s="11">
        <v>6.6973245697938655</v>
      </c>
      <c r="AI24" s="11">
        <v>6.3750084277828707</v>
      </c>
      <c r="AJ24" s="11">
        <v>5.9894477276361933</v>
      </c>
      <c r="AK24" s="11">
        <v>5.6545381434970423</v>
      </c>
      <c r="AL24" s="11">
        <v>5.4074642547867375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87">
        <f t="shared" ref="M26" si="8">SUM(M27:M30)</f>
        <v>62.283260145895561</v>
      </c>
      <c r="N26" s="87">
        <f>SUM(N27:N30)</f>
        <v>59.671523214064258</v>
      </c>
      <c r="O26" s="87">
        <f t="shared" ref="O26:AL26" si="9">SUM(O27:O30)</f>
        <v>59.696882766051296</v>
      </c>
      <c r="P26" s="87">
        <f t="shared" si="9"/>
        <v>58.625360838856089</v>
      </c>
      <c r="Q26" s="87">
        <f t="shared" si="9"/>
        <v>58.532682149842074</v>
      </c>
      <c r="R26" s="87">
        <f>SUM(R27:R30)</f>
        <v>61.298727794930358</v>
      </c>
      <c r="S26" s="87">
        <f t="shared" si="9"/>
        <v>55.383601143806693</v>
      </c>
      <c r="T26" s="87">
        <f t="shared" si="9"/>
        <v>56.415552069732712</v>
      </c>
      <c r="U26" s="87">
        <f t="shared" si="9"/>
        <v>59.120344981239569</v>
      </c>
      <c r="V26" s="87">
        <f t="shared" si="9"/>
        <v>61.93589069766864</v>
      </c>
      <c r="W26" s="87">
        <f t="shared" si="9"/>
        <v>52.232847099052961</v>
      </c>
      <c r="X26" s="87">
        <f t="shared" si="9"/>
        <v>52.874880207493064</v>
      </c>
      <c r="Y26" s="87">
        <f t="shared" si="9"/>
        <v>52.369211222704322</v>
      </c>
      <c r="Z26" s="87">
        <f t="shared" si="9"/>
        <v>51.82981014845592</v>
      </c>
      <c r="AA26" s="87">
        <f t="shared" si="9"/>
        <v>51.444982855371229</v>
      </c>
      <c r="AB26" s="87">
        <f t="shared" si="9"/>
        <v>51.034079797086527</v>
      </c>
      <c r="AC26" s="87">
        <f t="shared" si="9"/>
        <v>50.583943161947602</v>
      </c>
      <c r="AD26" s="87">
        <f t="shared" si="9"/>
        <v>50.116238067259005</v>
      </c>
      <c r="AE26" s="87">
        <f t="shared" si="9"/>
        <v>49.670859220631577</v>
      </c>
      <c r="AF26" s="87">
        <f t="shared" si="9"/>
        <v>49.221168145506887</v>
      </c>
      <c r="AG26" s="87">
        <f t="shared" si="9"/>
        <v>48.798509243889789</v>
      </c>
      <c r="AH26" s="87">
        <f t="shared" si="9"/>
        <v>48.375355882941307</v>
      </c>
      <c r="AI26" s="87">
        <f t="shared" si="9"/>
        <v>47.968230270654281</v>
      </c>
      <c r="AJ26" s="87">
        <f t="shared" si="9"/>
        <v>47.567652846022774</v>
      </c>
      <c r="AK26" s="87">
        <f t="shared" si="9"/>
        <v>47.163909834682386</v>
      </c>
      <c r="AL26" s="87">
        <f t="shared" si="9"/>
        <v>46.762923727753545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232" t="str">
        <f>'Occ T3'!A29</f>
        <v>51 Skilled agricultural and related trades</v>
      </c>
      <c r="M27" s="11">
        <v>4.0804356626135707</v>
      </c>
      <c r="N27" s="11">
        <v>3.5904698845939786</v>
      </c>
      <c r="O27" s="11">
        <v>4.3377884149111736</v>
      </c>
      <c r="P27" s="11">
        <v>3.2697117352010374</v>
      </c>
      <c r="Q27" s="11">
        <v>3.2934022970348691</v>
      </c>
      <c r="R27" s="11">
        <v>4.3313158907234133</v>
      </c>
      <c r="S27" s="11">
        <v>3.5746174495726146</v>
      </c>
      <c r="T27" s="11">
        <v>3.2279705212636531</v>
      </c>
      <c r="U27" s="11">
        <v>3.8565027737642157</v>
      </c>
      <c r="V27" s="11">
        <v>3.8065912759839784</v>
      </c>
      <c r="W27" s="11">
        <v>3.1931450848658716</v>
      </c>
      <c r="X27" s="11">
        <v>3.000025546873188</v>
      </c>
      <c r="Y27" s="11">
        <v>3.0229955747757788</v>
      </c>
      <c r="Z27" s="11">
        <v>3.0739443956127133</v>
      </c>
      <c r="AA27" s="11">
        <v>3.1338122591334989</v>
      </c>
      <c r="AB27" s="11">
        <v>3.1783302802326965</v>
      </c>
      <c r="AC27" s="11">
        <v>3.2164484202735721</v>
      </c>
      <c r="AD27" s="11">
        <v>3.2540898516374219</v>
      </c>
      <c r="AE27" s="11">
        <v>3.2905192035288575</v>
      </c>
      <c r="AF27" s="11">
        <v>3.3255755888374736</v>
      </c>
      <c r="AG27" s="11">
        <v>3.360905788842615</v>
      </c>
      <c r="AH27" s="11">
        <v>3.3965502655477238</v>
      </c>
      <c r="AI27" s="11">
        <v>3.431174816528475</v>
      </c>
      <c r="AJ27" s="11">
        <v>3.4663555657555989</v>
      </c>
      <c r="AK27" s="11">
        <v>3.5009461510901092</v>
      </c>
      <c r="AL27" s="11">
        <v>3.5350171502669578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232" t="str">
        <f>'Occ T3'!A30</f>
        <v>52 Skilled metal, electrical and electronic trades</v>
      </c>
      <c r="M28" s="11">
        <v>26.66129865315596</v>
      </c>
      <c r="N28" s="11">
        <v>27.83055534218758</v>
      </c>
      <c r="O28" s="11">
        <v>26.20716600711464</v>
      </c>
      <c r="P28" s="11">
        <v>26.962480865521833</v>
      </c>
      <c r="Q28" s="11">
        <v>27.624335576488797</v>
      </c>
      <c r="R28" s="11">
        <v>28.622677836919465</v>
      </c>
      <c r="S28" s="11">
        <v>25.724720859878783</v>
      </c>
      <c r="T28" s="11">
        <v>25.63521216485772</v>
      </c>
      <c r="U28" s="11">
        <v>26.539787075308936</v>
      </c>
      <c r="V28" s="11">
        <v>28.343637186861034</v>
      </c>
      <c r="W28" s="11">
        <v>23.236826282247673</v>
      </c>
      <c r="X28" s="11">
        <v>23.338179841592442</v>
      </c>
      <c r="Y28" s="11">
        <v>23.111060609401886</v>
      </c>
      <c r="Z28" s="11">
        <v>22.912356059530879</v>
      </c>
      <c r="AA28" s="11">
        <v>22.78118011778616</v>
      </c>
      <c r="AB28" s="11">
        <v>22.623948301451765</v>
      </c>
      <c r="AC28" s="11">
        <v>22.441532561883982</v>
      </c>
      <c r="AD28" s="11">
        <v>22.248036254789426</v>
      </c>
      <c r="AE28" s="11">
        <v>22.048520613267414</v>
      </c>
      <c r="AF28" s="11">
        <v>21.84774778894473</v>
      </c>
      <c r="AG28" s="11">
        <v>21.668451555421981</v>
      </c>
      <c r="AH28" s="11">
        <v>21.49455736296817</v>
      </c>
      <c r="AI28" s="11">
        <v>21.333805775260451</v>
      </c>
      <c r="AJ28" s="11">
        <v>21.171406898518121</v>
      </c>
      <c r="AK28" s="11">
        <v>21.006995832243216</v>
      </c>
      <c r="AL28" s="11">
        <v>20.841134342227381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232" t="str">
        <f>'Occ T3'!A31</f>
        <v>53 Skilled construction and building trades</v>
      </c>
      <c r="M29" s="11">
        <v>21.939953590862327</v>
      </c>
      <c r="N29" s="11">
        <v>19.266645040314835</v>
      </c>
      <c r="O29" s="11">
        <v>19.142441405836848</v>
      </c>
      <c r="P29" s="11">
        <v>18.733869847113905</v>
      </c>
      <c r="Q29" s="11">
        <v>17.544630040894642</v>
      </c>
      <c r="R29" s="11">
        <v>18.67563056886091</v>
      </c>
      <c r="S29" s="11">
        <v>16.649291473084322</v>
      </c>
      <c r="T29" s="11">
        <v>17.534964933690937</v>
      </c>
      <c r="U29" s="11">
        <v>19.903460972146664</v>
      </c>
      <c r="V29" s="11">
        <v>21.339556958033437</v>
      </c>
      <c r="W29" s="11">
        <v>17.473473402618112</v>
      </c>
      <c r="X29" s="11">
        <v>17.802074456191345</v>
      </c>
      <c r="Y29" s="11">
        <v>17.553871641391563</v>
      </c>
      <c r="Z29" s="11">
        <v>17.259630879328128</v>
      </c>
      <c r="AA29" s="11">
        <v>17.030632221728105</v>
      </c>
      <c r="AB29" s="11">
        <v>16.813170514329276</v>
      </c>
      <c r="AC29" s="11">
        <v>16.570183066320478</v>
      </c>
      <c r="AD29" s="11">
        <v>16.320714124061801</v>
      </c>
      <c r="AE29" s="11">
        <v>16.090764522811561</v>
      </c>
      <c r="AF29" s="11">
        <v>15.851978954891868</v>
      </c>
      <c r="AG29" s="11">
        <v>15.61182897587652</v>
      </c>
      <c r="AH29" s="11">
        <v>15.366536379950059</v>
      </c>
      <c r="AI29" s="11">
        <v>15.12452646765809</v>
      </c>
      <c r="AJ29" s="11">
        <v>14.88711305207852</v>
      </c>
      <c r="AK29" s="11">
        <v>14.645437009021991</v>
      </c>
      <c r="AL29" s="11">
        <v>14.401581227548823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232" t="str">
        <f>'Occ T3'!A32</f>
        <v>54 Textiles, printing and other skilled trades</v>
      </c>
      <c r="M30" s="11">
        <v>9.6015722392637031</v>
      </c>
      <c r="N30" s="11">
        <v>8.9838529469678647</v>
      </c>
      <c r="O30" s="11">
        <v>10.009486938188639</v>
      </c>
      <c r="P30" s="11">
        <v>9.6592983910193144</v>
      </c>
      <c r="Q30" s="11">
        <v>10.070314235423769</v>
      </c>
      <c r="R30" s="11">
        <v>9.6691034984265638</v>
      </c>
      <c r="S30" s="11">
        <v>9.4349713612709731</v>
      </c>
      <c r="T30" s="11">
        <v>10.017404449920406</v>
      </c>
      <c r="U30" s="11">
        <v>8.8205941600197484</v>
      </c>
      <c r="V30" s="11">
        <v>8.4461052767901954</v>
      </c>
      <c r="W30" s="11">
        <v>8.3294023293213026</v>
      </c>
      <c r="X30" s="11">
        <v>8.7346003628360904</v>
      </c>
      <c r="Y30" s="11">
        <v>8.6812833971350916</v>
      </c>
      <c r="Z30" s="11">
        <v>8.5838788139841959</v>
      </c>
      <c r="AA30" s="11">
        <v>8.4993582567234611</v>
      </c>
      <c r="AB30" s="11">
        <v>8.418630701072793</v>
      </c>
      <c r="AC30" s="11">
        <v>8.3557791134695645</v>
      </c>
      <c r="AD30" s="11">
        <v>8.2933978367703514</v>
      </c>
      <c r="AE30" s="11">
        <v>8.2410548810237412</v>
      </c>
      <c r="AF30" s="11">
        <v>8.1958658128328121</v>
      </c>
      <c r="AG30" s="11">
        <v>8.1573229237486728</v>
      </c>
      <c r="AH30" s="11">
        <v>8.1177118744753507</v>
      </c>
      <c r="AI30" s="11">
        <v>8.0787232112072669</v>
      </c>
      <c r="AJ30" s="11">
        <v>8.0427773296705354</v>
      </c>
      <c r="AK30" s="11">
        <v>8.0105308423270714</v>
      </c>
      <c r="AL30" s="11">
        <v>7.9851910077103829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87">
        <f t="shared" ref="M32:AD32" si="10">SUM(M33:M35)</f>
        <v>49.64955246647142</v>
      </c>
      <c r="N32" s="87">
        <f t="shared" si="10"/>
        <v>48.53703457437981</v>
      </c>
      <c r="O32" s="87">
        <f t="shared" si="10"/>
        <v>48.503523531552936</v>
      </c>
      <c r="P32" s="87">
        <f t="shared" si="10"/>
        <v>48.320399174321778</v>
      </c>
      <c r="Q32" s="87">
        <f t="shared" si="10"/>
        <v>49.428066574357992</v>
      </c>
      <c r="R32" s="87">
        <f t="shared" si="10"/>
        <v>50.478192628686543</v>
      </c>
      <c r="S32" s="87">
        <f t="shared" si="10"/>
        <v>53.914374344641075</v>
      </c>
      <c r="T32" s="87">
        <f t="shared" si="10"/>
        <v>54.303486700278015</v>
      </c>
      <c r="U32" s="87">
        <f t="shared" si="10"/>
        <v>50.660892596097909</v>
      </c>
      <c r="V32" s="87">
        <f t="shared" si="10"/>
        <v>51.457710511437895</v>
      </c>
      <c r="W32" s="87">
        <f t="shared" si="10"/>
        <v>49.337956426134348</v>
      </c>
      <c r="X32" s="87">
        <f t="shared" si="10"/>
        <v>48.583403876039974</v>
      </c>
      <c r="Y32" s="87">
        <f t="shared" si="10"/>
        <v>48.95384355967343</v>
      </c>
      <c r="Z32" s="87">
        <f t="shared" si="10"/>
        <v>49.390367861198946</v>
      </c>
      <c r="AA32" s="87">
        <f t="shared" si="10"/>
        <v>49.893970390201488</v>
      </c>
      <c r="AB32" s="87">
        <f t="shared" si="10"/>
        <v>50.297533097424598</v>
      </c>
      <c r="AC32" s="87">
        <f t="shared" si="10"/>
        <v>50.657407032122521</v>
      </c>
      <c r="AD32" s="87">
        <f t="shared" si="10"/>
        <v>51.004359795648099</v>
      </c>
      <c r="AE32" s="87">
        <f t="shared" ref="AE32" si="11">SUM(AE33:AE35)</f>
        <v>51.366846774996731</v>
      </c>
      <c r="AF32" s="87">
        <f t="shared" ref="AF32" si="12">SUM(AF33:AF35)</f>
        <v>51.718397613232021</v>
      </c>
      <c r="AG32" s="87">
        <f t="shared" ref="AG32" si="13">SUM(AG33:AG35)</f>
        <v>52.065357755670263</v>
      </c>
      <c r="AH32" s="87">
        <f t="shared" ref="AH32" si="14">SUM(AH33:AH35)</f>
        <v>52.427886869853864</v>
      </c>
      <c r="AI32" s="87">
        <f t="shared" ref="AI32" si="15">SUM(AI33:AI35)</f>
        <v>52.783359348656766</v>
      </c>
      <c r="AJ32" s="87">
        <f t="shared" ref="AJ32" si="16">SUM(AJ33:AJ35)</f>
        <v>53.161956781437631</v>
      </c>
      <c r="AK32" s="87">
        <f t="shared" ref="AK32" si="17">SUM(AK33:AK35)</f>
        <v>53.544639588414213</v>
      </c>
      <c r="AL32" s="87">
        <f t="shared" ref="AL32" si="18">SUM(AL33:AL35)</f>
        <v>53.919691330747085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232" t="str">
        <f>'Occ T3'!A35</f>
        <v>61 Caring personal service occupations</v>
      </c>
      <c r="M33" s="11">
        <v>40.033207993116129</v>
      </c>
      <c r="N33" s="11">
        <v>37.959200933851491</v>
      </c>
      <c r="O33" s="11">
        <v>38.406042557451272</v>
      </c>
      <c r="P33" s="11">
        <v>38.25971965827393</v>
      </c>
      <c r="Q33" s="11">
        <v>39.543933941939827</v>
      </c>
      <c r="R33" s="11">
        <v>38.549226321705426</v>
      </c>
      <c r="S33" s="11">
        <v>41.942520287753219</v>
      </c>
      <c r="T33" s="11">
        <v>42.545881975677794</v>
      </c>
      <c r="U33" s="11">
        <v>40.176890723472624</v>
      </c>
      <c r="V33" s="11">
        <v>41.06186937421402</v>
      </c>
      <c r="W33" s="11">
        <v>39.709013980070296</v>
      </c>
      <c r="X33" s="11">
        <v>39.796551981074991</v>
      </c>
      <c r="Y33" s="11">
        <v>40.17282886044498</v>
      </c>
      <c r="Z33" s="11">
        <v>40.600369369332732</v>
      </c>
      <c r="AA33" s="11">
        <v>41.081983670496363</v>
      </c>
      <c r="AB33" s="11">
        <v>41.475231244635403</v>
      </c>
      <c r="AC33" s="11">
        <v>41.831936540313038</v>
      </c>
      <c r="AD33" s="11">
        <v>42.179221100591789</v>
      </c>
      <c r="AE33" s="11">
        <v>42.547585271868698</v>
      </c>
      <c r="AF33" s="11">
        <v>42.905327238838119</v>
      </c>
      <c r="AG33" s="11">
        <v>43.25767196237328</v>
      </c>
      <c r="AH33" s="11">
        <v>43.624314735919803</v>
      </c>
      <c r="AI33" s="11">
        <v>43.986333743748489</v>
      </c>
      <c r="AJ33" s="11">
        <v>44.372229798544247</v>
      </c>
      <c r="AK33" s="11">
        <v>44.758132635091087</v>
      </c>
      <c r="AL33" s="11">
        <v>45.131434884626096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232" t="str">
        <f>'Occ T3'!A36</f>
        <v>62 Leisure, travel and related personal service occupations</v>
      </c>
      <c r="M34" s="11">
        <v>8.9170316585108402</v>
      </c>
      <c r="N34" s="11">
        <v>10.106101074173059</v>
      </c>
      <c r="O34" s="11">
        <v>9.5986225024087659</v>
      </c>
      <c r="P34" s="11">
        <v>9.629906686369667</v>
      </c>
      <c r="Q34" s="11">
        <v>9.3786792670014645</v>
      </c>
      <c r="R34" s="11">
        <v>11.482295485656088</v>
      </c>
      <c r="S34" s="11">
        <v>11.59041013138896</v>
      </c>
      <c r="T34" s="11">
        <v>11.344925892794912</v>
      </c>
      <c r="U34" s="11">
        <v>10.053805296838449</v>
      </c>
      <c r="V34" s="11">
        <v>10.028377892597495</v>
      </c>
      <c r="W34" s="11">
        <v>9.1820078898329758</v>
      </c>
      <c r="X34" s="11">
        <v>8.4633732149837755</v>
      </c>
      <c r="Y34" s="11">
        <v>8.453901237748342</v>
      </c>
      <c r="Z34" s="11">
        <v>8.4589634797514908</v>
      </c>
      <c r="AA34" s="11">
        <v>8.4761662827212447</v>
      </c>
      <c r="AB34" s="11">
        <v>8.4814204479781505</v>
      </c>
      <c r="AC34" s="11">
        <v>8.4810299922760883</v>
      </c>
      <c r="AD34" s="11">
        <v>8.4773581309553396</v>
      </c>
      <c r="AE34" s="11">
        <v>8.4691619641651492</v>
      </c>
      <c r="AF34" s="11">
        <v>8.4584087074777905</v>
      </c>
      <c r="AG34" s="11">
        <v>8.449667638645888</v>
      </c>
      <c r="AH34" s="11">
        <v>8.4422304498937866</v>
      </c>
      <c r="AI34" s="11">
        <v>8.4333252347715515</v>
      </c>
      <c r="AJ34" s="11">
        <v>8.4215295495555402</v>
      </c>
      <c r="AK34" s="11">
        <v>8.4158876783859125</v>
      </c>
      <c r="AL34" s="11">
        <v>8.4132106883947344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232" t="str">
        <f>'Occ T3'!A37</f>
        <v>63 Community and civil enforcement occupations</v>
      </c>
      <c r="M35" s="11">
        <v>0.69931281484444596</v>
      </c>
      <c r="N35" s="11">
        <v>0.47173256635525912</v>
      </c>
      <c r="O35" s="11">
        <v>0.49885847169289999</v>
      </c>
      <c r="P35" s="11">
        <v>0.43077282967818464</v>
      </c>
      <c r="Q35" s="11">
        <v>0.50545336541669728</v>
      </c>
      <c r="R35" s="11">
        <v>0.44667082132503066</v>
      </c>
      <c r="S35" s="11">
        <v>0.38144392549890038</v>
      </c>
      <c r="T35" s="11">
        <v>0.4126788318053074</v>
      </c>
      <c r="U35" s="11">
        <v>0.43019657578683407</v>
      </c>
      <c r="V35" s="11">
        <v>0.3674632446263803</v>
      </c>
      <c r="W35" s="11">
        <v>0.44693455623107448</v>
      </c>
      <c r="X35" s="11">
        <v>0.32347867998120783</v>
      </c>
      <c r="Y35" s="11">
        <v>0.3271134614801115</v>
      </c>
      <c r="Z35" s="11">
        <v>0.33103501211472541</v>
      </c>
      <c r="AA35" s="11">
        <v>0.33582043698388281</v>
      </c>
      <c r="AB35" s="11">
        <v>0.34088140481104534</v>
      </c>
      <c r="AC35" s="11">
        <v>0.34444049953339206</v>
      </c>
      <c r="AD35" s="11">
        <v>0.34778056410097186</v>
      </c>
      <c r="AE35" s="11">
        <v>0.3500995389628801</v>
      </c>
      <c r="AF35" s="11">
        <v>0.35466166691610529</v>
      </c>
      <c r="AG35" s="11">
        <v>0.35801815465109366</v>
      </c>
      <c r="AH35" s="11">
        <v>0.36134168404027395</v>
      </c>
      <c r="AI35" s="11">
        <v>0.3637003701367264</v>
      </c>
      <c r="AJ35" s="11">
        <v>0.36819743333784483</v>
      </c>
      <c r="AK35" s="11">
        <v>0.3706192749372143</v>
      </c>
      <c r="AL35" s="11">
        <v>0.37504575772625592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87">
        <f>SUM(M38:M39)</f>
        <v>41.378814923302357</v>
      </c>
      <c r="N37" s="87">
        <f t="shared" ref="N37:AL37" si="19">SUM(N38:N39)</f>
        <v>42.501680808368974</v>
      </c>
      <c r="O37" s="87">
        <f t="shared" si="19"/>
        <v>43.753137498169863</v>
      </c>
      <c r="P37" s="87">
        <f t="shared" si="19"/>
        <v>42.95877828728355</v>
      </c>
      <c r="Q37" s="87">
        <f t="shared" si="19"/>
        <v>44.416715983540065</v>
      </c>
      <c r="R37" s="87">
        <f t="shared" si="19"/>
        <v>43.312490842090227</v>
      </c>
      <c r="S37" s="87">
        <f t="shared" si="19"/>
        <v>42.182400288866944</v>
      </c>
      <c r="T37" s="87">
        <f t="shared" si="19"/>
        <v>43.50900538000424</v>
      </c>
      <c r="U37" s="87">
        <f t="shared" si="19"/>
        <v>41.689892449189003</v>
      </c>
      <c r="V37" s="87">
        <f t="shared" si="19"/>
        <v>39.584257231886966</v>
      </c>
      <c r="W37" s="87">
        <f t="shared" si="19"/>
        <v>39.339785940793128</v>
      </c>
      <c r="X37" s="87">
        <f t="shared" si="19"/>
        <v>39.146077653583866</v>
      </c>
      <c r="Y37" s="87">
        <f t="shared" si="19"/>
        <v>39.197954041865664</v>
      </c>
      <c r="Z37" s="87">
        <f t="shared" si="19"/>
        <v>39.278584232069051</v>
      </c>
      <c r="AA37" s="87">
        <f t="shared" si="19"/>
        <v>39.376819458656975</v>
      </c>
      <c r="AB37" s="87">
        <f t="shared" si="19"/>
        <v>39.372468047859556</v>
      </c>
      <c r="AC37" s="87">
        <f t="shared" si="19"/>
        <v>39.332721088640106</v>
      </c>
      <c r="AD37" s="87">
        <f t="shared" si="19"/>
        <v>39.280408719948845</v>
      </c>
      <c r="AE37" s="87">
        <f t="shared" si="19"/>
        <v>39.235660891600716</v>
      </c>
      <c r="AF37" s="87">
        <f t="shared" si="19"/>
        <v>39.193221298457175</v>
      </c>
      <c r="AG37" s="87">
        <f t="shared" si="19"/>
        <v>39.15468719099627</v>
      </c>
      <c r="AH37" s="87">
        <f t="shared" si="19"/>
        <v>39.162383529359197</v>
      </c>
      <c r="AI37" s="87">
        <f t="shared" si="19"/>
        <v>39.158806337212866</v>
      </c>
      <c r="AJ37" s="87">
        <f t="shared" si="19"/>
        <v>39.154767142647671</v>
      </c>
      <c r="AK37" s="87">
        <f t="shared" si="19"/>
        <v>39.129786276896972</v>
      </c>
      <c r="AL37" s="87">
        <f t="shared" si="19"/>
        <v>39.081082804049579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232" t="str">
        <f>'Occ T3'!A40</f>
        <v>71 Sales occupations</v>
      </c>
      <c r="M38" s="11">
        <v>33.039305303843605</v>
      </c>
      <c r="N38" s="11">
        <v>34.189149003085035</v>
      </c>
      <c r="O38" s="11">
        <v>35.184989148868588</v>
      </c>
      <c r="P38" s="11">
        <v>34.562793579659036</v>
      </c>
      <c r="Q38" s="11">
        <v>36.447825021672372</v>
      </c>
      <c r="R38" s="11">
        <v>34.223800198352485</v>
      </c>
      <c r="S38" s="11">
        <v>33.259163684145626</v>
      </c>
      <c r="T38" s="11">
        <v>33.681160277601087</v>
      </c>
      <c r="U38" s="11">
        <v>32.137963975215577</v>
      </c>
      <c r="V38" s="11">
        <v>30.736255514037811</v>
      </c>
      <c r="W38" s="11">
        <v>30.25093913476638</v>
      </c>
      <c r="X38" s="11">
        <v>29.489034465291272</v>
      </c>
      <c r="Y38" s="11">
        <v>29.40531029337653</v>
      </c>
      <c r="Z38" s="11">
        <v>29.361841694069234</v>
      </c>
      <c r="AA38" s="11">
        <v>29.329205994652618</v>
      </c>
      <c r="AB38" s="11">
        <v>29.213833101714457</v>
      </c>
      <c r="AC38" s="11">
        <v>29.072678331907959</v>
      </c>
      <c r="AD38" s="11">
        <v>28.916500607453717</v>
      </c>
      <c r="AE38" s="11">
        <v>28.761276427920073</v>
      </c>
      <c r="AF38" s="11">
        <v>28.605284093976394</v>
      </c>
      <c r="AG38" s="11">
        <v>28.450220185999903</v>
      </c>
      <c r="AH38" s="11">
        <v>28.348009535349256</v>
      </c>
      <c r="AI38" s="11">
        <v>28.236599049586736</v>
      </c>
      <c r="AJ38" s="11">
        <v>28.118086392221503</v>
      </c>
      <c r="AK38" s="11">
        <v>27.979102179651765</v>
      </c>
      <c r="AL38" s="11">
        <v>27.813348952284226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232" t="str">
        <f>'Occ T3'!A41</f>
        <v>72 Customer service occupations</v>
      </c>
      <c r="M39" s="11">
        <v>8.3395096194587559</v>
      </c>
      <c r="N39" s="11">
        <v>8.3125318052839425</v>
      </c>
      <c r="O39" s="11">
        <v>8.5681483493012749</v>
      </c>
      <c r="P39" s="11">
        <v>8.395984707624514</v>
      </c>
      <c r="Q39" s="11">
        <v>7.9688909618676904</v>
      </c>
      <c r="R39" s="11">
        <v>9.0886906437377402</v>
      </c>
      <c r="S39" s="11">
        <v>8.9232366047213176</v>
      </c>
      <c r="T39" s="11">
        <v>9.8278451024031526</v>
      </c>
      <c r="U39" s="11">
        <v>9.551928473973426</v>
      </c>
      <c r="V39" s="11">
        <v>8.8480017178491579</v>
      </c>
      <c r="W39" s="11">
        <v>9.088846806026746</v>
      </c>
      <c r="X39" s="11">
        <v>9.6570431882925938</v>
      </c>
      <c r="Y39" s="11">
        <v>9.792643748489132</v>
      </c>
      <c r="Z39" s="11">
        <v>9.9167425379998182</v>
      </c>
      <c r="AA39" s="11">
        <v>10.047613464004355</v>
      </c>
      <c r="AB39" s="11">
        <v>10.158634946145103</v>
      </c>
      <c r="AC39" s="11">
        <v>10.260042756732146</v>
      </c>
      <c r="AD39" s="11">
        <v>10.363908112495128</v>
      </c>
      <c r="AE39" s="11">
        <v>10.474384463680645</v>
      </c>
      <c r="AF39" s="11">
        <v>10.587937204480779</v>
      </c>
      <c r="AG39" s="11">
        <v>10.704467004996365</v>
      </c>
      <c r="AH39" s="11">
        <v>10.814373994009941</v>
      </c>
      <c r="AI39" s="11">
        <v>10.922207287626129</v>
      </c>
      <c r="AJ39" s="11">
        <v>11.036680750426164</v>
      </c>
      <c r="AK39" s="11">
        <v>11.150684097245206</v>
      </c>
      <c r="AL39" s="11">
        <v>11.267733851765355</v>
      </c>
      <c r="AM39" s="11"/>
    </row>
    <row r="40" spans="12:64" ht="13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87">
        <f>SUM(M42:M43)</f>
        <v>42.973045681419535</v>
      </c>
      <c r="N41" s="87">
        <f t="shared" ref="N41" si="20">SUM(N42:N43)</f>
        <v>40.858503899412568</v>
      </c>
      <c r="O41" s="87">
        <f t="shared" ref="O41" si="21">SUM(O42:O43)</f>
        <v>43.603423611850559</v>
      </c>
      <c r="P41" s="87">
        <f t="shared" ref="P41" si="22">SUM(P42:P43)</f>
        <v>42.297145873867834</v>
      </c>
      <c r="Q41" s="87">
        <f t="shared" ref="Q41" si="23">SUM(Q42:Q43)</f>
        <v>44.404439947504329</v>
      </c>
      <c r="R41" s="87">
        <f t="shared" ref="R41" si="24">SUM(R42:R43)</f>
        <v>47.140684059777129</v>
      </c>
      <c r="S41" s="87">
        <f t="shared" ref="S41" si="25">SUM(S42:S43)</f>
        <v>45.758727910641014</v>
      </c>
      <c r="T41" s="87">
        <f t="shared" ref="T41" si="26">SUM(T42:T43)</f>
        <v>45.111181661888381</v>
      </c>
      <c r="U41" s="87">
        <f t="shared" ref="U41" si="27">SUM(U42:U43)</f>
        <v>46.622432564123997</v>
      </c>
      <c r="V41" s="87">
        <f t="shared" ref="V41" si="28">SUM(V42:V43)</f>
        <v>46.572468845695909</v>
      </c>
      <c r="W41" s="87">
        <f t="shared" ref="W41" si="29">SUM(W42:W43)</f>
        <v>40.358374305998041</v>
      </c>
      <c r="X41" s="87">
        <f t="shared" ref="X41" si="30">SUM(X42:X43)</f>
        <v>42.152648695568132</v>
      </c>
      <c r="Y41" s="87">
        <f t="shared" ref="Y41" si="31">SUM(Y42:Y43)</f>
        <v>41.985973408861739</v>
      </c>
      <c r="Z41" s="87">
        <f t="shared" ref="Z41" si="32">SUM(Z42:Z43)</f>
        <v>41.876378434988908</v>
      </c>
      <c r="AA41" s="87">
        <f t="shared" ref="AA41" si="33">SUM(AA42:AA43)</f>
        <v>41.849929579412247</v>
      </c>
      <c r="AB41" s="87">
        <f t="shared" ref="AB41" si="34">SUM(AB42:AB43)</f>
        <v>41.728305575825772</v>
      </c>
      <c r="AC41" s="87">
        <f t="shared" ref="AC41" si="35">SUM(AC42:AC43)</f>
        <v>41.619545922873002</v>
      </c>
      <c r="AD41" s="87">
        <f t="shared" ref="AD41" si="36">SUM(AD42:AD43)</f>
        <v>41.491040503442491</v>
      </c>
      <c r="AE41" s="87">
        <f t="shared" ref="AE41" si="37">SUM(AE42:AE43)</f>
        <v>41.351075007282233</v>
      </c>
      <c r="AF41" s="87">
        <f t="shared" ref="AF41" si="38">SUM(AF42:AF43)</f>
        <v>41.192511409106501</v>
      </c>
      <c r="AG41" s="87">
        <f t="shared" ref="AG41" si="39">SUM(AG42:AG43)</f>
        <v>41.050637321667011</v>
      </c>
      <c r="AH41" s="87">
        <f t="shared" ref="AH41" si="40">SUM(AH42:AH43)</f>
        <v>40.890185200904028</v>
      </c>
      <c r="AI41" s="87">
        <f t="shared" ref="AI41" si="41">SUM(AI42:AI43)</f>
        <v>40.743806502203341</v>
      </c>
      <c r="AJ41" s="87">
        <f t="shared" ref="AJ41" si="42">SUM(AJ42:AJ43)</f>
        <v>40.587353731846378</v>
      </c>
      <c r="AK41" s="87">
        <f t="shared" ref="AK41" si="43">SUM(AK42:AK43)</f>
        <v>40.401247502090484</v>
      </c>
      <c r="AL41" s="87">
        <f t="shared" ref="AL41" si="44">SUM(AL42:AL43)</f>
        <v>40.199737732609378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232" t="str">
        <f>'Occ T3'!A44</f>
        <v>81 Process, plant and machine operatives</v>
      </c>
      <c r="M42" s="11">
        <v>22.556040057468323</v>
      </c>
      <c r="N42" s="11">
        <v>21.419891198961672</v>
      </c>
      <c r="O42" s="11">
        <v>21.667953124371614</v>
      </c>
      <c r="P42" s="11">
        <v>22.57750804022017</v>
      </c>
      <c r="Q42" s="11">
        <v>23.080935372543745</v>
      </c>
      <c r="R42" s="11">
        <v>23.01767694669358</v>
      </c>
      <c r="S42" s="11">
        <v>21.877360281524926</v>
      </c>
      <c r="T42" s="11">
        <v>22.023418013640295</v>
      </c>
      <c r="U42" s="11">
        <v>22.659305985348212</v>
      </c>
      <c r="V42" s="11">
        <v>21.737054143198129</v>
      </c>
      <c r="W42" s="11">
        <v>18.382917992462492</v>
      </c>
      <c r="X42" s="11">
        <v>19.559552072302932</v>
      </c>
      <c r="Y42" s="11">
        <v>19.398774453526308</v>
      </c>
      <c r="Z42" s="11">
        <v>19.246292744552036</v>
      </c>
      <c r="AA42" s="11">
        <v>19.147109959960545</v>
      </c>
      <c r="AB42" s="11">
        <v>18.988071519329377</v>
      </c>
      <c r="AC42" s="11">
        <v>18.868385278760655</v>
      </c>
      <c r="AD42" s="11">
        <v>18.739676010248846</v>
      </c>
      <c r="AE42" s="11">
        <v>18.601664119330756</v>
      </c>
      <c r="AF42" s="11">
        <v>18.44890236311058</v>
      </c>
      <c r="AG42" s="11">
        <v>18.30414557743045</v>
      </c>
      <c r="AH42" s="11">
        <v>18.152541136717932</v>
      </c>
      <c r="AI42" s="11">
        <v>18.013878744319442</v>
      </c>
      <c r="AJ42" s="11">
        <v>17.868412596281225</v>
      </c>
      <c r="AK42" s="11">
        <v>17.697197779534473</v>
      </c>
      <c r="AL42" s="11">
        <v>17.514325366127888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232" t="str">
        <f>'Occ T3'!A45</f>
        <v>82 Transport and mobile machine drivers and operatives</v>
      </c>
      <c r="M43" s="11">
        <v>20.417005623951216</v>
      </c>
      <c r="N43" s="11">
        <v>19.438612700450893</v>
      </c>
      <c r="O43" s="11">
        <v>21.935470487478948</v>
      </c>
      <c r="P43" s="11">
        <v>19.71963783364766</v>
      </c>
      <c r="Q43" s="11">
        <v>21.32350457496058</v>
      </c>
      <c r="R43" s="11">
        <v>24.123007113083549</v>
      </c>
      <c r="S43" s="11">
        <v>23.881367629116085</v>
      </c>
      <c r="T43" s="11">
        <v>23.087763648248085</v>
      </c>
      <c r="U43" s="11">
        <v>23.963126578775782</v>
      </c>
      <c r="V43" s="11">
        <v>24.835414702497779</v>
      </c>
      <c r="W43" s="11">
        <v>21.975456313535553</v>
      </c>
      <c r="X43" s="11">
        <v>22.593096623265204</v>
      </c>
      <c r="Y43" s="11">
        <v>22.587198955335431</v>
      </c>
      <c r="Z43" s="11">
        <v>22.630085690436871</v>
      </c>
      <c r="AA43" s="11">
        <v>22.702819619451699</v>
      </c>
      <c r="AB43" s="11">
        <v>22.740234056496391</v>
      </c>
      <c r="AC43" s="11">
        <v>22.751160644112346</v>
      </c>
      <c r="AD43" s="11">
        <v>22.751364493193641</v>
      </c>
      <c r="AE43" s="11">
        <v>22.74941088795148</v>
      </c>
      <c r="AF43" s="11">
        <v>22.743609045995921</v>
      </c>
      <c r="AG43" s="11">
        <v>22.746491744236565</v>
      </c>
      <c r="AH43" s="11">
        <v>22.737644064186092</v>
      </c>
      <c r="AI43" s="11">
        <v>22.729927757883896</v>
      </c>
      <c r="AJ43" s="11">
        <v>22.718941135565149</v>
      </c>
      <c r="AK43" s="11">
        <v>22.704049722556011</v>
      </c>
      <c r="AL43" s="11">
        <v>22.68541236648149</v>
      </c>
      <c r="AM43" s="11"/>
    </row>
    <row r="44" spans="12:64" ht="13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87">
        <f>SUM(M46:M47)</f>
        <v>56.558240212106661</v>
      </c>
      <c r="N45" s="87">
        <f t="shared" ref="N45" si="45">SUM(N46:N47)</f>
        <v>53.287801355768877</v>
      </c>
      <c r="O45" s="87">
        <f t="shared" ref="O45" si="46">SUM(O46:O47)</f>
        <v>54.241899859391033</v>
      </c>
      <c r="P45" s="87">
        <f t="shared" ref="P45" si="47">SUM(P46:P47)</f>
        <v>51.361914172153973</v>
      </c>
      <c r="Q45" s="87">
        <f t="shared" ref="Q45" si="48">SUM(Q46:Q47)</f>
        <v>52.547623466111517</v>
      </c>
      <c r="R45" s="87">
        <f t="shared" ref="R45" si="49">SUM(R46:R47)</f>
        <v>56.959938314054895</v>
      </c>
      <c r="S45" s="87">
        <f t="shared" ref="S45" si="50">SUM(S46:S47)</f>
        <v>56.285078773834478</v>
      </c>
      <c r="T45" s="87">
        <f t="shared" ref="T45" si="51">SUM(T46:T47)</f>
        <v>55.139332336312677</v>
      </c>
      <c r="U45" s="87">
        <f t="shared" ref="U45" si="52">SUM(U46:U47)</f>
        <v>53.46168716327859</v>
      </c>
      <c r="V45" s="87">
        <f t="shared" ref="V45" si="53">SUM(V46:V47)</f>
        <v>51.598951207068083</v>
      </c>
      <c r="W45" s="87">
        <f t="shared" ref="W45" si="54">SUM(W46:W47)</f>
        <v>46.286833202091827</v>
      </c>
      <c r="X45" s="87">
        <f t="shared" ref="X45" si="55">SUM(X46:X47)</f>
        <v>48.966539075399957</v>
      </c>
      <c r="Y45" s="87">
        <f t="shared" ref="Y45" si="56">SUM(Y46:Y47)</f>
        <v>48.840048373207026</v>
      </c>
      <c r="Z45" s="87">
        <f t="shared" ref="Z45" si="57">SUM(Z46:Z47)</f>
        <v>48.605736996396629</v>
      </c>
      <c r="AA45" s="87">
        <f t="shared" ref="AA45" si="58">SUM(AA46:AA47)</f>
        <v>48.407669690159487</v>
      </c>
      <c r="AB45" s="87">
        <f t="shared" ref="AB45" si="59">SUM(AB46:AB47)</f>
        <v>48.234655478640505</v>
      </c>
      <c r="AC45" s="87">
        <f t="shared" ref="AC45" si="60">SUM(AC46:AC47)</f>
        <v>48.000242439216322</v>
      </c>
      <c r="AD45" s="87">
        <f t="shared" ref="AD45" si="61">SUM(AD46:AD47)</f>
        <v>47.696719246926321</v>
      </c>
      <c r="AE45" s="87">
        <f t="shared" ref="AE45" si="62">SUM(AE46:AE47)</f>
        <v>47.422375452955499</v>
      </c>
      <c r="AF45" s="87">
        <f t="shared" ref="AF45" si="63">SUM(AF46:AF47)</f>
        <v>47.167810334714233</v>
      </c>
      <c r="AG45" s="87">
        <f t="shared" ref="AG45" si="64">SUM(AG46:AG47)</f>
        <v>46.942197126864194</v>
      </c>
      <c r="AH45" s="87">
        <f t="shared" ref="AH45" si="65">SUM(AH46:AH47)</f>
        <v>46.698404565753712</v>
      </c>
      <c r="AI45" s="87">
        <f t="shared" ref="AI45" si="66">SUM(AI46:AI47)</f>
        <v>46.497425531660028</v>
      </c>
      <c r="AJ45" s="87">
        <f t="shared" ref="AJ45" si="67">SUM(AJ46:AJ47)</f>
        <v>46.311072599276187</v>
      </c>
      <c r="AK45" s="87">
        <f t="shared" ref="AK45" si="68">SUM(AK46:AK47)</f>
        <v>46.136375799057404</v>
      </c>
      <c r="AL45" s="87">
        <f t="shared" ref="AL45" si="69">SUM(AL46:AL47)</f>
        <v>45.977952071338812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232" t="str">
        <f>'Occ T3'!A48</f>
        <v>91 Elementary trades and related occupations</v>
      </c>
      <c r="M46" s="11">
        <v>9.9359847376257022</v>
      </c>
      <c r="N46" s="11">
        <v>9.6203569958692263</v>
      </c>
      <c r="O46" s="11">
        <v>9.7502072772979478</v>
      </c>
      <c r="P46" s="11">
        <v>9.6280714033618509</v>
      </c>
      <c r="Q46" s="11">
        <v>10.441831648369302</v>
      </c>
      <c r="R46" s="11">
        <v>11.487443580203085</v>
      </c>
      <c r="S46" s="11">
        <v>11.160257153468608</v>
      </c>
      <c r="T46" s="11">
        <v>10.041157722278529</v>
      </c>
      <c r="U46" s="11">
        <v>10.375070492135515</v>
      </c>
      <c r="V46" s="11">
        <v>9.8320405541299714</v>
      </c>
      <c r="W46" s="11">
        <v>8.59789452449556</v>
      </c>
      <c r="X46" s="11">
        <v>14.311464864783689</v>
      </c>
      <c r="Y46" s="11">
        <v>14.449651013489465</v>
      </c>
      <c r="Z46" s="11">
        <v>14.620743365617923</v>
      </c>
      <c r="AA46" s="11">
        <v>14.820370132033752</v>
      </c>
      <c r="AB46" s="11">
        <v>15.010512028853473</v>
      </c>
      <c r="AC46" s="11">
        <v>15.180486136732771</v>
      </c>
      <c r="AD46" s="11">
        <v>15.331664024007418</v>
      </c>
      <c r="AE46" s="11">
        <v>15.47222970714787</v>
      </c>
      <c r="AF46" s="11">
        <v>15.603464862428755</v>
      </c>
      <c r="AG46" s="11">
        <v>15.733475888513647</v>
      </c>
      <c r="AH46" s="11">
        <v>15.855152250746412</v>
      </c>
      <c r="AI46" s="11">
        <v>15.999263723713677</v>
      </c>
      <c r="AJ46" s="11">
        <v>16.156340967408482</v>
      </c>
      <c r="AK46" s="11">
        <v>16.327213482031649</v>
      </c>
      <c r="AL46" s="11">
        <v>16.496787208058887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232" t="str">
        <f>'Occ T3'!A49</f>
        <v>92 Elementary administration and service occupations</v>
      </c>
      <c r="M47" s="11">
        <v>46.622255474480959</v>
      </c>
      <c r="N47" s="11">
        <v>43.667444359899648</v>
      </c>
      <c r="O47" s="11">
        <v>44.491692582093087</v>
      </c>
      <c r="P47" s="11">
        <v>41.733842768792123</v>
      </c>
      <c r="Q47" s="11">
        <v>42.105791817742215</v>
      </c>
      <c r="R47" s="11">
        <v>45.472494733851811</v>
      </c>
      <c r="S47" s="11">
        <v>45.124821620365871</v>
      </c>
      <c r="T47" s="11">
        <v>45.09817461403415</v>
      </c>
      <c r="U47" s="11">
        <v>43.086616671143076</v>
      </c>
      <c r="V47" s="11">
        <v>41.766910652938115</v>
      </c>
      <c r="W47" s="11">
        <v>37.688938677596269</v>
      </c>
      <c r="X47" s="11">
        <v>34.65507421061627</v>
      </c>
      <c r="Y47" s="11">
        <v>34.390397359717561</v>
      </c>
      <c r="Z47" s="11">
        <v>33.98499363077871</v>
      </c>
      <c r="AA47" s="11">
        <v>33.587299558125736</v>
      </c>
      <c r="AB47" s="11">
        <v>33.224143449787029</v>
      </c>
      <c r="AC47" s="11">
        <v>32.819756302483555</v>
      </c>
      <c r="AD47" s="11">
        <v>32.365055222918905</v>
      </c>
      <c r="AE47" s="11">
        <v>31.950145745807632</v>
      </c>
      <c r="AF47" s="11">
        <v>31.564345472285474</v>
      </c>
      <c r="AG47" s="11">
        <v>31.208721238350545</v>
      </c>
      <c r="AH47" s="11">
        <v>30.843252315007302</v>
      </c>
      <c r="AI47" s="11">
        <v>30.498161807946353</v>
      </c>
      <c r="AJ47" s="11">
        <v>30.154731631867705</v>
      </c>
      <c r="AK47" s="11">
        <v>29.809162317025759</v>
      </c>
      <c r="AL47" s="11">
        <v>29.481164863279925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87">
        <f t="shared" ref="M49:AD49" si="70">SUM(M5,M9,M15,M22,M26,M32,M37,M41,M45)</f>
        <v>486.12400000000008</v>
      </c>
      <c r="N49" s="87">
        <f t="shared" si="70"/>
        <v>480.09300000000013</v>
      </c>
      <c r="O49" s="87">
        <f t="shared" si="70"/>
        <v>487.18800000000005</v>
      </c>
      <c r="P49" s="87">
        <f t="shared" si="70"/>
        <v>480.6479999999998</v>
      </c>
      <c r="Q49" s="87">
        <f t="shared" si="70"/>
        <v>488.96499999999997</v>
      </c>
      <c r="R49" s="87">
        <f t="shared" si="70"/>
        <v>505.56200000000013</v>
      </c>
      <c r="S49" s="87">
        <f t="shared" si="70"/>
        <v>503.93900000000008</v>
      </c>
      <c r="T49" s="87">
        <f t="shared" si="70"/>
        <v>512.15300000000002</v>
      </c>
      <c r="U49" s="87">
        <f t="shared" si="70"/>
        <v>510.73500000000018</v>
      </c>
      <c r="V49" s="87">
        <f t="shared" si="70"/>
        <v>509.93099999999964</v>
      </c>
      <c r="W49" s="87">
        <f t="shared" si="70"/>
        <v>496.19399999999968</v>
      </c>
      <c r="X49" s="87">
        <f t="shared" si="70"/>
        <v>500.11499999999967</v>
      </c>
      <c r="Y49" s="87">
        <f t="shared" si="70"/>
        <v>501.57899999999967</v>
      </c>
      <c r="Z49" s="87">
        <f t="shared" si="70"/>
        <v>503.4490000000003</v>
      </c>
      <c r="AA49" s="87">
        <f t="shared" si="70"/>
        <v>506.20599999999996</v>
      </c>
      <c r="AB49" s="87">
        <f t="shared" si="70"/>
        <v>508.1280000000001</v>
      </c>
      <c r="AC49" s="87">
        <f t="shared" si="70"/>
        <v>509.56499999999954</v>
      </c>
      <c r="AD49" s="87">
        <f t="shared" si="70"/>
        <v>510.77499999999998</v>
      </c>
      <c r="AE49" s="87">
        <f t="shared" ref="AE49:AL49" si="71">SUM(AE5,AE9,AE15,AE22,AE26,AE32,AE37,AE41,AE45)</f>
        <v>511.99799999999988</v>
      </c>
      <c r="AF49" s="87">
        <f t="shared" si="71"/>
        <v>513.22200000000043</v>
      </c>
      <c r="AG49" s="87">
        <f t="shared" si="71"/>
        <v>514.65600000000006</v>
      </c>
      <c r="AH49" s="87">
        <f t="shared" si="71"/>
        <v>516.0630000000001</v>
      </c>
      <c r="AI49" s="87">
        <f t="shared" si="71"/>
        <v>517.49700000000007</v>
      </c>
      <c r="AJ49" s="87">
        <f t="shared" si="71"/>
        <v>518.96699999999964</v>
      </c>
      <c r="AK49" s="87">
        <f t="shared" si="71"/>
        <v>520.44200000000012</v>
      </c>
      <c r="AL49" s="87">
        <f t="shared" si="71"/>
        <v>521.94399999999951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37">
        <f t="shared" ref="M52:AD52" si="73">M5/M$49</f>
        <v>7.3771673209990563E-2</v>
      </c>
      <c r="N52" s="337">
        <f t="shared" si="73"/>
        <v>8.0216071864206567E-2</v>
      </c>
      <c r="O52" s="337">
        <f t="shared" si="73"/>
        <v>8.1370214874618887E-2</v>
      </c>
      <c r="P52" s="337">
        <f t="shared" si="73"/>
        <v>8.3879295271931456E-2</v>
      </c>
      <c r="Q52" s="337">
        <f t="shared" si="73"/>
        <v>8.2304199660933011E-2</v>
      </c>
      <c r="R52" s="337">
        <f t="shared" si="73"/>
        <v>8.3852664195490006E-2</v>
      </c>
      <c r="S52" s="337">
        <f t="shared" si="73"/>
        <v>8.5298944593424034E-2</v>
      </c>
      <c r="T52" s="337">
        <f t="shared" si="73"/>
        <v>8.7833961991028456E-2</v>
      </c>
      <c r="U52" s="337">
        <f t="shared" si="73"/>
        <v>9.0017645010714881E-2</v>
      </c>
      <c r="V52" s="337">
        <f t="shared" si="73"/>
        <v>9.0885135458674451E-2</v>
      </c>
      <c r="W52" s="337">
        <f t="shared" si="73"/>
        <v>9.6334029618205405E-2</v>
      </c>
      <c r="X52" s="337">
        <f t="shared" si="73"/>
        <v>8.6101268232573136E-2</v>
      </c>
      <c r="Y52" s="337">
        <f t="shared" si="73"/>
        <v>8.6634438932457758E-2</v>
      </c>
      <c r="Z52" s="337">
        <f t="shared" si="73"/>
        <v>8.7160336526297164E-2</v>
      </c>
      <c r="AA52" s="337">
        <f t="shared" si="73"/>
        <v>8.768975325090797E-2</v>
      </c>
      <c r="AB52" s="337">
        <f t="shared" si="73"/>
        <v>8.8239231553748881E-2</v>
      </c>
      <c r="AC52" s="337">
        <f t="shared" si="73"/>
        <v>8.8787984060065203E-2</v>
      </c>
      <c r="AD52" s="337">
        <f t="shared" si="73"/>
        <v>8.9357449442895934E-2</v>
      </c>
      <c r="AE52" s="337">
        <f t="shared" ref="AE52:AL52" si="74">AE5/AE$49</f>
        <v>8.9946866697059424E-2</v>
      </c>
      <c r="AF52" s="337">
        <f t="shared" si="74"/>
        <v>9.0550194015238672E-2</v>
      </c>
      <c r="AG52" s="337">
        <f t="shared" si="74"/>
        <v>9.1174053353493156E-2</v>
      </c>
      <c r="AH52" s="337">
        <f t="shared" si="74"/>
        <v>9.1780473072086963E-2</v>
      </c>
      <c r="AI52" s="337">
        <f t="shared" si="74"/>
        <v>9.2383578070578024E-2</v>
      </c>
      <c r="AJ52" s="337">
        <f t="shared" si="74"/>
        <v>9.3001972766441635E-2</v>
      </c>
      <c r="AK52" s="337">
        <f t="shared" si="74"/>
        <v>9.3648266006737771E-2</v>
      </c>
      <c r="AL52" s="337">
        <f t="shared" si="74"/>
        <v>9.4313143338239827E-2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232" t="str">
        <f>'Occ T3'!A8</f>
        <v>11 Corporate managers and directors</v>
      </c>
      <c r="M53" s="336">
        <f t="shared" ref="M53:AD53" si="75">M6/M$49</f>
        <v>5.2619482351086828E-2</v>
      </c>
      <c r="N53" s="336">
        <f t="shared" si="75"/>
        <v>5.7075807969787881E-2</v>
      </c>
      <c r="O53" s="336">
        <f t="shared" si="75"/>
        <v>5.7818665133343279E-2</v>
      </c>
      <c r="P53" s="336">
        <f t="shared" si="75"/>
        <v>5.971052557130202E-2</v>
      </c>
      <c r="Q53" s="336">
        <f t="shared" si="75"/>
        <v>5.6295706125652614E-2</v>
      </c>
      <c r="R53" s="336">
        <f t="shared" si="75"/>
        <v>5.9104097619839702E-2</v>
      </c>
      <c r="S53" s="336">
        <f t="shared" si="75"/>
        <v>6.2307250106359451E-2</v>
      </c>
      <c r="T53" s="336">
        <f t="shared" si="75"/>
        <v>6.256245022049832E-2</v>
      </c>
      <c r="U53" s="336">
        <f t="shared" si="75"/>
        <v>6.519441304821369E-2</v>
      </c>
      <c r="V53" s="336">
        <f t="shared" si="75"/>
        <v>6.6030072989576666E-2</v>
      </c>
      <c r="W53" s="336">
        <f t="shared" si="75"/>
        <v>6.9644835525859441E-2</v>
      </c>
      <c r="X53" s="336">
        <f t="shared" si="75"/>
        <v>6.0137623726556032E-2</v>
      </c>
      <c r="Y53" s="336">
        <f t="shared" si="75"/>
        <v>6.0392146433428225E-2</v>
      </c>
      <c r="Z53" s="336">
        <f t="shared" si="75"/>
        <v>6.0695508363151067E-2</v>
      </c>
      <c r="AA53" s="336">
        <f t="shared" si="75"/>
        <v>6.1030177300315215E-2</v>
      </c>
      <c r="AB53" s="336">
        <f t="shared" si="75"/>
        <v>6.134720143606829E-2</v>
      </c>
      <c r="AC53" s="336">
        <f t="shared" si="75"/>
        <v>6.1678330054486738E-2</v>
      </c>
      <c r="AD53" s="336">
        <f t="shared" si="75"/>
        <v>6.203348386257089E-2</v>
      </c>
      <c r="AE53" s="336">
        <f t="shared" ref="AE53:AL53" si="76">AE6/AE$49</f>
        <v>6.2402710479241043E-2</v>
      </c>
      <c r="AF53" s="336">
        <f t="shared" si="76"/>
        <v>6.2763172749613516E-2</v>
      </c>
      <c r="AG53" s="336">
        <f t="shared" si="76"/>
        <v>6.3140296222079187E-2</v>
      </c>
      <c r="AH53" s="336">
        <f t="shared" si="76"/>
        <v>6.3501977786825065E-2</v>
      </c>
      <c r="AI53" s="336">
        <f t="shared" si="76"/>
        <v>6.3867155489175348E-2</v>
      </c>
      <c r="AJ53" s="336">
        <f t="shared" si="76"/>
        <v>6.4237505863851976E-2</v>
      </c>
      <c r="AK53" s="336">
        <f t="shared" si="76"/>
        <v>6.4612546262681744E-2</v>
      </c>
      <c r="AL53" s="336">
        <f t="shared" si="76"/>
        <v>6.4997342006689954E-2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232" t="str">
        <f>'Occ T3'!A9</f>
        <v>12 Other managers and proprietors</v>
      </c>
      <c r="M54" s="336">
        <f t="shared" ref="M54:AD54" si="77">M7/M$49</f>
        <v>2.1152190858903738E-2</v>
      </c>
      <c r="N54" s="336">
        <f t="shared" si="77"/>
        <v>2.314026389441869E-2</v>
      </c>
      <c r="O54" s="336">
        <f t="shared" si="77"/>
        <v>2.3551549741275615E-2</v>
      </c>
      <c r="P54" s="336">
        <f t="shared" si="77"/>
        <v>2.4168769700629422E-2</v>
      </c>
      <c r="Q54" s="336">
        <f t="shared" si="77"/>
        <v>2.6008493535280397E-2</v>
      </c>
      <c r="R54" s="336">
        <f t="shared" si="77"/>
        <v>2.4748566575650322E-2</v>
      </c>
      <c r="S54" s="336">
        <f t="shared" si="77"/>
        <v>2.299169448706458E-2</v>
      </c>
      <c r="T54" s="336">
        <f t="shared" si="77"/>
        <v>2.5271511770530126E-2</v>
      </c>
      <c r="U54" s="336">
        <f t="shared" si="77"/>
        <v>2.4823231962501181E-2</v>
      </c>
      <c r="V54" s="336">
        <f t="shared" si="77"/>
        <v>2.4855062469097775E-2</v>
      </c>
      <c r="W54" s="336">
        <f t="shared" si="77"/>
        <v>2.6689194092345964E-2</v>
      </c>
      <c r="X54" s="336">
        <f t="shared" si="77"/>
        <v>2.5963644506017101E-2</v>
      </c>
      <c r="Y54" s="336">
        <f t="shared" si="77"/>
        <v>2.6242292499029533E-2</v>
      </c>
      <c r="Z54" s="336">
        <f t="shared" si="77"/>
        <v>2.64648281631461E-2</v>
      </c>
      <c r="AA54" s="336">
        <f t="shared" si="77"/>
        <v>2.6659575950592745E-2</v>
      </c>
      <c r="AB54" s="336">
        <f t="shared" si="77"/>
        <v>2.6892030117680592E-2</v>
      </c>
      <c r="AC54" s="336">
        <f t="shared" si="77"/>
        <v>2.7109654005578476E-2</v>
      </c>
      <c r="AD54" s="336">
        <f t="shared" si="77"/>
        <v>2.732396558032503E-2</v>
      </c>
      <c r="AE54" s="336">
        <f t="shared" ref="AE54:AL54" si="78">AE7/AE$49</f>
        <v>2.7544156217818385E-2</v>
      </c>
      <c r="AF54" s="336">
        <f t="shared" si="78"/>
        <v>2.7787021265625163E-2</v>
      </c>
      <c r="AG54" s="336">
        <f t="shared" si="78"/>
        <v>2.8033757131413969E-2</v>
      </c>
      <c r="AH54" s="336">
        <f t="shared" si="78"/>
        <v>2.8278495285261905E-2</v>
      </c>
      <c r="AI54" s="336">
        <f t="shared" si="78"/>
        <v>2.8516422581402676E-2</v>
      </c>
      <c r="AJ54" s="336">
        <f t="shared" si="78"/>
        <v>2.8764466902589662E-2</v>
      </c>
      <c r="AK54" s="336">
        <f t="shared" si="78"/>
        <v>2.903571974405603E-2</v>
      </c>
      <c r="AL54" s="336">
        <f t="shared" si="78"/>
        <v>2.9315801331549877E-2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ht="13" x14ac:dyDescent="0.3">
      <c r="L56" s="17" t="str">
        <f>'Occ T3'!A11</f>
        <v>Professional occupations</v>
      </c>
      <c r="M56" s="337">
        <f t="shared" ref="M56:AD56" si="79">M9/M$49</f>
        <v>0.17733504505610823</v>
      </c>
      <c r="N56" s="337">
        <f t="shared" si="79"/>
        <v>0.17857231109633342</v>
      </c>
      <c r="O56" s="337">
        <f t="shared" si="79"/>
        <v>0.17359177156139335</v>
      </c>
      <c r="P56" s="337">
        <f t="shared" si="79"/>
        <v>0.17959331108201743</v>
      </c>
      <c r="Q56" s="337">
        <f t="shared" si="79"/>
        <v>0.17826621447653995</v>
      </c>
      <c r="R56" s="337">
        <f t="shared" si="79"/>
        <v>0.1734978254788935</v>
      </c>
      <c r="S56" s="337">
        <f t="shared" si="79"/>
        <v>0.18432206873456233</v>
      </c>
      <c r="T56" s="337">
        <f t="shared" si="79"/>
        <v>0.18244312772670512</v>
      </c>
      <c r="U56" s="337">
        <f t="shared" si="79"/>
        <v>0.18811246879284013</v>
      </c>
      <c r="V56" s="337">
        <f t="shared" si="79"/>
        <v>0.19426192278862214</v>
      </c>
      <c r="W56" s="337">
        <f t="shared" si="79"/>
        <v>0.20867610902124678</v>
      </c>
      <c r="X56" s="337">
        <f t="shared" si="79"/>
        <v>0.20994204838127725</v>
      </c>
      <c r="Y56" s="337">
        <f t="shared" si="79"/>
        <v>0.21133990151471255</v>
      </c>
      <c r="Z56" s="337">
        <f t="shared" si="79"/>
        <v>0.21302660386662531</v>
      </c>
      <c r="AA56" s="337">
        <f t="shared" si="79"/>
        <v>0.21474690981953798</v>
      </c>
      <c r="AB56" s="337">
        <f t="shared" si="79"/>
        <v>0.21640686609265414</v>
      </c>
      <c r="AC56" s="337">
        <f t="shared" si="79"/>
        <v>0.21812419514319528</v>
      </c>
      <c r="AD56" s="337">
        <f t="shared" si="79"/>
        <v>0.21988330895544275</v>
      </c>
      <c r="AE56" s="337">
        <f t="shared" ref="AE56:AL56" si="80">AE9/AE$49</f>
        <v>0.22155534909470509</v>
      </c>
      <c r="AF56" s="337">
        <f t="shared" si="80"/>
        <v>0.22324314935374148</v>
      </c>
      <c r="AG56" s="337">
        <f t="shared" si="80"/>
        <v>0.22495408849782703</v>
      </c>
      <c r="AH56" s="337">
        <f t="shared" si="80"/>
        <v>0.22667749502002654</v>
      </c>
      <c r="AI56" s="337">
        <f t="shared" si="80"/>
        <v>0.22834265061157771</v>
      </c>
      <c r="AJ56" s="337">
        <f t="shared" si="80"/>
        <v>0.23000810327489102</v>
      </c>
      <c r="AK56" s="337">
        <f t="shared" si="80"/>
        <v>0.23167253951153233</v>
      </c>
      <c r="AL56" s="337">
        <f t="shared" si="80"/>
        <v>0.23324191388070512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232" t="str">
        <f>'Occ T3'!A12</f>
        <v>21 Science, research, engineering and technology professionals</v>
      </c>
      <c r="M57" s="336">
        <f t="shared" ref="M57:AD57" si="81">M10/M$49</f>
        <v>4.6033135363492135E-2</v>
      </c>
      <c r="N57" s="336">
        <f t="shared" si="81"/>
        <v>4.4049637752430412E-2</v>
      </c>
      <c r="O57" s="336">
        <f t="shared" si="81"/>
        <v>4.387068650394621E-2</v>
      </c>
      <c r="P57" s="336">
        <f t="shared" si="81"/>
        <v>4.4501421555296558E-2</v>
      </c>
      <c r="Q57" s="336">
        <f t="shared" si="81"/>
        <v>4.5590805429641418E-2</v>
      </c>
      <c r="R57" s="336">
        <f t="shared" si="81"/>
        <v>4.6863821477954447E-2</v>
      </c>
      <c r="S57" s="336">
        <f t="shared" si="81"/>
        <v>4.7802755777102843E-2</v>
      </c>
      <c r="T57" s="336">
        <f t="shared" si="81"/>
        <v>4.5246248728972024E-2</v>
      </c>
      <c r="U57" s="336">
        <f t="shared" si="81"/>
        <v>4.9707720033595484E-2</v>
      </c>
      <c r="V57" s="336">
        <f t="shared" si="81"/>
        <v>5.005077641721873E-2</v>
      </c>
      <c r="W57" s="336">
        <f t="shared" si="81"/>
        <v>5.3757506619860153E-2</v>
      </c>
      <c r="X57" s="336">
        <f t="shared" si="81"/>
        <v>6.1154957209953204E-2</v>
      </c>
      <c r="Y57" s="336">
        <f t="shared" si="81"/>
        <v>6.1706826993068488E-2</v>
      </c>
      <c r="Z57" s="336">
        <f t="shared" si="81"/>
        <v>6.2337844404374829E-2</v>
      </c>
      <c r="AA57" s="336">
        <f t="shared" si="81"/>
        <v>6.299311840950042E-2</v>
      </c>
      <c r="AB57" s="336">
        <f t="shared" si="81"/>
        <v>6.3628362571229016E-2</v>
      </c>
      <c r="AC57" s="336">
        <f t="shared" si="81"/>
        <v>6.424856828563158E-2</v>
      </c>
      <c r="AD57" s="336">
        <f t="shared" si="81"/>
        <v>6.4862196023709476E-2</v>
      </c>
      <c r="AE57" s="336">
        <f t="shared" ref="AE57:AL57" si="82">AE10/AE$49</f>
        <v>6.5460634318397229E-2</v>
      </c>
      <c r="AF57" s="336">
        <f t="shared" si="82"/>
        <v>6.6060182938047204E-2</v>
      </c>
      <c r="AG57" s="336">
        <f t="shared" si="82"/>
        <v>6.6697071839187633E-2</v>
      </c>
      <c r="AH57" s="336">
        <f t="shared" si="82"/>
        <v>6.7326382851049929E-2</v>
      </c>
      <c r="AI57" s="336">
        <f t="shared" si="82"/>
        <v>6.7961021485420867E-2</v>
      </c>
      <c r="AJ57" s="336">
        <f t="shared" si="82"/>
        <v>6.858166157193149E-2</v>
      </c>
      <c r="AK57" s="336">
        <f t="shared" si="82"/>
        <v>6.9224454825132786E-2</v>
      </c>
      <c r="AL57" s="336">
        <f t="shared" si="82"/>
        <v>6.9854520577399506E-2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80" t="str">
        <f>CONCATENATE("Occupation Figure 2.1  Employment by Occupation (% shares), ",$M$2,"-",$O$2,", ",Info!B5)</f>
        <v>Occupation Figure 2.1  Employment by Occupation (% shares), 2010-2035, Black Country</v>
      </c>
      <c r="L58" s="232" t="str">
        <f>'Occ T3'!A13</f>
        <v>22 Health professionals</v>
      </c>
      <c r="M58" s="336">
        <f t="shared" ref="M58:AD58" si="83">M11/M$49</f>
        <v>4.1533221016481353E-2</v>
      </c>
      <c r="N58" s="336">
        <f t="shared" si="83"/>
        <v>4.5202833836587235E-2</v>
      </c>
      <c r="O58" s="336">
        <f t="shared" si="83"/>
        <v>4.6192179746626344E-2</v>
      </c>
      <c r="P58" s="336">
        <f t="shared" si="83"/>
        <v>4.7591123789299604E-2</v>
      </c>
      <c r="Q58" s="336">
        <f t="shared" si="83"/>
        <v>4.7184697352926665E-2</v>
      </c>
      <c r="R58" s="336">
        <f t="shared" si="83"/>
        <v>4.2872628690234241E-2</v>
      </c>
      <c r="S58" s="336">
        <f t="shared" si="83"/>
        <v>4.8848174092002733E-2</v>
      </c>
      <c r="T58" s="336">
        <f t="shared" si="83"/>
        <v>5.1241010576334033E-2</v>
      </c>
      <c r="U58" s="336">
        <f t="shared" si="83"/>
        <v>4.9828372762099865E-2</v>
      </c>
      <c r="V58" s="336">
        <f t="shared" si="83"/>
        <v>5.3567644766047716E-2</v>
      </c>
      <c r="W58" s="336">
        <f t="shared" si="83"/>
        <v>5.4183048960920112E-2</v>
      </c>
      <c r="X58" s="336">
        <f t="shared" si="83"/>
        <v>5.0958174693698038E-2</v>
      </c>
      <c r="Y58" s="336">
        <f t="shared" si="83"/>
        <v>5.1291373416671199E-2</v>
      </c>
      <c r="Z58" s="336">
        <f t="shared" si="83"/>
        <v>5.1622889925127549E-2</v>
      </c>
      <c r="AA58" s="336">
        <f t="shared" si="83"/>
        <v>5.1946826449355533E-2</v>
      </c>
      <c r="AB58" s="336">
        <f t="shared" si="83"/>
        <v>5.2239070503207315E-2</v>
      </c>
      <c r="AC58" s="336">
        <f t="shared" si="83"/>
        <v>5.2539268586798415E-2</v>
      </c>
      <c r="AD58" s="336">
        <f t="shared" si="83"/>
        <v>5.2838329486226923E-2</v>
      </c>
      <c r="AE58" s="336">
        <f t="shared" ref="AE58:AL58" si="84">AE11/AE$49</f>
        <v>5.3054007020198135E-2</v>
      </c>
      <c r="AF58" s="336">
        <f t="shared" si="84"/>
        <v>5.3330664599775819E-2</v>
      </c>
      <c r="AG58" s="336">
        <f t="shared" si="84"/>
        <v>5.3577384708837238E-2</v>
      </c>
      <c r="AH58" s="336">
        <f t="shared" si="84"/>
        <v>5.3831413856875295E-2</v>
      </c>
      <c r="AI58" s="336">
        <f t="shared" si="84"/>
        <v>5.4076805175351017E-2</v>
      </c>
      <c r="AJ58" s="336">
        <f t="shared" si="84"/>
        <v>5.4323277618141493E-2</v>
      </c>
      <c r="AK58" s="336">
        <f t="shared" si="84"/>
        <v>5.4558570280532952E-2</v>
      </c>
      <c r="AL58" s="336">
        <f t="shared" si="84"/>
        <v>5.475610997331859E-2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232" t="str">
        <f>'Occ T3'!A14</f>
        <v>23 Teaching and other educational professionals</v>
      </c>
      <c r="M59" s="336">
        <f t="shared" ref="M59:AD59" si="85">M12/M$49</f>
        <v>4.2081607111324901E-2</v>
      </c>
      <c r="N59" s="336">
        <f t="shared" si="85"/>
        <v>4.3857385117406965E-2</v>
      </c>
      <c r="O59" s="336">
        <f t="shared" si="85"/>
        <v>4.0434389797190884E-2</v>
      </c>
      <c r="P59" s="336">
        <f t="shared" si="85"/>
        <v>4.0990154994114111E-2</v>
      </c>
      <c r="Q59" s="336">
        <f t="shared" si="85"/>
        <v>3.970093787275656E-2</v>
      </c>
      <c r="R59" s="336">
        <f t="shared" si="85"/>
        <v>3.8650798053792075E-2</v>
      </c>
      <c r="S59" s="336">
        <f t="shared" si="85"/>
        <v>4.0282700717865279E-2</v>
      </c>
      <c r="T59" s="336">
        <f t="shared" si="85"/>
        <v>3.8776748873664627E-2</v>
      </c>
      <c r="U59" s="336">
        <f t="shared" si="85"/>
        <v>3.8289003861248221E-2</v>
      </c>
      <c r="V59" s="336">
        <f t="shared" si="85"/>
        <v>4.0722368036382468E-2</v>
      </c>
      <c r="W59" s="336">
        <f t="shared" si="85"/>
        <v>4.4391141052710477E-2</v>
      </c>
      <c r="X59" s="336">
        <f t="shared" si="85"/>
        <v>4.2076226724048447E-2</v>
      </c>
      <c r="Y59" s="336">
        <f t="shared" si="85"/>
        <v>4.2300019667797804E-2</v>
      </c>
      <c r="Z59" s="336">
        <f t="shared" si="85"/>
        <v>4.2621546827828753E-2</v>
      </c>
      <c r="AA59" s="336">
        <f t="shared" si="85"/>
        <v>4.2924110611810326E-2</v>
      </c>
      <c r="AB59" s="336">
        <f t="shared" si="85"/>
        <v>4.3236532169485635E-2</v>
      </c>
      <c r="AC59" s="336">
        <f t="shared" si="85"/>
        <v>4.3588273680079496E-2</v>
      </c>
      <c r="AD59" s="336">
        <f t="shared" si="85"/>
        <v>4.3958548519875032E-2</v>
      </c>
      <c r="AE59" s="336">
        <f t="shared" ref="AE59:AL59" si="86">AE12/AE$49</f>
        <v>4.430567220968866E-2</v>
      </c>
      <c r="AF59" s="336">
        <f t="shared" si="86"/>
        <v>4.461601080218007E-2</v>
      </c>
      <c r="AG59" s="336">
        <f t="shared" si="86"/>
        <v>4.4923664340800078E-2</v>
      </c>
      <c r="AH59" s="336">
        <f t="shared" si="86"/>
        <v>4.5249822922009166E-2</v>
      </c>
      <c r="AI59" s="336">
        <f t="shared" si="86"/>
        <v>4.5520211848998668E-2</v>
      </c>
      <c r="AJ59" s="336">
        <f t="shared" si="86"/>
        <v>4.5793194142968362E-2</v>
      </c>
      <c r="AK59" s="336">
        <f t="shared" si="86"/>
        <v>4.6058785479020946E-2</v>
      </c>
      <c r="AL59" s="336">
        <f t="shared" si="86"/>
        <v>4.6298752909662594E-2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232" t="str">
        <f>'Occ T3'!A15</f>
        <v>24 Business, media and public service professionals</v>
      </c>
      <c r="M60" s="336">
        <f t="shared" ref="M60:AD60" si="87">M13/M$49</f>
        <v>4.7687081564809844E-2</v>
      </c>
      <c r="N60" s="336">
        <f t="shared" si="87"/>
        <v>4.5462454389908827E-2</v>
      </c>
      <c r="O60" s="336">
        <f t="shared" si="87"/>
        <v>4.3094515513629902E-2</v>
      </c>
      <c r="P60" s="336">
        <f t="shared" si="87"/>
        <v>4.6510610743307146E-2</v>
      </c>
      <c r="Q60" s="336">
        <f t="shared" si="87"/>
        <v>4.578977382121531E-2</v>
      </c>
      <c r="R60" s="336">
        <f t="shared" si="87"/>
        <v>4.5110577256912775E-2</v>
      </c>
      <c r="S60" s="336">
        <f t="shared" si="87"/>
        <v>4.7388438147591437E-2</v>
      </c>
      <c r="T60" s="336">
        <f t="shared" si="87"/>
        <v>4.717911954773444E-2</v>
      </c>
      <c r="U60" s="336">
        <f t="shared" si="87"/>
        <v>5.0287372135896569E-2</v>
      </c>
      <c r="V60" s="336">
        <f t="shared" si="87"/>
        <v>4.9921133568973243E-2</v>
      </c>
      <c r="W60" s="336">
        <f t="shared" si="87"/>
        <v>5.6344412387756039E-2</v>
      </c>
      <c r="X60" s="336">
        <f t="shared" si="87"/>
        <v>5.575268975357759E-2</v>
      </c>
      <c r="Y60" s="336">
        <f t="shared" si="87"/>
        <v>5.6041681437175049E-2</v>
      </c>
      <c r="Z60" s="336">
        <f t="shared" si="87"/>
        <v>5.6444322709294163E-2</v>
      </c>
      <c r="AA60" s="336">
        <f t="shared" si="87"/>
        <v>5.6882854348871713E-2</v>
      </c>
      <c r="AB60" s="336">
        <f t="shared" si="87"/>
        <v>5.7302900848732165E-2</v>
      </c>
      <c r="AC60" s="336">
        <f t="shared" si="87"/>
        <v>5.7748084590685762E-2</v>
      </c>
      <c r="AD60" s="336">
        <f t="shared" si="87"/>
        <v>5.82242349256313E-2</v>
      </c>
      <c r="AE60" s="336">
        <f t="shared" ref="AE60:AL60" si="88">AE13/AE$49</f>
        <v>5.8735035546421094E-2</v>
      </c>
      <c r="AF60" s="336">
        <f t="shared" si="88"/>
        <v>5.9236291013738403E-2</v>
      </c>
      <c r="AG60" s="336">
        <f t="shared" si="88"/>
        <v>5.9755967609002071E-2</v>
      </c>
      <c r="AH60" s="336">
        <f t="shared" si="88"/>
        <v>6.026987539009214E-2</v>
      </c>
      <c r="AI60" s="336">
        <f t="shared" si="88"/>
        <v>6.0784612101807176E-2</v>
      </c>
      <c r="AJ60" s="336">
        <f t="shared" si="88"/>
        <v>6.130996994184968E-2</v>
      </c>
      <c r="AK60" s="336">
        <f t="shared" si="88"/>
        <v>6.1830728926845657E-2</v>
      </c>
      <c r="AL60" s="336">
        <f t="shared" si="88"/>
        <v>6.2332530420324404E-2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37">
        <f t="shared" ref="M62:AD62" si="89">M15/M$49</f>
        <v>0.10979305713519295</v>
      </c>
      <c r="N62" s="337">
        <f t="shared" si="89"/>
        <v>0.11057378303983095</v>
      </c>
      <c r="O62" s="337">
        <f t="shared" si="89"/>
        <v>0.11190337377530099</v>
      </c>
      <c r="P62" s="337">
        <f t="shared" si="89"/>
        <v>0.11238214119397776</v>
      </c>
      <c r="Q62" s="337">
        <f t="shared" si="89"/>
        <v>0.11201847914772294</v>
      </c>
      <c r="R62" s="337">
        <f t="shared" si="89"/>
        <v>0.11101978662129754</v>
      </c>
      <c r="S62" s="337">
        <f t="shared" si="89"/>
        <v>0.11296978494346736</v>
      </c>
      <c r="T62" s="337">
        <f t="shared" si="89"/>
        <v>0.11548500372295867</v>
      </c>
      <c r="U62" s="337">
        <f t="shared" si="89"/>
        <v>0.11499801597263927</v>
      </c>
      <c r="V62" s="337">
        <f t="shared" si="89"/>
        <v>0.11514573938806162</v>
      </c>
      <c r="W62" s="337">
        <f t="shared" si="89"/>
        <v>0.12256416242568559</v>
      </c>
      <c r="X62" s="337">
        <f t="shared" si="89"/>
        <v>0.12515466559540012</v>
      </c>
      <c r="Y62" s="337">
        <f t="shared" si="89"/>
        <v>0.12568812364164225</v>
      </c>
      <c r="Z62" s="337">
        <f t="shared" si="89"/>
        <v>0.12646841633751699</v>
      </c>
      <c r="AA62" s="337">
        <f t="shared" si="89"/>
        <v>0.12737845046249033</v>
      </c>
      <c r="AB62" s="337">
        <f t="shared" si="89"/>
        <v>0.12823353715513774</v>
      </c>
      <c r="AC62" s="337">
        <f t="shared" si="89"/>
        <v>0.12907582970465833</v>
      </c>
      <c r="AD62" s="337">
        <f t="shared" si="89"/>
        <v>0.12992798159341709</v>
      </c>
      <c r="AE62" s="337">
        <f t="shared" ref="AE62:AL62" si="90">AE15/AE$49</f>
        <v>0.13082151008101209</v>
      </c>
      <c r="AF62" s="337">
        <f t="shared" si="90"/>
        <v>0.13172523372943895</v>
      </c>
      <c r="AG62" s="337">
        <f t="shared" si="90"/>
        <v>0.13260452688490176</v>
      </c>
      <c r="AH62" s="337">
        <f t="shared" si="90"/>
        <v>0.13345558360159143</v>
      </c>
      <c r="AI62" s="337">
        <f t="shared" si="90"/>
        <v>0.1342841345520675</v>
      </c>
      <c r="AJ62" s="337">
        <f t="shared" si="90"/>
        <v>0.13519346737158547</v>
      </c>
      <c r="AK62" s="337">
        <f t="shared" si="90"/>
        <v>0.13609173938519295</v>
      </c>
      <c r="AL62" s="337">
        <f t="shared" si="90"/>
        <v>0.137006929196234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232" t="str">
        <f>'Occ T3'!A18</f>
        <v>31 Science, engineering and technology associate professionals</v>
      </c>
      <c r="M63" s="336">
        <f t="shared" ref="M63:AD63" si="91">M16/M$49</f>
        <v>1.6462132789558419E-2</v>
      </c>
      <c r="N63" s="336">
        <f t="shared" si="91"/>
        <v>1.6438104458576103E-2</v>
      </c>
      <c r="O63" s="336">
        <f t="shared" si="91"/>
        <v>1.6331821918409584E-2</v>
      </c>
      <c r="P63" s="336">
        <f t="shared" si="91"/>
        <v>1.6841996566417113E-2</v>
      </c>
      <c r="Q63" s="336">
        <f t="shared" si="91"/>
        <v>1.5394952811248492E-2</v>
      </c>
      <c r="R63" s="336">
        <f t="shared" si="91"/>
        <v>1.5111170870367089E-2</v>
      </c>
      <c r="S63" s="336">
        <f t="shared" si="91"/>
        <v>1.5342333956906771E-2</v>
      </c>
      <c r="T63" s="336">
        <f t="shared" si="91"/>
        <v>1.6486051655875494E-2</v>
      </c>
      <c r="U63" s="336">
        <f t="shared" si="91"/>
        <v>1.6875505028866145E-2</v>
      </c>
      <c r="V63" s="336">
        <f t="shared" si="91"/>
        <v>1.5841001516090518E-2</v>
      </c>
      <c r="W63" s="336">
        <f t="shared" si="91"/>
        <v>1.7557448829615237E-2</v>
      </c>
      <c r="X63" s="336">
        <f t="shared" si="91"/>
        <v>1.5627370118745983E-2</v>
      </c>
      <c r="Y63" s="336">
        <f t="shared" si="91"/>
        <v>1.5654365805855521E-2</v>
      </c>
      <c r="Z63" s="336">
        <f t="shared" si="91"/>
        <v>1.5691299448246324E-2</v>
      </c>
      <c r="AA63" s="336">
        <f t="shared" si="91"/>
        <v>1.5736663713373709E-2</v>
      </c>
      <c r="AB63" s="336">
        <f t="shared" si="91"/>
        <v>1.5772828263645351E-2</v>
      </c>
      <c r="AC63" s="336">
        <f t="shared" si="91"/>
        <v>1.5815297801481887E-2</v>
      </c>
      <c r="AD63" s="336">
        <f t="shared" si="91"/>
        <v>1.5855464759900559E-2</v>
      </c>
      <c r="AE63" s="336">
        <f t="shared" ref="AE63:AL63" si="92">AE16/AE$49</f>
        <v>1.5898324471049177E-2</v>
      </c>
      <c r="AF63" s="336">
        <f t="shared" si="92"/>
        <v>1.5926052996989851E-2</v>
      </c>
      <c r="AG63" s="336">
        <f t="shared" si="92"/>
        <v>1.5953883628328863E-2</v>
      </c>
      <c r="AH63" s="336">
        <f t="shared" si="92"/>
        <v>1.5992074421060438E-2</v>
      </c>
      <c r="AI63" s="336">
        <f t="shared" si="92"/>
        <v>1.6024990160157241E-2</v>
      </c>
      <c r="AJ63" s="336">
        <f t="shared" si="92"/>
        <v>1.6055956052238803E-2</v>
      </c>
      <c r="AK63" s="336">
        <f t="shared" si="92"/>
        <v>1.610190505356001E-2</v>
      </c>
      <c r="AL63" s="336">
        <f t="shared" si="92"/>
        <v>1.6147931717855855E-2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232" t="str">
        <f>'Occ T3'!A19</f>
        <v>32 Health and social care associate professionals</v>
      </c>
      <c r="M64" s="336">
        <f t="shared" ref="M64:AD64" si="93">M17/M$49</f>
        <v>1.5332297358382872E-2</v>
      </c>
      <c r="N64" s="336">
        <f t="shared" si="93"/>
        <v>2.0080049966238116E-2</v>
      </c>
      <c r="O64" s="336">
        <f t="shared" si="93"/>
        <v>1.9820948802017176E-2</v>
      </c>
      <c r="P64" s="336">
        <f t="shared" si="93"/>
        <v>1.9480587842474376E-2</v>
      </c>
      <c r="Q64" s="336">
        <f t="shared" si="93"/>
        <v>1.9402828539875815E-2</v>
      </c>
      <c r="R64" s="336">
        <f t="shared" si="93"/>
        <v>1.7867026710835933E-2</v>
      </c>
      <c r="S64" s="336">
        <f t="shared" si="93"/>
        <v>1.9977653797648074E-2</v>
      </c>
      <c r="T64" s="336">
        <f t="shared" si="93"/>
        <v>2.0034473258698057E-2</v>
      </c>
      <c r="U64" s="336">
        <f t="shared" si="93"/>
        <v>2.0831831880836871E-2</v>
      </c>
      <c r="V64" s="336">
        <f t="shared" si="93"/>
        <v>2.1486690886469616E-2</v>
      </c>
      <c r="W64" s="336">
        <f t="shared" si="93"/>
        <v>2.2172544822101983E-2</v>
      </c>
      <c r="X64" s="336">
        <f t="shared" si="93"/>
        <v>3.246241363267241E-2</v>
      </c>
      <c r="Y64" s="336">
        <f t="shared" si="93"/>
        <v>3.3058439064152789E-2</v>
      </c>
      <c r="Z64" s="336">
        <f t="shared" si="93"/>
        <v>3.3648329612616441E-2</v>
      </c>
      <c r="AA64" s="336">
        <f t="shared" si="93"/>
        <v>3.4234338839050027E-2</v>
      </c>
      <c r="AB64" s="336">
        <f t="shared" si="93"/>
        <v>3.4794675944149776E-2</v>
      </c>
      <c r="AC64" s="336">
        <f t="shared" si="93"/>
        <v>3.5352977858101362E-2</v>
      </c>
      <c r="AD64" s="336">
        <f t="shared" si="93"/>
        <v>3.5917559001767248E-2</v>
      </c>
      <c r="AE64" s="336">
        <f t="shared" ref="AE64:AL64" si="94">AE17/AE$49</f>
        <v>3.6501271679207574E-2</v>
      </c>
      <c r="AF64" s="336">
        <f t="shared" si="94"/>
        <v>3.7073930129272223E-2</v>
      </c>
      <c r="AG64" s="336">
        <f t="shared" si="94"/>
        <v>3.7629556247852095E-2</v>
      </c>
      <c r="AH64" s="336">
        <f t="shared" si="94"/>
        <v>3.8154262939984425E-2</v>
      </c>
      <c r="AI64" s="336">
        <f t="shared" si="94"/>
        <v>3.8666231384705728E-2</v>
      </c>
      <c r="AJ64" s="336">
        <f t="shared" si="94"/>
        <v>3.9227472735093583E-2</v>
      </c>
      <c r="AK64" s="336">
        <f t="shared" si="94"/>
        <v>3.9788424091511711E-2</v>
      </c>
      <c r="AL64" s="336">
        <f t="shared" si="94"/>
        <v>4.034115072306315E-2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232" t="str">
        <f>'Occ T3'!A20</f>
        <v>33 Protective service occupations</v>
      </c>
      <c r="M65" s="336">
        <f t="shared" ref="M65:AD65" si="95">M18/M$49</f>
        <v>9.0198089736828364E-3</v>
      </c>
      <c r="N65" s="336">
        <f t="shared" si="95"/>
        <v>1.0230370501480637E-2</v>
      </c>
      <c r="O65" s="336">
        <f t="shared" si="95"/>
        <v>1.0648763293475107E-2</v>
      </c>
      <c r="P65" s="336">
        <f t="shared" si="95"/>
        <v>9.3866913593082402E-3</v>
      </c>
      <c r="Q65" s="336">
        <f t="shared" si="95"/>
        <v>9.7243865550217332E-3</v>
      </c>
      <c r="R65" s="336">
        <f t="shared" si="95"/>
        <v>8.7910548936650026E-3</v>
      </c>
      <c r="S65" s="336">
        <f t="shared" si="95"/>
        <v>9.6731081718965575E-3</v>
      </c>
      <c r="T65" s="336">
        <f t="shared" si="95"/>
        <v>9.130491879653509E-3</v>
      </c>
      <c r="U65" s="336">
        <f t="shared" si="95"/>
        <v>8.9907793386864322E-3</v>
      </c>
      <c r="V65" s="336">
        <f t="shared" si="95"/>
        <v>8.6815835658454084E-3</v>
      </c>
      <c r="W65" s="336">
        <f t="shared" si="95"/>
        <v>9.4465504241042202E-3</v>
      </c>
      <c r="X65" s="336">
        <f t="shared" si="95"/>
        <v>7.7032898608633774E-3</v>
      </c>
      <c r="Y65" s="336">
        <f t="shared" si="95"/>
        <v>7.7651040573377145E-3</v>
      </c>
      <c r="Z65" s="336">
        <f t="shared" si="95"/>
        <v>7.8316832879011984E-3</v>
      </c>
      <c r="AA65" s="336">
        <f t="shared" si="95"/>
        <v>7.9054346719646413E-3</v>
      </c>
      <c r="AB65" s="336">
        <f t="shared" si="95"/>
        <v>7.9864942585635215E-3</v>
      </c>
      <c r="AC65" s="336">
        <f t="shared" si="95"/>
        <v>8.0481890950732504E-3</v>
      </c>
      <c r="AD65" s="336">
        <f t="shared" si="95"/>
        <v>8.1087937970122127E-3</v>
      </c>
      <c r="AE65" s="336">
        <f t="shared" ref="AE65:AL65" si="96">AE18/AE$49</f>
        <v>8.1435164090251158E-3</v>
      </c>
      <c r="AF65" s="336">
        <f t="shared" si="96"/>
        <v>8.2210834557637225E-3</v>
      </c>
      <c r="AG65" s="336">
        <f t="shared" si="96"/>
        <v>8.2689787118287641E-3</v>
      </c>
      <c r="AH65" s="336">
        <f t="shared" si="96"/>
        <v>8.3163940563447912E-3</v>
      </c>
      <c r="AI65" s="336">
        <f t="shared" si="96"/>
        <v>8.3415881138808306E-3</v>
      </c>
      <c r="AJ65" s="336">
        <f t="shared" si="96"/>
        <v>8.4194466872227047E-3</v>
      </c>
      <c r="AK65" s="336">
        <f t="shared" si="96"/>
        <v>8.4479323134393144E-3</v>
      </c>
      <c r="AL65" s="336">
        <f t="shared" si="96"/>
        <v>8.5295076429892491E-3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232" t="str">
        <f>'Occ T3'!A21</f>
        <v>34 Culture, media and sports occupations</v>
      </c>
      <c r="M66" s="336">
        <f t="shared" ref="M66:AD66" si="97">M19/M$49</f>
        <v>1.2621958617381966E-2</v>
      </c>
      <c r="N66" s="336">
        <f t="shared" si="97"/>
        <v>1.1396768624290097E-2</v>
      </c>
      <c r="O66" s="336">
        <f t="shared" si="97"/>
        <v>1.2174752760836072E-2</v>
      </c>
      <c r="P66" s="336">
        <f t="shared" si="97"/>
        <v>1.2894967026715536E-2</v>
      </c>
      <c r="Q66" s="336">
        <f t="shared" si="97"/>
        <v>1.3074931168715723E-2</v>
      </c>
      <c r="R66" s="336">
        <f t="shared" si="97"/>
        <v>1.488837672899883E-2</v>
      </c>
      <c r="S66" s="336">
        <f t="shared" si="97"/>
        <v>1.3695515754401555E-2</v>
      </c>
      <c r="T66" s="336">
        <f t="shared" si="97"/>
        <v>1.4253809686558981E-2</v>
      </c>
      <c r="U66" s="336">
        <f t="shared" si="97"/>
        <v>1.3085963073356958E-2</v>
      </c>
      <c r="V66" s="336">
        <f t="shared" si="97"/>
        <v>1.4650437268087126E-2</v>
      </c>
      <c r="W66" s="336">
        <f t="shared" si="97"/>
        <v>1.5509264204041291E-2</v>
      </c>
      <c r="X66" s="336">
        <f t="shared" si="97"/>
        <v>1.3182324814357398E-2</v>
      </c>
      <c r="Y66" s="336">
        <f t="shared" si="97"/>
        <v>1.2924044825310675E-2</v>
      </c>
      <c r="Z66" s="336">
        <f t="shared" si="97"/>
        <v>1.2879326236805395E-2</v>
      </c>
      <c r="AA66" s="336">
        <f t="shared" si="97"/>
        <v>1.2953814034149552E-2</v>
      </c>
      <c r="AB66" s="336">
        <f t="shared" si="97"/>
        <v>1.3035644153073392E-2</v>
      </c>
      <c r="AC66" s="336">
        <f t="shared" si="97"/>
        <v>1.3112706790730566E-2</v>
      </c>
      <c r="AD66" s="336">
        <f t="shared" si="97"/>
        <v>1.3190380218262507E-2</v>
      </c>
      <c r="AE66" s="336">
        <f t="shared" ref="AE66:AL66" si="98">AE19/AE$49</f>
        <v>1.3268457347532328E-2</v>
      </c>
      <c r="AF66" s="336">
        <f t="shared" si="98"/>
        <v>1.3350290703366467E-2</v>
      </c>
      <c r="AG66" s="336">
        <f t="shared" si="98"/>
        <v>1.3438745738996631E-2</v>
      </c>
      <c r="AH66" s="336">
        <f t="shared" si="98"/>
        <v>1.3515237168366707E-2</v>
      </c>
      <c r="AI66" s="336">
        <f t="shared" si="98"/>
        <v>1.3605364655442596E-2</v>
      </c>
      <c r="AJ66" s="336">
        <f t="shared" si="98"/>
        <v>1.3700546865885076E-2</v>
      </c>
      <c r="AK66" s="336">
        <f t="shared" si="98"/>
        <v>1.3784881091437119E-2</v>
      </c>
      <c r="AL66" s="336">
        <f t="shared" si="98"/>
        <v>1.3874758770500218E-2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232" t="str">
        <f>'Occ T3'!A22</f>
        <v>35 Business and public service associate professionals</v>
      </c>
      <c r="M67" s="336">
        <f t="shared" ref="M67:AD67" si="99">M20/M$49</f>
        <v>5.635685939618687E-2</v>
      </c>
      <c r="N67" s="336">
        <f t="shared" si="99"/>
        <v>5.2428489489246E-2</v>
      </c>
      <c r="O67" s="336">
        <f t="shared" si="99"/>
        <v>5.2927087000563047E-2</v>
      </c>
      <c r="P67" s="336">
        <f t="shared" si="99"/>
        <v>5.3777898399062496E-2</v>
      </c>
      <c r="Q67" s="336">
        <f t="shared" si="99"/>
        <v>5.4421380072861188E-2</v>
      </c>
      <c r="R67" s="336">
        <f t="shared" si="99"/>
        <v>5.4362157417430682E-2</v>
      </c>
      <c r="S67" s="336">
        <f t="shared" si="99"/>
        <v>5.4281173262614404E-2</v>
      </c>
      <c r="T67" s="336">
        <f t="shared" si="99"/>
        <v>5.5580177242172631E-2</v>
      </c>
      <c r="U67" s="336">
        <f t="shared" si="99"/>
        <v>5.5213936650892866E-2</v>
      </c>
      <c r="V67" s="336">
        <f t="shared" si="99"/>
        <v>5.4486026151568959E-2</v>
      </c>
      <c r="W67" s="336">
        <f t="shared" si="99"/>
        <v>5.7878354145822861E-2</v>
      </c>
      <c r="X67" s="336">
        <f t="shared" si="99"/>
        <v>5.6179267168760962E-2</v>
      </c>
      <c r="Y67" s="336">
        <f t="shared" si="99"/>
        <v>5.6286169888985549E-2</v>
      </c>
      <c r="Z67" s="336">
        <f t="shared" si="99"/>
        <v>5.6417777751947645E-2</v>
      </c>
      <c r="AA67" s="336">
        <f t="shared" si="99"/>
        <v>5.6548199203952425E-2</v>
      </c>
      <c r="AB67" s="336">
        <f t="shared" si="99"/>
        <v>5.6643894535705702E-2</v>
      </c>
      <c r="AC67" s="336">
        <f t="shared" si="99"/>
        <v>5.6746658159271282E-2</v>
      </c>
      <c r="AD67" s="336">
        <f t="shared" si="99"/>
        <v>5.6855783816474555E-2</v>
      </c>
      <c r="AE67" s="336">
        <f t="shared" ref="AE67:AL67" si="100">AE20/AE$49</f>
        <v>5.7009940174197894E-2</v>
      </c>
      <c r="AF67" s="336">
        <f t="shared" si="100"/>
        <v>5.7153876444046695E-2</v>
      </c>
      <c r="AG67" s="336">
        <f t="shared" si="100"/>
        <v>5.7313362557895417E-2</v>
      </c>
      <c r="AH67" s="336">
        <f t="shared" si="100"/>
        <v>5.7477615015835065E-2</v>
      </c>
      <c r="AI67" s="336">
        <f t="shared" si="100"/>
        <v>5.7645960237881093E-2</v>
      </c>
      <c r="AJ67" s="336">
        <f t="shared" si="100"/>
        <v>5.7790045031145307E-2</v>
      </c>
      <c r="AK67" s="336">
        <f t="shared" si="100"/>
        <v>5.7968596835244794E-2</v>
      </c>
      <c r="AL67" s="336">
        <f t="shared" si="100"/>
        <v>5.8113580341825524E-2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37">
        <f t="shared" ref="M69:AD69" si="101">M22/M$49</f>
        <v>0.11898002187430967</v>
      </c>
      <c r="N69" s="337">
        <f t="shared" si="101"/>
        <v>0.12061885048602992</v>
      </c>
      <c r="O69" s="337">
        <f t="shared" si="101"/>
        <v>0.12039855583954254</v>
      </c>
      <c r="P69" s="337">
        <f t="shared" si="101"/>
        <v>0.11740518831681562</v>
      </c>
      <c r="Q69" s="337">
        <f t="shared" si="101"/>
        <v>0.11749827425981028</v>
      </c>
      <c r="R69" s="337">
        <f t="shared" si="101"/>
        <v>0.11895267590496078</v>
      </c>
      <c r="S69" s="337">
        <f t="shared" si="101"/>
        <v>0.11432414091406243</v>
      </c>
      <c r="T69" s="337">
        <f t="shared" si="101"/>
        <v>0.11735795438053295</v>
      </c>
      <c r="U69" s="337">
        <f t="shared" si="101"/>
        <v>0.11433611341464038</v>
      </c>
      <c r="V69" s="337">
        <f t="shared" si="101"/>
        <v>0.10719100214587177</v>
      </c>
      <c r="W69" s="337">
        <f t="shared" si="101"/>
        <v>0.1138232229394443</v>
      </c>
      <c r="X69" s="337">
        <f t="shared" si="101"/>
        <v>0.11546148709663885</v>
      </c>
      <c r="Y69" s="337">
        <f t="shared" si="101"/>
        <v>0.11510006263915581</v>
      </c>
      <c r="Z69" s="337">
        <f t="shared" si="101"/>
        <v>0.11454766944875766</v>
      </c>
      <c r="AA69" s="337">
        <f t="shared" si="101"/>
        <v>0.11390153152105079</v>
      </c>
      <c r="AB69" s="337">
        <f t="shared" si="101"/>
        <v>0.11316576715065062</v>
      </c>
      <c r="AC69" s="337">
        <f t="shared" si="101"/>
        <v>0.11226616937198709</v>
      </c>
      <c r="AD69" s="337">
        <f t="shared" si="101"/>
        <v>0.1113402584258943</v>
      </c>
      <c r="AE69" s="337">
        <f t="shared" ref="AE69:AL69" si="102">AE22/AE$49</f>
        <v>0.11031746150009022</v>
      </c>
      <c r="AF69" s="337">
        <f t="shared" si="102"/>
        <v>0.10926841800113507</v>
      </c>
      <c r="AG69" s="337">
        <f t="shared" si="102"/>
        <v>0.1082308396284187</v>
      </c>
      <c r="AH69" s="337">
        <f t="shared" si="102"/>
        <v>0.10714374160418297</v>
      </c>
      <c r="AI69" s="337">
        <f t="shared" si="102"/>
        <v>0.10604674822654428</v>
      </c>
      <c r="AJ69" s="337">
        <f t="shared" si="102"/>
        <v>0.10480758619410727</v>
      </c>
      <c r="AK69" s="337">
        <f t="shared" si="102"/>
        <v>0.10361879576246809</v>
      </c>
      <c r="AL69" s="337">
        <f t="shared" si="102"/>
        <v>0.10255366647766292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232" t="str">
        <f>'Occ T3'!A25</f>
        <v>41 Administrative occupations</v>
      </c>
      <c r="M70" s="336">
        <f t="shared" ref="M70:AD70" si="103">M23/M$49</f>
        <v>9.290188080481683E-2</v>
      </c>
      <c r="N70" s="336">
        <f t="shared" si="103"/>
        <v>9.6054581750300655E-2</v>
      </c>
      <c r="O70" s="336">
        <f t="shared" si="103"/>
        <v>9.7004877597684488E-2</v>
      </c>
      <c r="P70" s="336">
        <f t="shared" si="103"/>
        <v>9.3677190813497013E-2</v>
      </c>
      <c r="Q70" s="336">
        <f t="shared" si="103"/>
        <v>9.4396064481726188E-2</v>
      </c>
      <c r="R70" s="336">
        <f t="shared" si="103"/>
        <v>9.7195595113275995E-2</v>
      </c>
      <c r="S70" s="336">
        <f t="shared" si="103"/>
        <v>9.3676799140379782E-2</v>
      </c>
      <c r="T70" s="336">
        <f t="shared" si="103"/>
        <v>9.5631827584023568E-2</v>
      </c>
      <c r="U70" s="336">
        <f t="shared" si="103"/>
        <v>9.3013570756863354E-2</v>
      </c>
      <c r="V70" s="336">
        <f t="shared" si="103"/>
        <v>8.85711044165709E-2</v>
      </c>
      <c r="W70" s="336">
        <f t="shared" si="103"/>
        <v>9.5120188897385716E-2</v>
      </c>
      <c r="X70" s="336">
        <f t="shared" si="103"/>
        <v>9.7019747437909878E-2</v>
      </c>
      <c r="Y70" s="336">
        <f t="shared" si="103"/>
        <v>9.6947041851070101E-2</v>
      </c>
      <c r="Z70" s="336">
        <f t="shared" si="103"/>
        <v>9.6779189616676461E-2</v>
      </c>
      <c r="AA70" s="336">
        <f t="shared" si="103"/>
        <v>9.6551165687658647E-2</v>
      </c>
      <c r="AB70" s="336">
        <f t="shared" si="103"/>
        <v>9.6303186195559456E-2</v>
      </c>
      <c r="AC70" s="336">
        <f t="shared" si="103"/>
        <v>9.6018868218458994E-2</v>
      </c>
      <c r="AD70" s="336">
        <f t="shared" si="103"/>
        <v>9.5669146786288919E-2</v>
      </c>
      <c r="AE70" s="336">
        <f t="shared" ref="AE70:AL70" si="104">AE23/AE$49</f>
        <v>9.5276399824685956E-2</v>
      </c>
      <c r="AF70" s="336">
        <f t="shared" si="104"/>
        <v>9.4901304701100322E-2</v>
      </c>
      <c r="AG70" s="336">
        <f t="shared" si="104"/>
        <v>9.4548235083857082E-2</v>
      </c>
      <c r="AH70" s="336">
        <f t="shared" si="104"/>
        <v>9.4166014912298715E-2</v>
      </c>
      <c r="AI70" s="336">
        <f t="shared" si="104"/>
        <v>9.3727819947186375E-2</v>
      </c>
      <c r="AJ70" s="336">
        <f t="shared" si="104"/>
        <v>9.3266490656941703E-2</v>
      </c>
      <c r="AK70" s="336">
        <f t="shared" si="104"/>
        <v>9.2753919093219561E-2</v>
      </c>
      <c r="AL70" s="336">
        <f t="shared" si="104"/>
        <v>9.2193428109587541E-2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232" t="str">
        <f>'Occ T3'!A26</f>
        <v>42 Secretarial and related occupations</v>
      </c>
      <c r="M71" s="336">
        <f t="shared" ref="M71:AD71" si="105">M24/M$49</f>
        <v>2.6078141069492841E-2</v>
      </c>
      <c r="N71" s="336">
        <f t="shared" si="105"/>
        <v>2.4564268735729259E-2</v>
      </c>
      <c r="O71" s="336">
        <f t="shared" si="105"/>
        <v>2.3393678241858042E-2</v>
      </c>
      <c r="P71" s="336">
        <f t="shared" si="105"/>
        <v>2.3727997503318613E-2</v>
      </c>
      <c r="Q71" s="336">
        <f t="shared" si="105"/>
        <v>2.3102209778084103E-2</v>
      </c>
      <c r="R71" s="336">
        <f t="shared" si="105"/>
        <v>2.1757080791684796E-2</v>
      </c>
      <c r="S71" s="336">
        <f t="shared" si="105"/>
        <v>2.0647341773682642E-2</v>
      </c>
      <c r="T71" s="336">
        <f t="shared" si="105"/>
        <v>2.1726126796509395E-2</v>
      </c>
      <c r="U71" s="336">
        <f t="shared" si="105"/>
        <v>2.1322542657777038E-2</v>
      </c>
      <c r="V71" s="336">
        <f t="shared" si="105"/>
        <v>1.8619897729300876E-2</v>
      </c>
      <c r="W71" s="336">
        <f t="shared" si="105"/>
        <v>1.8703034042058583E-2</v>
      </c>
      <c r="X71" s="336">
        <f t="shared" si="105"/>
        <v>1.8441739658728976E-2</v>
      </c>
      <c r="Y71" s="336">
        <f t="shared" si="105"/>
        <v>1.8153020788085703E-2</v>
      </c>
      <c r="Z71" s="336">
        <f t="shared" si="105"/>
        <v>1.776847983208121E-2</v>
      </c>
      <c r="AA71" s="336">
        <f t="shared" si="105"/>
        <v>1.7350365833392146E-2</v>
      </c>
      <c r="AB71" s="336">
        <f t="shared" si="105"/>
        <v>1.6862580955091168E-2</v>
      </c>
      <c r="AC71" s="336">
        <f t="shared" si="105"/>
        <v>1.6247301153528099E-2</v>
      </c>
      <c r="AD71" s="336">
        <f t="shared" si="105"/>
        <v>1.5671111639605384E-2</v>
      </c>
      <c r="AE71" s="336">
        <f t="shared" ref="AE71:AL71" si="106">AE24/AE$49</f>
        <v>1.5041061675404263E-2</v>
      </c>
      <c r="AF71" s="336">
        <f t="shared" si="106"/>
        <v>1.4367113300034737E-2</v>
      </c>
      <c r="AG71" s="336">
        <f t="shared" si="106"/>
        <v>1.3682604544561619E-2</v>
      </c>
      <c r="AH71" s="336">
        <f t="shared" si="106"/>
        <v>1.2977726691884255E-2</v>
      </c>
      <c r="AI71" s="336">
        <f t="shared" si="106"/>
        <v>1.2318928279357889E-2</v>
      </c>
      <c r="AJ71" s="336">
        <f t="shared" si="106"/>
        <v>1.1541095537165556E-2</v>
      </c>
      <c r="AK71" s="336">
        <f t="shared" si="106"/>
        <v>1.0864876669248525E-2</v>
      </c>
      <c r="AL71" s="336">
        <f t="shared" si="106"/>
        <v>1.0360238368075392E-2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37">
        <f t="shared" ref="M73:AD73" si="107">M26/M$49</f>
        <v>0.12812216666096624</v>
      </c>
      <c r="N73" s="337">
        <f t="shared" si="107"/>
        <v>0.12429159186670967</v>
      </c>
      <c r="O73" s="337">
        <f t="shared" si="107"/>
        <v>0.12253356561748502</v>
      </c>
      <c r="P73" s="337">
        <f t="shared" si="107"/>
        <v>0.12197150687999557</v>
      </c>
      <c r="Q73" s="337">
        <f t="shared" si="107"/>
        <v>0.11970730451022482</v>
      </c>
      <c r="R73" s="337">
        <f t="shared" si="107"/>
        <v>0.12124868521552321</v>
      </c>
      <c r="S73" s="337">
        <f t="shared" si="107"/>
        <v>0.1099013990657732</v>
      </c>
      <c r="T73" s="337">
        <f t="shared" si="107"/>
        <v>0.11015370811014034</v>
      </c>
      <c r="U73" s="337">
        <f t="shared" si="107"/>
        <v>0.11575542107206192</v>
      </c>
      <c r="V73" s="337">
        <f t="shared" si="107"/>
        <v>0.12145935567296101</v>
      </c>
      <c r="W73" s="337">
        <f t="shared" si="107"/>
        <v>0.10526698649933895</v>
      </c>
      <c r="X73" s="337">
        <f t="shared" si="107"/>
        <v>0.10572544356296672</v>
      </c>
      <c r="Y73" s="337">
        <f t="shared" si="107"/>
        <v>0.10440869977153022</v>
      </c>
      <c r="Z73" s="337">
        <f t="shared" si="107"/>
        <v>0.10294947481960613</v>
      </c>
      <c r="AA73" s="337">
        <f t="shared" si="107"/>
        <v>0.1016285521218066</v>
      </c>
      <c r="AB73" s="337">
        <f t="shared" si="107"/>
        <v>0.10043548042439408</v>
      </c>
      <c r="AC73" s="337">
        <f t="shared" si="107"/>
        <v>9.9268872787470971E-2</v>
      </c>
      <c r="AD73" s="337">
        <f t="shared" si="107"/>
        <v>9.8118032533422758E-2</v>
      </c>
      <c r="AE73" s="337">
        <f t="shared" ref="AE73:AL73" si="108">AE26/AE$49</f>
        <v>9.7013775875358088E-2</v>
      </c>
      <c r="AF73" s="337">
        <f t="shared" si="108"/>
        <v>9.5906192925297132E-2</v>
      </c>
      <c r="AG73" s="337">
        <f t="shared" si="108"/>
        <v>9.4817721437017707E-2</v>
      </c>
      <c r="AH73" s="337">
        <f t="shared" si="108"/>
        <v>9.3739244787828802E-2</v>
      </c>
      <c r="AI73" s="337">
        <f t="shared" si="108"/>
        <v>9.2692769756451299E-2</v>
      </c>
      <c r="AJ73" s="337">
        <f t="shared" si="108"/>
        <v>9.1658338287449501E-2</v>
      </c>
      <c r="AK73" s="337">
        <f t="shared" si="108"/>
        <v>9.0622797227515026E-2</v>
      </c>
      <c r="AL73" s="337">
        <f t="shared" si="108"/>
        <v>8.9593756663078006E-2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232" t="str">
        <f>'Occ T3'!A29</f>
        <v>51 Skilled agricultural and related trades</v>
      </c>
      <c r="M74" s="336">
        <f t="shared" ref="M74:AD74" si="109">M27/M$49</f>
        <v>8.3938165213270077E-3</v>
      </c>
      <c r="N74" s="336">
        <f t="shared" si="109"/>
        <v>7.4786965954387538E-3</v>
      </c>
      <c r="O74" s="336">
        <f t="shared" si="109"/>
        <v>8.9037259023440098E-3</v>
      </c>
      <c r="P74" s="336">
        <f t="shared" si="109"/>
        <v>6.8027157820297569E-3</v>
      </c>
      <c r="Q74" s="336">
        <f t="shared" si="109"/>
        <v>6.7354561104268594E-3</v>
      </c>
      <c r="R74" s="336">
        <f t="shared" si="109"/>
        <v>8.5673288157009676E-3</v>
      </c>
      <c r="S74" s="336">
        <f t="shared" si="109"/>
        <v>7.093353460582757E-3</v>
      </c>
      <c r="T74" s="336">
        <f t="shared" si="109"/>
        <v>6.302746486428183E-3</v>
      </c>
      <c r="U74" s="336">
        <f t="shared" si="109"/>
        <v>7.5508879825432257E-3</v>
      </c>
      <c r="V74" s="336">
        <f t="shared" si="109"/>
        <v>7.4649144217236859E-3</v>
      </c>
      <c r="W74" s="336">
        <f t="shared" si="109"/>
        <v>6.4352754867367879E-3</v>
      </c>
      <c r="X74" s="336">
        <f t="shared" si="109"/>
        <v>5.9986713993245349E-3</v>
      </c>
      <c r="Y74" s="336">
        <f t="shared" si="109"/>
        <v>6.0269580161366023E-3</v>
      </c>
      <c r="Z74" s="336">
        <f t="shared" si="109"/>
        <v>6.1057711816146455E-3</v>
      </c>
      <c r="AA74" s="336">
        <f t="shared" si="109"/>
        <v>6.1907845010400891E-3</v>
      </c>
      <c r="AB74" s="336">
        <f t="shared" si="109"/>
        <v>6.2549796118944361E-3</v>
      </c>
      <c r="AC74" s="336">
        <f t="shared" si="109"/>
        <v>6.3121454971859824E-3</v>
      </c>
      <c r="AD74" s="336">
        <f t="shared" si="109"/>
        <v>6.3708870865594874E-3</v>
      </c>
      <c r="AE74" s="336">
        <f t="shared" ref="AE74:AL74" si="110">AE27/AE$49</f>
        <v>6.4268204241595831E-3</v>
      </c>
      <c r="AF74" s="336">
        <f t="shared" si="110"/>
        <v>6.4797993633115315E-3</v>
      </c>
      <c r="AG74" s="336">
        <f t="shared" si="110"/>
        <v>6.5303927066673942E-3</v>
      </c>
      <c r="AH74" s="336">
        <f t="shared" si="110"/>
        <v>6.5816581803921671E-3</v>
      </c>
      <c r="AI74" s="336">
        <f t="shared" si="110"/>
        <v>6.6303279372218089E-3</v>
      </c>
      <c r="AJ74" s="336">
        <f t="shared" si="110"/>
        <v>6.6793371558415103E-3</v>
      </c>
      <c r="AK74" s="336">
        <f t="shared" si="110"/>
        <v>6.726870911821314E-3</v>
      </c>
      <c r="AL74" s="336">
        <f t="shared" si="110"/>
        <v>6.7727900891033548E-3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232" t="str">
        <f>'Occ T3'!A30</f>
        <v>52 Skilled metal, electrical and electronic trades</v>
      </c>
      <c r="M75" s="336">
        <f t="shared" ref="M75:AD75" si="111">M28/M$49</f>
        <v>5.4844645919880433E-2</v>
      </c>
      <c r="N75" s="336">
        <f t="shared" si="111"/>
        <v>5.7969092117959586E-2</v>
      </c>
      <c r="O75" s="336">
        <f t="shared" si="111"/>
        <v>5.3792716583977107E-2</v>
      </c>
      <c r="P75" s="336">
        <f t="shared" si="111"/>
        <v>5.6096105394221642E-2</v>
      </c>
      <c r="Q75" s="336">
        <f t="shared" si="111"/>
        <v>5.6495527443659155E-2</v>
      </c>
      <c r="R75" s="336">
        <f t="shared" si="111"/>
        <v>5.6615564138363758E-2</v>
      </c>
      <c r="S75" s="336">
        <f t="shared" si="111"/>
        <v>5.1047291159999085E-2</v>
      </c>
      <c r="T75" s="336">
        <f t="shared" si="111"/>
        <v>5.0053816271422247E-2</v>
      </c>
      <c r="U75" s="336">
        <f t="shared" si="111"/>
        <v>5.1963909023875252E-2</v>
      </c>
      <c r="V75" s="336">
        <f t="shared" si="111"/>
        <v>5.5583279280649843E-2</v>
      </c>
      <c r="W75" s="336">
        <f t="shared" si="111"/>
        <v>4.6830123464305672E-2</v>
      </c>
      <c r="X75" s="336">
        <f t="shared" si="111"/>
        <v>4.6665626589069427E-2</v>
      </c>
      <c r="Y75" s="336">
        <f t="shared" si="111"/>
        <v>4.6076611280380361E-2</v>
      </c>
      <c r="Z75" s="336">
        <f t="shared" si="111"/>
        <v>4.5510778767126094E-2</v>
      </c>
      <c r="AA75" s="336">
        <f t="shared" si="111"/>
        <v>4.5003773400129912E-2</v>
      </c>
      <c r="AB75" s="336">
        <f t="shared" si="111"/>
        <v>4.4524112628022389E-2</v>
      </c>
      <c r="AC75" s="336">
        <f t="shared" si="111"/>
        <v>4.404056903806973E-2</v>
      </c>
      <c r="AD75" s="336">
        <f t="shared" si="111"/>
        <v>4.3557410317242286E-2</v>
      </c>
      <c r="AE75" s="336">
        <f t="shared" ref="AE75:AL75" si="112">AE28/AE$49</f>
        <v>4.3063685040307616E-2</v>
      </c>
      <c r="AF75" s="336">
        <f t="shared" si="112"/>
        <v>4.2569780307439492E-2</v>
      </c>
      <c r="AG75" s="336">
        <f t="shared" si="112"/>
        <v>4.2102786240560644E-2</v>
      </c>
      <c r="AH75" s="336">
        <f t="shared" si="112"/>
        <v>4.1651033619864559E-2</v>
      </c>
      <c r="AI75" s="336">
        <f t="shared" si="112"/>
        <v>4.1224984444857553E-2</v>
      </c>
      <c r="AJ75" s="336">
        <f t="shared" si="112"/>
        <v>4.0795285439186181E-2</v>
      </c>
      <c r="AK75" s="336">
        <f t="shared" si="112"/>
        <v>4.0363759712404482E-2</v>
      </c>
      <c r="AL75" s="336">
        <f t="shared" si="112"/>
        <v>3.9929828376659947E-2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232" t="str">
        <f>'Occ T3'!A31</f>
        <v>53 Skilled construction and building trades</v>
      </c>
      <c r="M76" s="336">
        <f t="shared" ref="M76:AD76" si="113">M29/M$49</f>
        <v>4.5132422161552041E-2</v>
      </c>
      <c r="N76" s="336">
        <f t="shared" si="113"/>
        <v>4.0131068439479077E-2</v>
      </c>
      <c r="O76" s="336">
        <f t="shared" si="113"/>
        <v>3.9291693157132046E-2</v>
      </c>
      <c r="P76" s="336">
        <f t="shared" si="113"/>
        <v>3.8976277540141463E-2</v>
      </c>
      <c r="Q76" s="336">
        <f t="shared" si="113"/>
        <v>3.5881157221671581E-2</v>
      </c>
      <c r="R76" s="336">
        <f t="shared" si="113"/>
        <v>3.6940336830815816E-2</v>
      </c>
      <c r="S76" s="336">
        <f t="shared" si="113"/>
        <v>3.3038307162343697E-2</v>
      </c>
      <c r="T76" s="336">
        <f t="shared" si="113"/>
        <v>3.4237747184319794E-2</v>
      </c>
      <c r="U76" s="336">
        <f t="shared" si="113"/>
        <v>3.8970231082942536E-2</v>
      </c>
      <c r="V76" s="336">
        <f t="shared" si="113"/>
        <v>4.1847930323972167E-2</v>
      </c>
      <c r="W76" s="336">
        <f t="shared" si="113"/>
        <v>3.5215003411202317E-2</v>
      </c>
      <c r="X76" s="336">
        <f t="shared" si="113"/>
        <v>3.5595961841159249E-2</v>
      </c>
      <c r="Y76" s="336">
        <f t="shared" si="113"/>
        <v>3.4997222055531782E-2</v>
      </c>
      <c r="Z76" s="336">
        <f t="shared" si="113"/>
        <v>3.428277914809269E-2</v>
      </c>
      <c r="AA76" s="336">
        <f t="shared" si="113"/>
        <v>3.3643679098485806E-2</v>
      </c>
      <c r="AB76" s="336">
        <f t="shared" si="113"/>
        <v>3.3088455102512106E-2</v>
      </c>
      <c r="AC76" s="336">
        <f t="shared" si="113"/>
        <v>3.2518291221572307E-2</v>
      </c>
      <c r="AD76" s="336">
        <f t="shared" si="113"/>
        <v>3.1952844450221334E-2</v>
      </c>
      <c r="AE76" s="336">
        <f t="shared" ref="AE76:AL76" si="114">AE29/AE$49</f>
        <v>3.1427397221886734E-2</v>
      </c>
      <c r="AF76" s="336">
        <f t="shared" si="114"/>
        <v>3.0887177390859812E-2</v>
      </c>
      <c r="AG76" s="336">
        <f t="shared" si="114"/>
        <v>3.0334493284594987E-2</v>
      </c>
      <c r="AH76" s="336">
        <f t="shared" si="114"/>
        <v>2.9776473763765385E-2</v>
      </c>
      <c r="AI76" s="336">
        <f t="shared" si="114"/>
        <v>2.9226307529624494E-2</v>
      </c>
      <c r="AJ76" s="336">
        <f t="shared" si="114"/>
        <v>2.8686049502335467E-2</v>
      </c>
      <c r="AK76" s="336">
        <f t="shared" si="114"/>
        <v>2.8140382615203977E-2</v>
      </c>
      <c r="AL76" s="336">
        <f t="shared" si="114"/>
        <v>2.7592196150446859E-2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232" t="str">
        <f>'Occ T3'!A32</f>
        <v>54 Textiles, printing and other skilled trades</v>
      </c>
      <c r="M77" s="336">
        <f t="shared" ref="M77:AD77" si="115">M30/M$49</f>
        <v>1.9751282058206757E-2</v>
      </c>
      <c r="N77" s="336">
        <f t="shared" si="115"/>
        <v>1.8712734713832242E-2</v>
      </c>
      <c r="O77" s="336">
        <f t="shared" si="115"/>
        <v>2.054542997403187E-2</v>
      </c>
      <c r="P77" s="336">
        <f t="shared" si="115"/>
        <v>2.0096408163602718E-2</v>
      </c>
      <c r="Q77" s="336">
        <f t="shared" si="115"/>
        <v>2.059516373446723E-2</v>
      </c>
      <c r="R77" s="336">
        <f t="shared" si="115"/>
        <v>1.9125455430642653E-2</v>
      </c>
      <c r="S77" s="336">
        <f t="shared" si="115"/>
        <v>1.8722447282847669E-2</v>
      </c>
      <c r="T77" s="336">
        <f t="shared" si="115"/>
        <v>1.955939816797013E-2</v>
      </c>
      <c r="U77" s="336">
        <f t="shared" si="115"/>
        <v>1.7270392982700902E-2</v>
      </c>
      <c r="V77" s="336">
        <f t="shared" si="115"/>
        <v>1.6563231646615328E-2</v>
      </c>
      <c r="W77" s="336">
        <f t="shared" si="115"/>
        <v>1.6786584137094177E-2</v>
      </c>
      <c r="X77" s="336">
        <f t="shared" si="115"/>
        <v>1.7465183733413506E-2</v>
      </c>
      <c r="Y77" s="336">
        <f t="shared" si="115"/>
        <v>1.7307908419481471E-2</v>
      </c>
      <c r="Z77" s="336">
        <f t="shared" si="115"/>
        <v>1.7050145722772695E-2</v>
      </c>
      <c r="AA77" s="336">
        <f t="shared" si="115"/>
        <v>1.679031512215079E-2</v>
      </c>
      <c r="AB77" s="336">
        <f t="shared" si="115"/>
        <v>1.6567933081965157E-2</v>
      </c>
      <c r="AC77" s="336">
        <f t="shared" si="115"/>
        <v>1.6397867030642943E-2</v>
      </c>
      <c r="AD77" s="336">
        <f t="shared" si="115"/>
        <v>1.6236890679399641E-2</v>
      </c>
      <c r="AE77" s="336">
        <f t="shared" ref="AE77:AL77" si="116">AE30/AE$49</f>
        <v>1.6095873189004142E-2</v>
      </c>
      <c r="AF77" s="336">
        <f t="shared" si="116"/>
        <v>1.596943586368629E-2</v>
      </c>
      <c r="AG77" s="336">
        <f t="shared" si="116"/>
        <v>1.5850049205194679E-2</v>
      </c>
      <c r="AH77" s="336">
        <f t="shared" si="116"/>
        <v>1.5730079223806686E-2</v>
      </c>
      <c r="AI77" s="336">
        <f t="shared" si="116"/>
        <v>1.561114984474744E-2</v>
      </c>
      <c r="AJ77" s="336">
        <f t="shared" si="116"/>
        <v>1.5497666190086346E-2</v>
      </c>
      <c r="AK77" s="336">
        <f t="shared" si="116"/>
        <v>1.539178398808526E-2</v>
      </c>
      <c r="AL77" s="336">
        <f t="shared" si="116"/>
        <v>1.5298942046867846E-2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37">
        <f t="shared" ref="M79:AD79" si="117">M32/M$49</f>
        <v>0.10213351421956417</v>
      </c>
      <c r="N79" s="337">
        <f t="shared" si="117"/>
        <v>0.10109923405336008</v>
      </c>
      <c r="O79" s="337">
        <f t="shared" si="117"/>
        <v>9.9558124443855214E-2</v>
      </c>
      <c r="P79" s="337">
        <f t="shared" si="117"/>
        <v>0.10053178037632904</v>
      </c>
      <c r="Q79" s="337">
        <f t="shared" si="117"/>
        <v>0.10108712601997688</v>
      </c>
      <c r="R79" s="337">
        <f t="shared" si="117"/>
        <v>9.9845701671974027E-2</v>
      </c>
      <c r="S79" s="337">
        <f t="shared" si="117"/>
        <v>0.10698591366145717</v>
      </c>
      <c r="T79" s="337">
        <f t="shared" si="117"/>
        <v>0.10602981277133594</v>
      </c>
      <c r="U79" s="337">
        <f t="shared" si="117"/>
        <v>9.9192130157709751E-2</v>
      </c>
      <c r="V79" s="337">
        <f t="shared" si="117"/>
        <v>0.100911124272574</v>
      </c>
      <c r="W79" s="337">
        <f t="shared" si="117"/>
        <v>9.9432795290016363E-2</v>
      </c>
      <c r="X79" s="337">
        <f t="shared" si="117"/>
        <v>9.7144464525239213E-2</v>
      </c>
      <c r="Y79" s="337">
        <f t="shared" si="117"/>
        <v>9.7599467999404804E-2</v>
      </c>
      <c r="Z79" s="337">
        <f t="shared" si="117"/>
        <v>9.8104014232223952E-2</v>
      </c>
      <c r="AA79" s="337">
        <f t="shared" si="117"/>
        <v>9.8564557492802324E-2</v>
      </c>
      <c r="AB79" s="337">
        <f t="shared" si="117"/>
        <v>9.8985950582185178E-2</v>
      </c>
      <c r="AC79" s="337">
        <f t="shared" si="117"/>
        <v>9.9413042560070969E-2</v>
      </c>
      <c r="AD79" s="337">
        <f t="shared" si="117"/>
        <v>9.9856805434189427E-2</v>
      </c>
      <c r="AE79" s="337">
        <f t="shared" ref="AE79:AL79" si="118">AE32/AE$49</f>
        <v>0.10032626450688624</v>
      </c>
      <c r="AF79" s="337">
        <f t="shared" si="118"/>
        <v>0.10077198096190727</v>
      </c>
      <c r="AG79" s="337">
        <f t="shared" si="118"/>
        <v>0.10116535657928841</v>
      </c>
      <c r="AH79" s="337">
        <f t="shared" si="118"/>
        <v>0.10159202824045485</v>
      </c>
      <c r="AI79" s="337">
        <f t="shared" si="118"/>
        <v>0.10199742094863692</v>
      </c>
      <c r="AJ79" s="337">
        <f t="shared" si="118"/>
        <v>0.10243802935723788</v>
      </c>
      <c r="AK79" s="337">
        <f t="shared" si="118"/>
        <v>0.10288301018829034</v>
      </c>
      <c r="AL79" s="337">
        <f t="shared" si="118"/>
        <v>0.10330551042017369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232" t="str">
        <f>'Occ T3'!A35</f>
        <v>61 Caring personal service occupations</v>
      </c>
      <c r="M80" s="336">
        <f t="shared" ref="M80:AD80" si="119">M33/M$49</f>
        <v>8.2351844371222407E-2</v>
      </c>
      <c r="N80" s="336">
        <f t="shared" si="119"/>
        <v>7.906634950697361E-2</v>
      </c>
      <c r="O80" s="336">
        <f t="shared" si="119"/>
        <v>7.883207828897934E-2</v>
      </c>
      <c r="P80" s="336">
        <f t="shared" si="119"/>
        <v>7.9600288898058341E-2</v>
      </c>
      <c r="Q80" s="336">
        <f t="shared" si="119"/>
        <v>8.0872729013201E-2</v>
      </c>
      <c r="R80" s="336">
        <f t="shared" si="119"/>
        <v>7.6250244918932619E-2</v>
      </c>
      <c r="S80" s="336">
        <f t="shared" si="119"/>
        <v>8.3229359679947795E-2</v>
      </c>
      <c r="T80" s="336">
        <f t="shared" si="119"/>
        <v>8.3072601304059121E-2</v>
      </c>
      <c r="U80" s="336">
        <f t="shared" si="119"/>
        <v>7.8664847178032848E-2</v>
      </c>
      <c r="V80" s="336">
        <f t="shared" si="119"/>
        <v>8.0524363833958029E-2</v>
      </c>
      <c r="W80" s="336">
        <f t="shared" si="119"/>
        <v>8.0027194968238874E-2</v>
      </c>
      <c r="X80" s="336">
        <f t="shared" si="119"/>
        <v>7.9574801757745756E-2</v>
      </c>
      <c r="Y80" s="336">
        <f t="shared" si="119"/>
        <v>8.0092724895669487E-2</v>
      </c>
      <c r="Z80" s="336">
        <f t="shared" si="119"/>
        <v>8.0644453299803368E-2</v>
      </c>
      <c r="AA80" s="336">
        <f t="shared" si="119"/>
        <v>8.1156650988918277E-2</v>
      </c>
      <c r="AB80" s="336">
        <f t="shared" si="119"/>
        <v>8.1623589419664716E-2</v>
      </c>
      <c r="AC80" s="336">
        <f t="shared" si="119"/>
        <v>8.2093425844226103E-2</v>
      </c>
      <c r="AD80" s="336">
        <f t="shared" si="119"/>
        <v>8.2578867604310685E-2</v>
      </c>
      <c r="AE80" s="336">
        <f t="shared" ref="AE80:AL80" si="120">AE33/AE$49</f>
        <v>8.3101077097700982E-2</v>
      </c>
      <c r="AF80" s="336">
        <f t="shared" si="120"/>
        <v>8.3599937724489759E-2</v>
      </c>
      <c r="AG80" s="336">
        <f t="shared" si="120"/>
        <v>8.4051622758450836E-2</v>
      </c>
      <c r="AH80" s="336">
        <f t="shared" si="120"/>
        <v>8.4532924731902492E-2</v>
      </c>
      <c r="AI80" s="336">
        <f t="shared" si="120"/>
        <v>8.4998239108146481E-2</v>
      </c>
      <c r="AJ80" s="336">
        <f t="shared" si="120"/>
        <v>8.5501062299807654E-2</v>
      </c>
      <c r="AK80" s="336">
        <f t="shared" si="120"/>
        <v>8.6000231793535262E-2</v>
      </c>
      <c r="AL80" s="336">
        <f t="shared" si="120"/>
        <v>8.6467963775091083E-2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232" t="str">
        <f>'Occ T3'!A36</f>
        <v>62 Leisure, travel and related personal service occupations</v>
      </c>
      <c r="M81" s="336">
        <f t="shared" ref="M81:AD81" si="121">M34/M$49</f>
        <v>1.8343121628454549E-2</v>
      </c>
      <c r="N81" s="336">
        <f t="shared" si="121"/>
        <v>2.1050298742479181E-2</v>
      </c>
      <c r="O81" s="336">
        <f t="shared" si="121"/>
        <v>1.9702091394715727E-2</v>
      </c>
      <c r="P81" s="336">
        <f t="shared" si="121"/>
        <v>2.0035257998305769E-2</v>
      </c>
      <c r="Q81" s="336">
        <f t="shared" si="121"/>
        <v>1.9180676054526325E-2</v>
      </c>
      <c r="R81" s="336">
        <f t="shared" si="121"/>
        <v>2.2711943313888476E-2</v>
      </c>
      <c r="S81" s="336">
        <f t="shared" si="121"/>
        <v>2.2999629184065846E-2</v>
      </c>
      <c r="T81" s="336">
        <f t="shared" si="121"/>
        <v>2.2151438911409114E-2</v>
      </c>
      <c r="U81" s="336">
        <f t="shared" si="121"/>
        <v>1.9684974197653277E-2</v>
      </c>
      <c r="V81" s="336">
        <f t="shared" si="121"/>
        <v>1.9666146777892503E-2</v>
      </c>
      <c r="W81" s="336">
        <f t="shared" si="121"/>
        <v>1.8504874887308152E-2</v>
      </c>
      <c r="X81" s="336">
        <f t="shared" si="121"/>
        <v>1.6922854173507654E-2</v>
      </c>
      <c r="Y81" s="336">
        <f t="shared" si="121"/>
        <v>1.6854575725356022E-2</v>
      </c>
      <c r="Z81" s="336">
        <f t="shared" si="121"/>
        <v>1.6802026580153076E-2</v>
      </c>
      <c r="AA81" s="336">
        <f t="shared" si="121"/>
        <v>1.6744499833508977E-2</v>
      </c>
      <c r="AB81" s="336">
        <f t="shared" si="121"/>
        <v>1.6691503810020603E-2</v>
      </c>
      <c r="AC81" s="336">
        <f t="shared" si="121"/>
        <v>1.6643666641696538E-2</v>
      </c>
      <c r="AD81" s="336">
        <f t="shared" si="121"/>
        <v>1.6597049837903853E-2</v>
      </c>
      <c r="AE81" s="336">
        <f t="shared" ref="AE81:AL81" si="122">AE34/AE$49</f>
        <v>1.6541396576090436E-2</v>
      </c>
      <c r="AF81" s="336">
        <f t="shared" si="122"/>
        <v>1.6480994009371742E-2</v>
      </c>
      <c r="AG81" s="336">
        <f t="shared" si="122"/>
        <v>1.6418088273809861E-2</v>
      </c>
      <c r="AH81" s="336">
        <f t="shared" si="122"/>
        <v>1.6358914415282214E-2</v>
      </c>
      <c r="AI81" s="336">
        <f t="shared" si="122"/>
        <v>1.6296375118641366E-2</v>
      </c>
      <c r="AJ81" s="336">
        <f t="shared" si="122"/>
        <v>1.6227485658154652E-2</v>
      </c>
      <c r="AK81" s="336">
        <f t="shared" si="122"/>
        <v>1.6170654325334832E-2</v>
      </c>
      <c r="AL81" s="336">
        <f t="shared" si="122"/>
        <v>1.6118991095586389E-2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232" t="str">
        <f>'Occ T3'!A37</f>
        <v>63 Community and civil enforcement occupations</v>
      </c>
      <c r="M82" s="336">
        <f t="shared" ref="M82:AD82" si="123">M35/M$49</f>
        <v>1.4385482198872013E-3</v>
      </c>
      <c r="N82" s="336">
        <f t="shared" si="123"/>
        <v>9.8258580390728255E-4</v>
      </c>
      <c r="O82" s="336">
        <f t="shared" si="123"/>
        <v>1.0239547601601435E-3</v>
      </c>
      <c r="P82" s="336">
        <f t="shared" si="123"/>
        <v>8.9623347996493235E-4</v>
      </c>
      <c r="Q82" s="336">
        <f t="shared" si="123"/>
        <v>1.0337209522495419E-3</v>
      </c>
      <c r="R82" s="336">
        <f t="shared" si="123"/>
        <v>8.8351343915292393E-4</v>
      </c>
      <c r="S82" s="336">
        <f t="shared" si="123"/>
        <v>7.5692479744354042E-4</v>
      </c>
      <c r="T82" s="336">
        <f t="shared" si="123"/>
        <v>8.057725558676946E-4</v>
      </c>
      <c r="U82" s="336">
        <f t="shared" si="123"/>
        <v>8.4230878202362072E-4</v>
      </c>
      <c r="V82" s="336">
        <f t="shared" si="123"/>
        <v>7.2061366072347153E-4</v>
      </c>
      <c r="W82" s="336">
        <f t="shared" si="123"/>
        <v>9.0072543446933009E-4</v>
      </c>
      <c r="X82" s="336">
        <f t="shared" si="123"/>
        <v>6.4680859398579937E-4</v>
      </c>
      <c r="Y82" s="336">
        <f t="shared" si="123"/>
        <v>6.5216737837930157E-4</v>
      </c>
      <c r="Z82" s="336">
        <f t="shared" si="123"/>
        <v>6.575343522675092E-4</v>
      </c>
      <c r="AA82" s="336">
        <f t="shared" si="123"/>
        <v>6.634066703750703E-4</v>
      </c>
      <c r="AB82" s="336">
        <f t="shared" si="123"/>
        <v>6.7085735249985295E-4</v>
      </c>
      <c r="AC82" s="336">
        <f t="shared" si="123"/>
        <v>6.7595007414832727E-4</v>
      </c>
      <c r="AD82" s="336">
        <f t="shared" si="123"/>
        <v>6.8088799197488497E-4</v>
      </c>
      <c r="AE82" s="336">
        <f t="shared" ref="AE82:AL82" si="124">AE35/AE$49</f>
        <v>6.8379083309481718E-4</v>
      </c>
      <c r="AF82" s="336">
        <f t="shared" si="124"/>
        <v>6.9104922804576771E-4</v>
      </c>
      <c r="AG82" s="336">
        <f t="shared" si="124"/>
        <v>6.9564554702771094E-4</v>
      </c>
      <c r="AH82" s="336">
        <f t="shared" si="124"/>
        <v>7.0018909327015087E-4</v>
      </c>
      <c r="AI82" s="336">
        <f t="shared" si="124"/>
        <v>7.0280672184906646E-4</v>
      </c>
      <c r="AJ82" s="336">
        <f t="shared" si="124"/>
        <v>7.094813992755707E-4</v>
      </c>
      <c r="AK82" s="336">
        <f t="shared" si="124"/>
        <v>7.1212406942025087E-4</v>
      </c>
      <c r="AL82" s="336">
        <f t="shared" si="124"/>
        <v>7.1855554949622235E-4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37">
        <f t="shared" ref="M84:AD84" si="125">M37/M$49</f>
        <v>8.5119876663777863E-2</v>
      </c>
      <c r="N84" s="337">
        <f t="shared" si="125"/>
        <v>8.8528016047659433E-2</v>
      </c>
      <c r="O84" s="337">
        <f t="shared" si="125"/>
        <v>8.9807502438832357E-2</v>
      </c>
      <c r="P84" s="337">
        <f t="shared" si="125"/>
        <v>8.9376796090451988E-2</v>
      </c>
      <c r="Q84" s="337">
        <f t="shared" si="125"/>
        <v>9.0838231741617634E-2</v>
      </c>
      <c r="R84" s="337">
        <f t="shared" si="125"/>
        <v>8.5671966726316884E-2</v>
      </c>
      <c r="S84" s="337">
        <f t="shared" si="125"/>
        <v>8.3705369675430824E-2</v>
      </c>
      <c r="T84" s="337">
        <f t="shared" si="125"/>
        <v>8.4953139745357814E-2</v>
      </c>
      <c r="U84" s="337">
        <f t="shared" si="125"/>
        <v>8.1627247886259968E-2</v>
      </c>
      <c r="V84" s="337">
        <f t="shared" si="125"/>
        <v>7.7626693085705703E-2</v>
      </c>
      <c r="W84" s="337">
        <f t="shared" si="125"/>
        <v>7.9283074645790055E-2</v>
      </c>
      <c r="X84" s="337">
        <f t="shared" si="125"/>
        <v>7.8274152252149787E-2</v>
      </c>
      <c r="Y84" s="337">
        <f t="shared" si="125"/>
        <v>7.8149113184295377E-2</v>
      </c>
      <c r="Z84" s="337">
        <f t="shared" si="125"/>
        <v>7.8018993447338314E-2</v>
      </c>
      <c r="AA84" s="337">
        <f t="shared" si="125"/>
        <v>7.7788132615292938E-2</v>
      </c>
      <c r="AB84" s="337">
        <f t="shared" si="125"/>
        <v>7.7485334498117689E-2</v>
      </c>
      <c r="AC84" s="337">
        <f t="shared" si="125"/>
        <v>7.7188820049728962E-2</v>
      </c>
      <c r="AD84" s="337">
        <f t="shared" si="125"/>
        <v>7.6903546023099886E-2</v>
      </c>
      <c r="AE84" s="337">
        <f t="shared" ref="AE84:AL84" si="126">AE37/AE$49</f>
        <v>7.6632449524413615E-2</v>
      </c>
      <c r="AF84" s="337">
        <f t="shared" si="126"/>
        <v>7.6366993812535588E-2</v>
      </c>
      <c r="AG84" s="337">
        <f t="shared" si="126"/>
        <v>7.6079336859953578E-2</v>
      </c>
      <c r="AH84" s="337">
        <f t="shared" si="126"/>
        <v>7.5886826859044701E-2</v>
      </c>
      <c r="AI84" s="337">
        <f t="shared" si="126"/>
        <v>7.5669629654303044E-2</v>
      </c>
      <c r="AJ84" s="337">
        <f t="shared" si="126"/>
        <v>7.5447508497934745E-2</v>
      </c>
      <c r="AK84" s="337">
        <f t="shared" si="126"/>
        <v>7.5185681165042331E-2</v>
      </c>
      <c r="AL84" s="337">
        <f t="shared" si="126"/>
        <v>7.4876007395524455E-2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232" t="str">
        <f>'Occ T3'!A40</f>
        <v>71 Sales occupations</v>
      </c>
      <c r="M85" s="336">
        <f t="shared" ref="M85:AD85" si="127">M38/M$49</f>
        <v>6.796476887346356E-2</v>
      </c>
      <c r="N85" s="336">
        <f t="shared" si="127"/>
        <v>7.1213596122178466E-2</v>
      </c>
      <c r="O85" s="336">
        <f t="shared" si="127"/>
        <v>7.2220557872666374E-2</v>
      </c>
      <c r="P85" s="336">
        <f t="shared" si="127"/>
        <v>7.1908743154364629E-2</v>
      </c>
      <c r="Q85" s="336">
        <f t="shared" si="127"/>
        <v>7.454076472073129E-2</v>
      </c>
      <c r="R85" s="336">
        <f t="shared" si="127"/>
        <v>6.7694566044031151E-2</v>
      </c>
      <c r="S85" s="336">
        <f t="shared" si="127"/>
        <v>6.5998392035832951E-2</v>
      </c>
      <c r="T85" s="336">
        <f t="shared" si="127"/>
        <v>6.5763864074995335E-2</v>
      </c>
      <c r="U85" s="336">
        <f t="shared" si="127"/>
        <v>6.2924929709566729E-2</v>
      </c>
      <c r="V85" s="336">
        <f t="shared" si="127"/>
        <v>6.0275322571167141E-2</v>
      </c>
      <c r="W85" s="336">
        <f t="shared" si="127"/>
        <v>6.0965951089223973E-2</v>
      </c>
      <c r="X85" s="336">
        <f t="shared" si="127"/>
        <v>5.8964507093950978E-2</v>
      </c>
      <c r="Y85" s="336">
        <f t="shared" si="127"/>
        <v>5.8625481316754789E-2</v>
      </c>
      <c r="Z85" s="336">
        <f t="shared" si="127"/>
        <v>5.8321382491710615E-2</v>
      </c>
      <c r="AA85" s="336">
        <f t="shared" si="127"/>
        <v>5.7939269772884203E-2</v>
      </c>
      <c r="AB85" s="336">
        <f t="shared" si="127"/>
        <v>5.7493059035743851E-2</v>
      </c>
      <c r="AC85" s="336">
        <f t="shared" si="127"/>
        <v>5.7053915264800338E-2</v>
      </c>
      <c r="AD85" s="336">
        <f t="shared" si="127"/>
        <v>5.6612991253396736E-2</v>
      </c>
      <c r="AE85" s="336">
        <f t="shared" ref="AE85:AL85" si="128">AE38/AE$49</f>
        <v>5.6174587455263651E-2</v>
      </c>
      <c r="AF85" s="336">
        <f t="shared" si="128"/>
        <v>5.5736667746075517E-2</v>
      </c>
      <c r="AG85" s="336">
        <f t="shared" si="128"/>
        <v>5.5280070932817067E-2</v>
      </c>
      <c r="AH85" s="336">
        <f t="shared" si="128"/>
        <v>5.4931296247452834E-2</v>
      </c>
      <c r="AI85" s="336">
        <f t="shared" si="128"/>
        <v>5.4563792736164136E-2</v>
      </c>
      <c r="AJ85" s="336">
        <f t="shared" si="128"/>
        <v>5.4180875454935523E-2</v>
      </c>
      <c r="AK85" s="336">
        <f t="shared" si="128"/>
        <v>5.3760269501023666E-2</v>
      </c>
      <c r="AL85" s="336">
        <f t="shared" si="128"/>
        <v>5.32879944060747E-2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232" t="str">
        <f>'Occ T3'!A41</f>
        <v>72 Customer service occupations</v>
      </c>
      <c r="M86" s="336">
        <f t="shared" ref="M86:AD86" si="129">M39/M$49</f>
        <v>1.7155107790314313E-2</v>
      </c>
      <c r="N86" s="336">
        <f t="shared" si="129"/>
        <v>1.7314419925480981E-2</v>
      </c>
      <c r="O86" s="336">
        <f t="shared" si="129"/>
        <v>1.7586944566165986E-2</v>
      </c>
      <c r="P86" s="336">
        <f t="shared" si="129"/>
        <v>1.7468052936087362E-2</v>
      </c>
      <c r="Q86" s="336">
        <f t="shared" si="129"/>
        <v>1.6297467020886344E-2</v>
      </c>
      <c r="R86" s="336">
        <f t="shared" si="129"/>
        <v>1.7977400682285729E-2</v>
      </c>
      <c r="S86" s="336">
        <f t="shared" si="129"/>
        <v>1.770697763959788E-2</v>
      </c>
      <c r="T86" s="336">
        <f t="shared" si="129"/>
        <v>1.9189275670362473E-2</v>
      </c>
      <c r="U86" s="336">
        <f t="shared" si="129"/>
        <v>1.8702318176693242E-2</v>
      </c>
      <c r="V86" s="336">
        <f t="shared" si="129"/>
        <v>1.7351370514538562E-2</v>
      </c>
      <c r="W86" s="336">
        <f t="shared" si="129"/>
        <v>1.8317123556566086E-2</v>
      </c>
      <c r="X86" s="336">
        <f t="shared" si="129"/>
        <v>1.9309645158198815E-2</v>
      </c>
      <c r="Y86" s="336">
        <f t="shared" si="129"/>
        <v>1.9523631867540584E-2</v>
      </c>
      <c r="Z86" s="336">
        <f t="shared" si="129"/>
        <v>1.9697610955627706E-2</v>
      </c>
      <c r="AA86" s="336">
        <f t="shared" si="129"/>
        <v>1.9848862842408735E-2</v>
      </c>
      <c r="AB86" s="336">
        <f t="shared" si="129"/>
        <v>1.9992275462373851E-2</v>
      </c>
      <c r="AC86" s="336">
        <f t="shared" si="129"/>
        <v>2.0134904784928624E-2</v>
      </c>
      <c r="AD86" s="336">
        <f t="shared" si="129"/>
        <v>2.0290554769703154E-2</v>
      </c>
      <c r="AE86" s="336">
        <f t="shared" ref="AE86:AL86" si="130">AE39/AE$49</f>
        <v>2.0457862069149971E-2</v>
      </c>
      <c r="AF86" s="336">
        <f t="shared" si="130"/>
        <v>2.0630326066460071E-2</v>
      </c>
      <c r="AG86" s="336">
        <f t="shared" si="130"/>
        <v>2.0799265927136504E-2</v>
      </c>
      <c r="AH86" s="336">
        <f t="shared" si="130"/>
        <v>2.0955530611591878E-2</v>
      </c>
      <c r="AI86" s="336">
        <f t="shared" si="130"/>
        <v>2.1105836918138905E-2</v>
      </c>
      <c r="AJ86" s="336">
        <f t="shared" si="130"/>
        <v>2.1266633042999212E-2</v>
      </c>
      <c r="AK86" s="336">
        <f t="shared" si="130"/>
        <v>2.1425411664018668E-2</v>
      </c>
      <c r="AL86" s="336">
        <f t="shared" si="130"/>
        <v>2.1588012989449758E-2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37">
        <f t="shared" ref="M88:AD88" si="131">M41/M$49</f>
        <v>8.8399350127579643E-2</v>
      </c>
      <c r="N88" s="337">
        <f t="shared" si="131"/>
        <v>8.5105393953697636E-2</v>
      </c>
      <c r="O88" s="337">
        <f t="shared" si="131"/>
        <v>8.9500200357665941E-2</v>
      </c>
      <c r="P88" s="337">
        <f t="shared" si="131"/>
        <v>8.8000253561583225E-2</v>
      </c>
      <c r="Q88" s="337">
        <f t="shared" si="131"/>
        <v>9.0813125576481607E-2</v>
      </c>
      <c r="R88" s="337">
        <f t="shared" si="131"/>
        <v>9.3244120522857965E-2</v>
      </c>
      <c r="S88" s="337">
        <f t="shared" si="131"/>
        <v>9.0802116745560491E-2</v>
      </c>
      <c r="T88" s="337">
        <f t="shared" si="131"/>
        <v>8.8081455467191205E-2</v>
      </c>
      <c r="U88" s="337">
        <f t="shared" si="131"/>
        <v>9.1284976678950885E-2</v>
      </c>
      <c r="V88" s="337">
        <f t="shared" si="131"/>
        <v>9.1330922900737438E-2</v>
      </c>
      <c r="W88" s="337">
        <f t="shared" si="131"/>
        <v>8.1335877310080462E-2</v>
      </c>
      <c r="X88" s="337">
        <f t="shared" si="131"/>
        <v>8.4285911631461083E-2</v>
      </c>
      <c r="Y88" s="337">
        <f t="shared" si="131"/>
        <v>8.3707598222536761E-2</v>
      </c>
      <c r="Z88" s="337">
        <f t="shared" si="131"/>
        <v>8.317898820930994E-2</v>
      </c>
      <c r="AA88" s="337">
        <f t="shared" si="131"/>
        <v>8.267371303266309E-2</v>
      </c>
      <c r="AB88" s="337">
        <f t="shared" si="131"/>
        <v>8.2121641743469684E-2</v>
      </c>
      <c r="AC88" s="337">
        <f t="shared" si="131"/>
        <v>8.1676618140714211E-2</v>
      </c>
      <c r="AD88" s="337">
        <f t="shared" si="131"/>
        <v>8.1231541292041493E-2</v>
      </c>
      <c r="AE88" s="337">
        <f t="shared" ref="AE88:AL88" si="132">AE41/AE$49</f>
        <v>8.0764133858496012E-2</v>
      </c>
      <c r="AF88" s="337">
        <f t="shared" si="132"/>
        <v>8.0262559689776483E-2</v>
      </c>
      <c r="AG88" s="337">
        <f t="shared" si="132"/>
        <v>7.9763254138039794E-2</v>
      </c>
      <c r="AH88" s="337">
        <f t="shared" si="132"/>
        <v>7.9234870938052177E-2</v>
      </c>
      <c r="AI88" s="337">
        <f t="shared" si="132"/>
        <v>7.8732449660970663E-2</v>
      </c>
      <c r="AJ88" s="337">
        <f t="shared" si="132"/>
        <v>7.8207966463853015E-2</v>
      </c>
      <c r="AK88" s="337">
        <f t="shared" si="132"/>
        <v>7.7628722320816676E-2</v>
      </c>
      <c r="AL88" s="337">
        <f t="shared" si="132"/>
        <v>7.7019254426929737E-2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232" t="str">
        <f>'Occ T3'!A44</f>
        <v>81 Process, plant and machine operatives</v>
      </c>
      <c r="M89" s="336">
        <f t="shared" ref="M89:AD89" si="133">M42/M$49</f>
        <v>4.6399766432984831E-2</v>
      </c>
      <c r="N89" s="336">
        <f t="shared" si="133"/>
        <v>4.4616128956184879E-2</v>
      </c>
      <c r="O89" s="336">
        <f t="shared" si="133"/>
        <v>4.4475547682561171E-2</v>
      </c>
      <c r="P89" s="336">
        <f t="shared" si="133"/>
        <v>4.6973061450833416E-2</v>
      </c>
      <c r="Q89" s="336">
        <f t="shared" si="133"/>
        <v>4.7203655420211564E-2</v>
      </c>
      <c r="R89" s="336">
        <f t="shared" si="133"/>
        <v>4.552889051529501E-2</v>
      </c>
      <c r="S89" s="336">
        <f t="shared" si="133"/>
        <v>4.341271519276127E-2</v>
      </c>
      <c r="T89" s="336">
        <f t="shared" si="133"/>
        <v>4.3001638208973285E-2</v>
      </c>
      <c r="U89" s="336">
        <f t="shared" si="133"/>
        <v>4.4366072396346844E-2</v>
      </c>
      <c r="V89" s="336">
        <f t="shared" si="133"/>
        <v>4.262744203274197E-2</v>
      </c>
      <c r="W89" s="336">
        <f t="shared" si="133"/>
        <v>3.7047844174783462E-2</v>
      </c>
      <c r="X89" s="336">
        <f t="shared" si="133"/>
        <v>3.911010881957739E-2</v>
      </c>
      <c r="Y89" s="336">
        <f t="shared" si="133"/>
        <v>3.8675411956095293E-2</v>
      </c>
      <c r="Z89" s="336">
        <f t="shared" si="133"/>
        <v>3.8228882656539245E-2</v>
      </c>
      <c r="AA89" s="336">
        <f t="shared" si="133"/>
        <v>3.7824739256272243E-2</v>
      </c>
      <c r="AB89" s="336">
        <f t="shared" si="133"/>
        <v>3.7368677812144528E-2</v>
      </c>
      <c r="AC89" s="336">
        <f t="shared" si="133"/>
        <v>3.7028416941431753E-2</v>
      </c>
      <c r="AD89" s="336">
        <f t="shared" si="133"/>
        <v>3.6688710313247219E-2</v>
      </c>
      <c r="AE89" s="336">
        <f t="shared" ref="AE89:AL89" si="134">AE42/AE$49</f>
        <v>3.6331517153056769E-2</v>
      </c>
      <c r="AF89" s="336">
        <f t="shared" si="134"/>
        <v>3.5947216532242511E-2</v>
      </c>
      <c r="AG89" s="336">
        <f t="shared" si="134"/>
        <v>3.5565786811832464E-2</v>
      </c>
      <c r="AH89" s="336">
        <f t="shared" si="134"/>
        <v>3.5175048660178947E-2</v>
      </c>
      <c r="AI89" s="336">
        <f t="shared" si="134"/>
        <v>3.4809629320207536E-2</v>
      </c>
      <c r="AJ89" s="336">
        <f t="shared" si="134"/>
        <v>3.4430729885101048E-2</v>
      </c>
      <c r="AK89" s="336">
        <f t="shared" si="134"/>
        <v>3.4004169109208074E-2</v>
      </c>
      <c r="AL89" s="336">
        <f t="shared" si="134"/>
        <v>3.355594731643223E-2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232" t="str">
        <f>'Occ T3'!A45</f>
        <v>82 Transport and mobile machine drivers and operatives</v>
      </c>
      <c r="M90" s="336">
        <f t="shared" ref="M90:AD90" si="135">M43/M$49</f>
        <v>4.1999583694594819E-2</v>
      </c>
      <c r="N90" s="336">
        <f t="shared" si="135"/>
        <v>4.048926499751275E-2</v>
      </c>
      <c r="O90" s="336">
        <f t="shared" si="135"/>
        <v>4.5024652675104776E-2</v>
      </c>
      <c r="P90" s="336">
        <f t="shared" si="135"/>
        <v>4.1027192110749795E-2</v>
      </c>
      <c r="Q90" s="336">
        <f t="shared" si="135"/>
        <v>4.3609470156270043E-2</v>
      </c>
      <c r="R90" s="336">
        <f t="shared" si="135"/>
        <v>4.7715230007562955E-2</v>
      </c>
      <c r="S90" s="336">
        <f t="shared" si="135"/>
        <v>4.7389401552799207E-2</v>
      </c>
      <c r="T90" s="336">
        <f t="shared" si="135"/>
        <v>4.507981725821792E-2</v>
      </c>
      <c r="U90" s="336">
        <f t="shared" si="135"/>
        <v>4.6918904282604035E-2</v>
      </c>
      <c r="V90" s="336">
        <f t="shared" si="135"/>
        <v>4.8703480867995468E-2</v>
      </c>
      <c r="W90" s="336">
        <f t="shared" si="135"/>
        <v>4.4288033135297014E-2</v>
      </c>
      <c r="X90" s="336">
        <f t="shared" si="135"/>
        <v>4.5175802811883707E-2</v>
      </c>
      <c r="Y90" s="336">
        <f t="shared" si="135"/>
        <v>4.5032186266441468E-2</v>
      </c>
      <c r="Z90" s="336">
        <f t="shared" si="135"/>
        <v>4.4950105552770701E-2</v>
      </c>
      <c r="AA90" s="336">
        <f t="shared" si="135"/>
        <v>4.4848973776390841E-2</v>
      </c>
      <c r="AB90" s="336">
        <f t="shared" si="135"/>
        <v>4.4752963931325149E-2</v>
      </c>
      <c r="AC90" s="336">
        <f t="shared" si="135"/>
        <v>4.4648201199282457E-2</v>
      </c>
      <c r="AD90" s="336">
        <f t="shared" si="135"/>
        <v>4.4542830978794266E-2</v>
      </c>
      <c r="AE90" s="336">
        <f t="shared" ref="AE90:AL90" si="136">AE43/AE$49</f>
        <v>4.443261670543925E-2</v>
      </c>
      <c r="AF90" s="336">
        <f t="shared" si="136"/>
        <v>4.4315343157533972E-2</v>
      </c>
      <c r="AG90" s="336">
        <f t="shared" si="136"/>
        <v>4.4197467326207336E-2</v>
      </c>
      <c r="AH90" s="336">
        <f t="shared" si="136"/>
        <v>4.4059822277873223E-2</v>
      </c>
      <c r="AI90" s="336">
        <f t="shared" si="136"/>
        <v>4.392282034076312E-2</v>
      </c>
      <c r="AJ90" s="336">
        <f t="shared" si="136"/>
        <v>4.3777236578751953E-2</v>
      </c>
      <c r="AK90" s="336">
        <f t="shared" si="136"/>
        <v>4.3624553211608602E-2</v>
      </c>
      <c r="AL90" s="336">
        <f t="shared" si="136"/>
        <v>4.3463307110497507E-2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37">
        <f t="shared" ref="M92:AD92" si="137">M45/M$49</f>
        <v>0.11634529505251058</v>
      </c>
      <c r="N92" s="337">
        <f t="shared" si="137"/>
        <v>0.11099474759217248</v>
      </c>
      <c r="O92" s="337">
        <f t="shared" si="137"/>
        <v>0.11133669109130567</v>
      </c>
      <c r="P92" s="337">
        <f t="shared" si="137"/>
        <v>0.10685972722689785</v>
      </c>
      <c r="Q92" s="337">
        <f t="shared" si="137"/>
        <v>0.10746704460669275</v>
      </c>
      <c r="R92" s="337">
        <f t="shared" si="137"/>
        <v>0.11266657366268604</v>
      </c>
      <c r="S92" s="337">
        <f t="shared" si="137"/>
        <v>0.11169026166626213</v>
      </c>
      <c r="T92" s="337">
        <f t="shared" si="137"/>
        <v>0.10766183608474943</v>
      </c>
      <c r="U92" s="337">
        <f t="shared" si="137"/>
        <v>0.10467598101418264</v>
      </c>
      <c r="V92" s="337">
        <f t="shared" si="137"/>
        <v>0.10118810428679198</v>
      </c>
      <c r="W92" s="337">
        <f t="shared" si="137"/>
        <v>9.3283742250192175E-2</v>
      </c>
      <c r="X92" s="337">
        <f t="shared" si="137"/>
        <v>9.7910558722293858E-2</v>
      </c>
      <c r="Y92" s="337">
        <f t="shared" si="137"/>
        <v>9.7372594094264422E-2</v>
      </c>
      <c r="Z92" s="337">
        <f t="shared" si="137"/>
        <v>9.6545503112324391E-2</v>
      </c>
      <c r="AA92" s="337">
        <f t="shared" si="137"/>
        <v>9.5628399683448023E-2</v>
      </c>
      <c r="AB92" s="337">
        <f t="shared" si="137"/>
        <v>9.4926190799642013E-2</v>
      </c>
      <c r="AC92" s="337">
        <f t="shared" si="137"/>
        <v>9.4198468182108988E-2</v>
      </c>
      <c r="AD92" s="337">
        <f t="shared" si="137"/>
        <v>9.3381076299596341E-2</v>
      </c>
      <c r="AE92" s="337">
        <f t="shared" ref="AE92:AL92" si="138">AE45/AE$49</f>
        <v>9.2622188861978968E-2</v>
      </c>
      <c r="AF92" s="337">
        <f t="shared" si="138"/>
        <v>9.1905277510929376E-2</v>
      </c>
      <c r="AG92" s="337">
        <f t="shared" si="138"/>
        <v>9.1210822621059867E-2</v>
      </c>
      <c r="AH92" s="337">
        <f t="shared" si="138"/>
        <v>9.0489735876731522E-2</v>
      </c>
      <c r="AI92" s="337">
        <f t="shared" si="138"/>
        <v>8.9850618518870676E-2</v>
      </c>
      <c r="AJ92" s="337">
        <f t="shared" si="138"/>
        <v>8.9237027786499376E-2</v>
      </c>
      <c r="AK92" s="337">
        <f t="shared" si="138"/>
        <v>8.8648448432404367E-2</v>
      </c>
      <c r="AL92" s="337">
        <f t="shared" si="138"/>
        <v>8.8089818201452369E-2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232" t="str">
        <f>'Occ T3'!A48</f>
        <v>91 Elementary trades and related occupations</v>
      </c>
      <c r="M93" s="336">
        <f t="shared" ref="M93:AD93" si="139">M46/M$49</f>
        <v>2.0439198100948935E-2</v>
      </c>
      <c r="N93" s="336">
        <f t="shared" si="139"/>
        <v>2.0038527943271874E-2</v>
      </c>
      <c r="O93" s="336">
        <f t="shared" si="139"/>
        <v>2.0013233653739311E-2</v>
      </c>
      <c r="P93" s="336">
        <f t="shared" si="139"/>
        <v>2.0031439646814E-2</v>
      </c>
      <c r="Q93" s="336">
        <f t="shared" si="139"/>
        <v>2.1354967427871734E-2</v>
      </c>
      <c r="R93" s="336">
        <f t="shared" si="139"/>
        <v>2.2722126228243187E-2</v>
      </c>
      <c r="S93" s="336">
        <f t="shared" si="139"/>
        <v>2.2146047742819284E-2</v>
      </c>
      <c r="T93" s="336">
        <f t="shared" si="139"/>
        <v>1.9605777418620077E-2</v>
      </c>
      <c r="U93" s="336">
        <f t="shared" si="139"/>
        <v>2.0313999416792489E-2</v>
      </c>
      <c r="V93" s="336">
        <f t="shared" si="139"/>
        <v>1.928111951250263E-2</v>
      </c>
      <c r="W93" s="336">
        <f t="shared" si="139"/>
        <v>1.7327687405521965E-2</v>
      </c>
      <c r="X93" s="336">
        <f t="shared" si="139"/>
        <v>2.8616347969534404E-2</v>
      </c>
      <c r="Y93" s="336">
        <f t="shared" si="139"/>
        <v>2.8808325335569221E-2</v>
      </c>
      <c r="Z93" s="336">
        <f t="shared" si="139"/>
        <v>2.9041160804009768E-2</v>
      </c>
      <c r="AA93" s="336">
        <f t="shared" si="139"/>
        <v>2.9277349798370135E-2</v>
      </c>
      <c r="AB93" s="336">
        <f t="shared" si="139"/>
        <v>2.954080867193595E-2</v>
      </c>
      <c r="AC93" s="336">
        <f t="shared" si="139"/>
        <v>2.9791069121177446E-2</v>
      </c>
      <c r="AD93" s="336">
        <f t="shared" si="139"/>
        <v>3.0016473053707443E-2</v>
      </c>
      <c r="AE93" s="336">
        <f t="shared" ref="AE93:AL93" si="140">AE46/AE$49</f>
        <v>3.0219316690979013E-2</v>
      </c>
      <c r="AF93" s="336">
        <f t="shared" si="140"/>
        <v>3.0402954009042367E-2</v>
      </c>
      <c r="AG93" s="336">
        <f t="shared" si="140"/>
        <v>3.0570858764910242E-2</v>
      </c>
      <c r="AH93" s="336">
        <f t="shared" si="140"/>
        <v>3.0723288146498412E-2</v>
      </c>
      <c r="AI93" s="336">
        <f t="shared" si="140"/>
        <v>3.091663086687203E-2</v>
      </c>
      <c r="AJ93" s="336">
        <f t="shared" si="140"/>
        <v>3.1131730856506279E-2</v>
      </c>
      <c r="AK93" s="336">
        <f t="shared" si="140"/>
        <v>3.1371821417240819E-2</v>
      </c>
      <c r="AL93" s="336">
        <f t="shared" si="140"/>
        <v>3.1606431356733487E-2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232" t="str">
        <f>'Occ T3'!A49</f>
        <v>92 Elementary administration and service occupations</v>
      </c>
      <c r="M94" s="336">
        <f t="shared" ref="M94:AD94" si="141">M47/M$49</f>
        <v>9.5906096951561645E-2</v>
      </c>
      <c r="N94" s="336">
        <f t="shared" si="141"/>
        <v>9.0956219648900605E-2</v>
      </c>
      <c r="O94" s="336">
        <f t="shared" si="141"/>
        <v>9.1323457437566369E-2</v>
      </c>
      <c r="P94" s="336">
        <f t="shared" si="141"/>
        <v>8.6828287580083846E-2</v>
      </c>
      <c r="Q94" s="336">
        <f t="shared" si="141"/>
        <v>8.6112077178821009E-2</v>
      </c>
      <c r="R94" s="336">
        <f t="shared" si="141"/>
        <v>8.9944447434442854E-2</v>
      </c>
      <c r="S94" s="336">
        <f t="shared" si="141"/>
        <v>8.9544213923442847E-2</v>
      </c>
      <c r="T94" s="336">
        <f t="shared" si="141"/>
        <v>8.8056058666129353E-2</v>
      </c>
      <c r="U94" s="336">
        <f t="shared" si="141"/>
        <v>8.4361981597390154E-2</v>
      </c>
      <c r="V94" s="336">
        <f t="shared" si="141"/>
        <v>8.1906984774289357E-2</v>
      </c>
      <c r="W94" s="336">
        <f t="shared" si="141"/>
        <v>7.5956054844670218E-2</v>
      </c>
      <c r="X94" s="336">
        <f t="shared" si="141"/>
        <v>6.9294210752759447E-2</v>
      </c>
      <c r="Y94" s="336">
        <f t="shared" si="141"/>
        <v>6.8564268758695202E-2</v>
      </c>
      <c r="Z94" s="336">
        <f t="shared" si="141"/>
        <v>6.7504342308314633E-2</v>
      </c>
      <c r="AA94" s="336">
        <f t="shared" si="141"/>
        <v>6.6351049885077895E-2</v>
      </c>
      <c r="AB94" s="336">
        <f t="shared" si="141"/>
        <v>6.538538212770606E-2</v>
      </c>
      <c r="AC94" s="336">
        <f t="shared" si="141"/>
        <v>6.4407399060931542E-2</v>
      </c>
      <c r="AD94" s="336">
        <f t="shared" si="141"/>
        <v>6.3364603245888912E-2</v>
      </c>
      <c r="AE94" s="336">
        <f t="shared" ref="AE94:AL94" si="142">AE47/AE$49</f>
        <v>6.2402872170999962E-2</v>
      </c>
      <c r="AF94" s="336">
        <f t="shared" si="142"/>
        <v>6.1502323501886995E-2</v>
      </c>
      <c r="AG94" s="336">
        <f t="shared" si="142"/>
        <v>6.0639963856149628E-2</v>
      </c>
      <c r="AH94" s="336">
        <f t="shared" si="142"/>
        <v>5.9766447730233124E-2</v>
      </c>
      <c r="AI94" s="336">
        <f t="shared" si="142"/>
        <v>5.8933987651998657E-2</v>
      </c>
      <c r="AJ94" s="336">
        <f t="shared" si="142"/>
        <v>5.810529692999309E-2</v>
      </c>
      <c r="AK94" s="336">
        <f t="shared" si="142"/>
        <v>5.7276627015163555E-2</v>
      </c>
      <c r="AL94" s="336">
        <f t="shared" si="142"/>
        <v>5.6483386844718882E-2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13"/>
      <c r="M110" s="11"/>
      <c r="N110" s="11"/>
      <c r="O110" s="11"/>
      <c r="P110" s="11"/>
    </row>
    <row r="111" spans="12:53" x14ac:dyDescent="0.25">
      <c r="L111" s="13"/>
      <c r="M111" s="11"/>
      <c r="N111" s="11"/>
      <c r="O111" s="11"/>
      <c r="P111" s="11"/>
    </row>
    <row r="112" spans="12:53" x14ac:dyDescent="0.25">
      <c r="L112" s="13"/>
      <c r="M112" s="11"/>
      <c r="N112" s="11"/>
      <c r="O112" s="11"/>
      <c r="P112" s="11"/>
    </row>
    <row r="113" spans="1:16" x14ac:dyDescent="0.25">
      <c r="L113" s="13"/>
      <c r="M113" s="11"/>
      <c r="N113" s="11"/>
      <c r="O113" s="11"/>
      <c r="P113" s="11"/>
    </row>
    <row r="114" spans="1:16" x14ac:dyDescent="0.25">
      <c r="L114" s="13"/>
      <c r="M114" s="11"/>
      <c r="N114" s="11"/>
      <c r="O114" s="11"/>
      <c r="P114" s="11"/>
    </row>
    <row r="115" spans="1:16" x14ac:dyDescent="0.25">
      <c r="L115" s="13"/>
      <c r="M115" s="11"/>
      <c r="N115" s="11"/>
      <c r="O115" s="11"/>
      <c r="P115" s="11"/>
    </row>
    <row r="116" spans="1:16" ht="15.5" x14ac:dyDescent="0.35">
      <c r="A116" s="80" t="str">
        <f>CONCATENATE("Occupation Figure 2.2  Employment by Occupation, ",$M$2,"-",$O$2,", ",Info!B5)</f>
        <v>Occupation Figure 2.2  Employment by Occupation, 2010-2035, Black Country</v>
      </c>
      <c r="L116" s="13"/>
      <c r="M116" s="11"/>
      <c r="N116" s="11"/>
      <c r="O116" s="11"/>
      <c r="P116" s="11"/>
    </row>
    <row r="117" spans="1:16" x14ac:dyDescent="0.25">
      <c r="L117" s="13"/>
    </row>
    <row r="143" spans="12:63" s="81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80" t="str">
        <f>CONCATENATE("Occupation Figure 2.3  Change in Employment in ",$L$5,", ",$M$2,"-",$O$2,", ",Info!B5)</f>
        <v>Occupation Figure 2.3  Change in Employment in Managers, directors and senior officials, 2010-2035, Black Country</v>
      </c>
    </row>
    <row r="178" spans="12:63" s="81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80" t="str">
        <f>CONCATENATE("Occupation Figure 2.4  Change in Employment in ",$L$9,", ",$M$2,"-",$O$2,", ",Info!B5)</f>
        <v>Occupation Figure 2.4  Change in Employment in Professional occupations, 2010-2035, Black Country</v>
      </c>
    </row>
    <row r="213" spans="12:63" s="81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80" t="str">
        <f>CONCATENATE("Occupation Figure 2.5  Change in Employment in ",$L$15,", ",$M$2,"-",$O$2,", ",Info!B5)</f>
        <v>Occupation Figure 2.5  Change in Employment in Associate professional occupations, 2010-2035, Black Country</v>
      </c>
    </row>
    <row r="248" spans="12:63" s="81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80" t="str">
        <f>CONCATENATE("Occupation Figure 2.6  Change in Employment in ",$L$22,", ",$M$2,"-",$O$2,", ",Info!B5)</f>
        <v>Occupation Figure 2.6  Change in Employment in Administrative and secretarial occupations, 2010-2035, Black Country</v>
      </c>
    </row>
    <row r="283" spans="12:63" s="81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80" t="str">
        <f>CONCATENATE("Occupation Figure 2.7  Change in Employment in ",$L$26,", ",$M$2,"- ",$O$2,", ",Info!B5)</f>
        <v>Occupation Figure 2.7  Change in Employment in Skilled trades occupations, 2010- 2035, Black Country</v>
      </c>
    </row>
    <row r="318" spans="12:63" s="81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80" t="str">
        <f>CONCATENATE("Occupation Figure 2.8  Change in Employment in ",$L$32,", ",$M$2,"-",$O$2,", ",Info!B5)</f>
        <v>Occupation Figure 2.8  Change in Employment in Caring, leisure and other service occupations, 2010-2035, Black Country</v>
      </c>
    </row>
    <row r="353" spans="12:63" s="81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80" t="str">
        <f>CONCATENATE("Occupation Figure 2.9  Change in Employment in ",$L$37,", ",$M$2,"-",$O$2,", ",Info!B5)</f>
        <v>Occupation Figure 2.9  Change in Employment in Sales and customer service occupations, 2010-2035, Black Country</v>
      </c>
    </row>
    <row r="388" spans="12:63" s="81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80" t="str">
        <f>CONCATENATE("Occupation Figure 2.10  Change in Employment in ",$L$41,", ",$M$2,"-",$O$2,", ",Info!B5)</f>
        <v>Occupation Figure 2.10  Change in Employment in Process, plant and machine operatives, 2010-2035, Black Country</v>
      </c>
    </row>
    <row r="442" spans="1:1" ht="15.5" x14ac:dyDescent="0.35">
      <c r="A442" s="80" t="str">
        <f>CONCATENATE("Occupation Figure 2.11  Change in Employment in ",$L$45,", ",$M$2,"-",$O$2,", ",Info!B5)</f>
        <v>Occupation Figure 2.11  Change in Employment in Elementary occupations, 2010-2035, Black Country</v>
      </c>
    </row>
    <row r="477" spans="1:12" ht="15.5" x14ac:dyDescent="0.3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Black Country</v>
      </c>
    </row>
    <row r="479" spans="1:12" ht="13" x14ac:dyDescent="0.3">
      <c r="L479" s="46" t="s">
        <v>412</v>
      </c>
    </row>
    <row r="480" spans="1:12" ht="13" x14ac:dyDescent="0.3">
      <c r="L480" s="30" t="s">
        <v>413</v>
      </c>
    </row>
    <row r="505" spans="1:12" ht="15.5" x14ac:dyDescent="0.3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Black Country</v>
      </c>
    </row>
    <row r="507" spans="1:12" ht="13" x14ac:dyDescent="0.3">
      <c r="L507" s="46" t="s">
        <v>414</v>
      </c>
    </row>
    <row r="508" spans="1:12" ht="13" x14ac:dyDescent="0.3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Black Country</v>
      </c>
      <c r="W1" t="str">
        <f>LEFT(X3,4)</f>
        <v>2015</v>
      </c>
      <c r="X1" t="str">
        <f>RIGHT(AC3,4)</f>
        <v>2035</v>
      </c>
    </row>
    <row r="2" spans="1:29" ht="13" x14ac:dyDescent="0.3">
      <c r="A2" s="364" t="s">
        <v>521</v>
      </c>
      <c r="X2" t="s">
        <v>416</v>
      </c>
    </row>
    <row r="3" spans="1:29" ht="13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3.9524273935769543</v>
      </c>
      <c r="Y4" s="11">
        <f>'Occ T1'!D8-'Occ T1'!C8</f>
        <v>1.4552194827984977</v>
      </c>
      <c r="Z4" s="11">
        <f>'Occ T1'!E8-'Occ T1'!D8</f>
        <v>-2.9635432414324612</v>
      </c>
      <c r="AA4" s="11">
        <f>'Occ T1'!F8-'Occ T1'!E8</f>
        <v>4.3893550355908815</v>
      </c>
      <c r="AB4" s="11">
        <f>'Occ T1'!D8-'Occ T1'!B8</f>
        <v>5.4076468763754519</v>
      </c>
      <c r="AC4" s="11">
        <f>'Occ T1'!F8-'Occ T1'!D8</f>
        <v>1.4258117941584203</v>
      </c>
    </row>
    <row r="5" spans="1:29" x14ac:dyDescent="0.25">
      <c r="W5" s="10" t="str">
        <f>name!E5</f>
        <v>Professional occupations</v>
      </c>
      <c r="X5" s="11">
        <f>'Occ T1'!C9-'Occ T1'!B9</f>
        <v>11.346268904764429</v>
      </c>
      <c r="Y5" s="11">
        <f>'Occ T1'!D9-'Occ T1'!C9</f>
        <v>4.4836566901636417</v>
      </c>
      <c r="Z5" s="11">
        <f>'Occ T1'!E9-'Occ T1'!D9</f>
        <v>6.4185548142397266</v>
      </c>
      <c r="AA5" s="11">
        <f>'Occ T1'!F9-'Occ T1'!E9</f>
        <v>11.77682944462245</v>
      </c>
      <c r="AB5" s="11">
        <f>'Occ T1'!D9-'Occ T1'!B9</f>
        <v>15.829925594928071</v>
      </c>
      <c r="AC5" s="11">
        <f>'Occ T1'!F9-'Occ T1'!D9</f>
        <v>18.195384258862177</v>
      </c>
    </row>
    <row r="6" spans="1:29" x14ac:dyDescent="0.25">
      <c r="W6" s="10" t="str">
        <f>name!E6</f>
        <v>Associate professional occupations</v>
      </c>
      <c r="X6" s="11">
        <f>'Occ T1'!C10-'Occ T1'!B10</f>
        <v>2.5889966680571703</v>
      </c>
      <c r="Y6" s="11">
        <f>'Occ T1'!D10-'Occ T1'!C10</f>
        <v>2.0992199787569845</v>
      </c>
      <c r="Z6" s="11">
        <f>'Occ T1'!E10-'Occ T1'!D10</f>
        <v>4.3434487569152509</v>
      </c>
      <c r="AA6" s="11">
        <f>'Occ T1'!F10-'Occ T1'!E10</f>
        <v>6.3508938848332406</v>
      </c>
      <c r="AB6" s="11">
        <f>'Occ T1'!D10-'Occ T1'!B10</f>
        <v>4.6882166468141548</v>
      </c>
      <c r="AC6" s="11">
        <f>'Occ T1'!F10-'Occ T1'!D10</f>
        <v>10.694342641748491</v>
      </c>
    </row>
    <row r="7" spans="1:29" x14ac:dyDescent="0.25">
      <c r="W7" s="10" t="str">
        <f>name!E7</f>
        <v>Administrative and secretarial occupations</v>
      </c>
      <c r="X7" s="11">
        <f>'Occ T1'!C11-'Occ T1'!B11</f>
        <v>-5.4779378206172993</v>
      </c>
      <c r="Y7" s="11">
        <f>'Occ T1'!D11-'Occ T1'!C11</f>
        <v>1.8183853679680908</v>
      </c>
      <c r="Z7" s="11">
        <f>'Occ T1'!E11-'Occ T1'!D11</f>
        <v>1.0242946475112191</v>
      </c>
      <c r="AA7" s="11">
        <f>'Occ T1'!F11-'Occ T1'!E11</f>
        <v>-3.9754240347085599</v>
      </c>
      <c r="AB7" s="11">
        <f>'Occ T1'!D11-'Occ T1'!B11</f>
        <v>-3.6595524526492085</v>
      </c>
      <c r="AC7" s="11">
        <f>'Occ T1'!F11-'Occ T1'!D11</f>
        <v>-2.9511293871973407</v>
      </c>
    </row>
    <row r="8" spans="1:29" x14ac:dyDescent="0.25">
      <c r="W8" s="10" t="str">
        <f>name!E8</f>
        <v>Skilled trades occupations</v>
      </c>
      <c r="X8" s="11">
        <f>'Occ T1'!C12-'Occ T1'!B12</f>
        <v>0.63716290273828236</v>
      </c>
      <c r="Y8" s="11">
        <f>'Occ T1'!D12-'Occ T1'!C12</f>
        <v>-9.7030435986156789</v>
      </c>
      <c r="Z8" s="11">
        <f>'Occ T1'!E12-'Occ T1'!D12</f>
        <v>-1.1987673019664342</v>
      </c>
      <c r="AA8" s="11">
        <f>'Occ T1'!F12-'Occ T1'!E12</f>
        <v>-4.2711560693329815</v>
      </c>
      <c r="AB8" s="11">
        <f>'Occ T1'!D12-'Occ T1'!B12</f>
        <v>-9.0658806958773965</v>
      </c>
      <c r="AC8" s="11">
        <f>'Occ T1'!F12-'Occ T1'!D12</f>
        <v>-5.4699233712994157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0.97951788275135243</v>
      </c>
      <c r="Y9" s="11">
        <f>'Occ T1'!D13-'Occ T1'!C13</f>
        <v>-2.1197540853035477</v>
      </c>
      <c r="Z9" s="11">
        <f>'Occ T1'!E13-'Occ T1'!D13</f>
        <v>0.95957667129025026</v>
      </c>
      <c r="AA9" s="11">
        <f>'Occ T1'!F13-'Occ T1'!E13</f>
        <v>3.6221582333224873</v>
      </c>
      <c r="AB9" s="11">
        <f>'Occ T1'!D13-'Occ T1'!B13</f>
        <v>-1.1402362025521953</v>
      </c>
      <c r="AC9" s="11">
        <f>'Occ T1'!F13-'Occ T1'!D13</f>
        <v>4.5817349046127376</v>
      </c>
    </row>
    <row r="10" spans="1:29" x14ac:dyDescent="0.25">
      <c r="W10" s="10" t="str">
        <f>name!E10</f>
        <v>Sales and customer service occupations</v>
      </c>
      <c r="X10" s="11">
        <f>'Occ T1'!C14-'Occ T1'!B14</f>
        <v>-3.7282336102032616</v>
      </c>
      <c r="Y10" s="11">
        <f>'Occ T1'!D14-'Occ T1'!C14</f>
        <v>-0.24447129109383781</v>
      </c>
      <c r="Z10" s="11">
        <f>'Occ T1'!E14-'Occ T1'!D14</f>
        <v>3.2682107066428046E-2</v>
      </c>
      <c r="AA10" s="11">
        <f>'Occ T1'!F14-'Occ T1'!E14</f>
        <v>-0.29138524380997666</v>
      </c>
      <c r="AB10" s="11">
        <f>'Occ T1'!D14-'Occ T1'!B14</f>
        <v>-3.9727049012970994</v>
      </c>
      <c r="AC10" s="11">
        <f>'Occ T1'!F14-'Occ T1'!D14</f>
        <v>-0.25870313674354861</v>
      </c>
    </row>
    <row r="11" spans="1:29" x14ac:dyDescent="0.25">
      <c r="W11" s="10" t="str">
        <f>name!E11</f>
        <v>Process, plant and machine operatives</v>
      </c>
      <c r="X11" s="11">
        <f>'Occ T1'!C15-'Occ T1'!B15</f>
        <v>-0.56821521408122067</v>
      </c>
      <c r="Y11" s="11">
        <f>'Occ T1'!D15-'Occ T1'!C15</f>
        <v>-6.214094539697868</v>
      </c>
      <c r="Z11" s="11">
        <f>'Occ T1'!E15-'Occ T1'!D15</f>
        <v>1.3699312698277311</v>
      </c>
      <c r="AA11" s="11">
        <f>'Occ T1'!F15-'Occ T1'!E15</f>
        <v>-1.5285678432163934</v>
      </c>
      <c r="AB11" s="11">
        <f>'Occ T1'!D15-'Occ T1'!B15</f>
        <v>-6.7823097537790886</v>
      </c>
      <c r="AC11" s="11">
        <f>'Occ T1'!F15-'Occ T1'!D15</f>
        <v>-0.15863657338866233</v>
      </c>
    </row>
    <row r="12" spans="1:29" x14ac:dyDescent="0.25">
      <c r="W12" s="10" t="str">
        <f>name!E12</f>
        <v>Elementary occupations</v>
      </c>
      <c r="X12" s="11">
        <f>'Occ T1'!C16-'Occ T1'!B16</f>
        <v>-5.360987106986812</v>
      </c>
      <c r="Y12" s="11">
        <f>'Occ T1'!D16-'Occ T1'!C16</f>
        <v>-5.3121180049762557</v>
      </c>
      <c r="Z12" s="11">
        <f>'Occ T1'!E16-'Occ T1'!D16</f>
        <v>1.9478222765486777</v>
      </c>
      <c r="AA12" s="11">
        <f>'Occ T1'!F16-'Occ T1'!E16</f>
        <v>-2.2567034073016927</v>
      </c>
      <c r="AB12" s="11">
        <f>'Occ T1'!D16-'Occ T1'!B16</f>
        <v>-10.673105111963068</v>
      </c>
      <c r="AC12" s="11">
        <f>'Occ T1'!F16-'Occ T1'!D16</f>
        <v>-0.30888113075301504</v>
      </c>
    </row>
    <row r="14" spans="1:29" x14ac:dyDescent="0.25">
      <c r="W14" s="10" t="str">
        <f>name!E3</f>
        <v>All occupations</v>
      </c>
      <c r="X14" s="11">
        <f>'Occ T1'!C18-'Occ T1'!B18</f>
        <v>4.3689999999995166</v>
      </c>
      <c r="Y14" s="11">
        <f>'Occ T1'!D18-'Occ T1'!C18</f>
        <v>-13.736999999999966</v>
      </c>
      <c r="Z14" s="11">
        <f>'Occ T1'!E18-'Occ T1'!D18</f>
        <v>11.934000000000424</v>
      </c>
      <c r="AA14" s="11">
        <f>'Occ T1'!F18-'Occ T1'!E18</f>
        <v>13.815999999999406</v>
      </c>
      <c r="AB14" s="11">
        <f>'Occ T1'!D18-'Occ T1'!B18</f>
        <v>-9.3680000000004497</v>
      </c>
      <c r="AC14" s="11">
        <f>'Occ T1'!F18-'Occ T1'!D18</f>
        <v>25.749999999999829</v>
      </c>
    </row>
    <row r="17" spans="23:26" x14ac:dyDescent="0.25">
      <c r="Y17" s="83" t="s">
        <v>440</v>
      </c>
      <c r="Z17" s="83" t="s">
        <v>441</v>
      </c>
    </row>
    <row r="18" spans="23:26" x14ac:dyDescent="0.25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5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5">
      <c r="Z26" s="83"/>
    </row>
    <row r="27" spans="23:26" x14ac:dyDescent="0.25">
      <c r="Z27" s="83"/>
    </row>
    <row r="28" spans="23:26" x14ac:dyDescent="0.25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80" t="str">
        <f>CONCATENATE("Occupation Figure 4  Occupational Change by Gender (000s) (SOC 2020), ",N1,", ",Info!B5)</f>
        <v>Occupation Figure 4  Occupational Change by Gender (000s) (SOC 2020), 2020-2035, Black Country</v>
      </c>
      <c r="M1" s="83" t="s">
        <v>19</v>
      </c>
      <c r="N1" t="str">
        <f>'Occ T1'!F62</f>
        <v>2020-2035</v>
      </c>
    </row>
    <row r="2" spans="1:16" ht="13" x14ac:dyDescent="0.3">
      <c r="A2" s="364" t="s">
        <v>521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5">
      <c r="M3" s="10" t="str">
        <f>name!E4</f>
        <v>Managers, directors and senior officials</v>
      </c>
      <c r="N3" s="11">
        <f>'Occ T1'!F64</f>
        <v>1.4258117941584203</v>
      </c>
      <c r="O3" s="11">
        <f>'Occ T1'!AB64</f>
        <v>1.7830188812056278</v>
      </c>
      <c r="P3" s="11">
        <f>'Occ T1'!Q64</f>
        <v>-0.35720708704726434</v>
      </c>
    </row>
    <row r="4" spans="1:16" x14ac:dyDescent="0.25">
      <c r="M4" s="10" t="str">
        <f>name!E5</f>
        <v>Professional occupations</v>
      </c>
      <c r="N4" s="11">
        <f>'Occ T1'!F65</f>
        <v>18.195384258862177</v>
      </c>
      <c r="O4" s="11">
        <f>'Occ T1'!AB65</f>
        <v>8.4690861567320681</v>
      </c>
      <c r="P4" s="11">
        <f>'Occ T1'!Q65</f>
        <v>9.7262981021300732</v>
      </c>
    </row>
    <row r="5" spans="1:16" x14ac:dyDescent="0.25">
      <c r="M5" s="10" t="str">
        <f>name!E6</f>
        <v>Associate professional occupations</v>
      </c>
      <c r="N5" s="11">
        <f>'Occ T1'!F66</f>
        <v>10.694342641748491</v>
      </c>
      <c r="O5" s="11">
        <f>'Occ T1'!AB66</f>
        <v>11.079510330737847</v>
      </c>
      <c r="P5" s="11">
        <f>'Occ T1'!Q66</f>
        <v>-0.38516768898934117</v>
      </c>
    </row>
    <row r="6" spans="1:16" x14ac:dyDescent="0.25">
      <c r="M6" s="10" t="str">
        <f>name!E7</f>
        <v>Administrative and secretarial occupations</v>
      </c>
      <c r="N6" s="11">
        <f>'Occ T1'!F67</f>
        <v>-2.9511293871973407</v>
      </c>
      <c r="O6" s="11">
        <f>'Occ T1'!AB67</f>
        <v>-6.3775980186378973</v>
      </c>
      <c r="P6" s="11">
        <f>'Occ T1'!Q67</f>
        <v>3.4264686314405459</v>
      </c>
    </row>
    <row r="7" spans="1:16" x14ac:dyDescent="0.25">
      <c r="M7" s="10" t="str">
        <f>name!E8</f>
        <v>Skilled trades occupations</v>
      </c>
      <c r="N7" s="11">
        <f>'Occ T1'!F68</f>
        <v>-5.4699233712994157</v>
      </c>
      <c r="O7" s="11">
        <f>'Occ T1'!AB68</f>
        <v>0.3979725432080885</v>
      </c>
      <c r="P7" s="11">
        <f>'Occ T1'!Q68</f>
        <v>-5.8678959145074927</v>
      </c>
    </row>
    <row r="8" spans="1:16" x14ac:dyDescent="0.25">
      <c r="M8" s="10" t="str">
        <f>name!E9</f>
        <v>Caring, leisure and other service occupations</v>
      </c>
      <c r="N8" s="11">
        <f>'Occ T1'!F69</f>
        <v>4.5817349046127376</v>
      </c>
      <c r="O8" s="11">
        <f>'Occ T1'!AB69</f>
        <v>3.2612268633044152</v>
      </c>
      <c r="P8" s="11">
        <f>'Occ T1'!Q69</f>
        <v>1.3205080413083401</v>
      </c>
    </row>
    <row r="9" spans="1:16" x14ac:dyDescent="0.25">
      <c r="M9" s="10" t="str">
        <f>name!E10</f>
        <v>Sales and customer service occupations</v>
      </c>
      <c r="N9" s="11">
        <f>'Occ T1'!F70</f>
        <v>-0.25870313674354861</v>
      </c>
      <c r="O9" s="11">
        <f>'Occ T1'!AB70</f>
        <v>-1.3157675291981619</v>
      </c>
      <c r="P9" s="11">
        <f>'Occ T1'!Q70</f>
        <v>1.0570643924546381</v>
      </c>
    </row>
    <row r="10" spans="1:16" x14ac:dyDescent="0.25">
      <c r="M10" s="10" t="str">
        <f>name!E11</f>
        <v>Process, plant and machine operatives</v>
      </c>
      <c r="N10" s="11">
        <f>'Occ T1'!F71</f>
        <v>-0.15863657338866233</v>
      </c>
      <c r="O10" s="11">
        <f>'Occ T1'!AB71</f>
        <v>1.1255063458547223</v>
      </c>
      <c r="P10" s="11">
        <f>'Occ T1'!Q71</f>
        <v>-1.2841429192434219</v>
      </c>
    </row>
    <row r="11" spans="1:16" x14ac:dyDescent="0.25">
      <c r="M11" s="10" t="str">
        <f>name!E12</f>
        <v>Elementary occupations</v>
      </c>
      <c r="N11" s="11">
        <f>'Occ T1'!F72</f>
        <v>-0.30888113075301504</v>
      </c>
      <c r="O11" s="11">
        <f>'Occ T1'!AB72</f>
        <v>-1.018019175199214</v>
      </c>
      <c r="P11" s="11">
        <f>'Occ T1'!Q72</f>
        <v>0.70913804444616702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25.749999999999829</v>
      </c>
      <c r="O13" s="11">
        <f>'Occ T1'!AB74</f>
        <v>17.404936398007521</v>
      </c>
      <c r="P13" s="11">
        <f>'Occ T1'!Q74</f>
        <v>8.3450636019922513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80" t="str">
        <f>CONCATENATE("Occupation Figure 5  Occupational Change by Status (000s) (SOC 2020), ",N1,", ",Info!B5)</f>
        <v>Occupation Figure 5  Occupational Change by Status (000s) (SOC 2020), 2020-2035, Black Country</v>
      </c>
      <c r="M1" s="83" t="s">
        <v>19</v>
      </c>
      <c r="N1" t="str">
        <f>'Ind Occ T2'!G6&amp;"-"&amp;'Ind Occ T2'!L6</f>
        <v>2020-2035</v>
      </c>
    </row>
    <row r="2" spans="1:16" ht="13" x14ac:dyDescent="0.3">
      <c r="A2" s="364" t="s">
        <v>521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5">
      <c r="M3" s="10" t="str">
        <f>name!E4</f>
        <v>Managers, directors and senior officials</v>
      </c>
      <c r="N3" s="11">
        <f>'Occ T5'!I44</f>
        <v>0.60559692774230367</v>
      </c>
      <c r="O3" s="11">
        <f>'Occ T5'!H44</f>
        <v>1.1074753511642967</v>
      </c>
      <c r="P3" s="11">
        <f>'Occ T5'!G44</f>
        <v>-0.28726048474828048</v>
      </c>
    </row>
    <row r="4" spans="1:16" x14ac:dyDescent="0.25">
      <c r="M4" s="10" t="str">
        <f>name!E5</f>
        <v>Professional occupations</v>
      </c>
      <c r="N4" s="11">
        <f>'Occ T5'!I45</f>
        <v>-0.72323028969761083</v>
      </c>
      <c r="O4" s="11">
        <f>'Occ T5'!H45</f>
        <v>4.668839839479908</v>
      </c>
      <c r="P4" s="11">
        <f>'Occ T5'!G45</f>
        <v>14.249774709079901</v>
      </c>
    </row>
    <row r="5" spans="1:16" x14ac:dyDescent="0.25">
      <c r="M5" s="10" t="str">
        <f>name!E6</f>
        <v>Associate professional occupations</v>
      </c>
      <c r="N5" s="11">
        <f>'Occ T5'!I46</f>
        <v>0.29298384140115097</v>
      </c>
      <c r="O5" s="11">
        <f>'Occ T5'!H46</f>
        <v>3.896740366550917</v>
      </c>
      <c r="P5" s="11">
        <f>'Occ T5'!G46</f>
        <v>6.5046184337964519</v>
      </c>
    </row>
    <row r="6" spans="1:16" x14ac:dyDescent="0.25">
      <c r="M6" s="10" t="str">
        <f>name!E7</f>
        <v>Administrative and secretarial occupations</v>
      </c>
      <c r="N6" s="11">
        <f>'Occ T5'!I47</f>
        <v>-0.20415079775819689</v>
      </c>
      <c r="O6" s="11">
        <f>'Occ T5'!H47</f>
        <v>-2.8135822080758714</v>
      </c>
      <c r="P6" s="11">
        <f>'Occ T5'!G47</f>
        <v>6.6603618636719375E-2</v>
      </c>
    </row>
    <row r="7" spans="1:16" x14ac:dyDescent="0.25">
      <c r="M7" s="10" t="str">
        <f>name!E8</f>
        <v>Skilled trades occupations</v>
      </c>
      <c r="N7" s="11">
        <f>'Occ T5'!I48</f>
        <v>0.25996926950360333</v>
      </c>
      <c r="O7" s="11">
        <f>'Occ T5'!H48</f>
        <v>0.74480451899973943</v>
      </c>
      <c r="P7" s="11">
        <f>'Occ T5'!G48</f>
        <v>-6.4746971598027834</v>
      </c>
    </row>
    <row r="8" spans="1:16" x14ac:dyDescent="0.25">
      <c r="M8" s="10" t="str">
        <f>name!E9</f>
        <v>Caring, leisure and other service occupations</v>
      </c>
      <c r="N8" s="11">
        <f>'Occ T5'!I49</f>
        <v>0.95412783797023559</v>
      </c>
      <c r="O8" s="11">
        <f>'Occ T5'!H49</f>
        <v>-9.1719547650075839E-2</v>
      </c>
      <c r="P8" s="11">
        <f>'Occ T5'!G49</f>
        <v>3.7193266142925658</v>
      </c>
    </row>
    <row r="9" spans="1:16" x14ac:dyDescent="0.25">
      <c r="M9" s="10" t="str">
        <f>name!E10</f>
        <v>Sales and customer service occupations</v>
      </c>
      <c r="N9" s="11">
        <f>'Occ T5'!I50</f>
        <v>-0.30715457981355176</v>
      </c>
      <c r="O9" s="11">
        <f>'Occ T5'!H50</f>
        <v>8.9791488116198082E-2</v>
      </c>
      <c r="P9" s="11">
        <f>'Occ T5'!G50</f>
        <v>-4.1340045046158735E-2</v>
      </c>
    </row>
    <row r="10" spans="1:16" x14ac:dyDescent="0.25">
      <c r="M10" s="10" t="str">
        <f>name!E11</f>
        <v>Process, plant and machine operatives</v>
      </c>
      <c r="N10" s="11">
        <f>'Occ T5'!I51</f>
        <v>1.3917716101557138</v>
      </c>
      <c r="O10" s="11">
        <f>'Occ T5'!H51</f>
        <v>1.0012849937463946</v>
      </c>
      <c r="P10" s="11">
        <f>'Occ T5'!G51</f>
        <v>-2.5516931772907938</v>
      </c>
    </row>
    <row r="11" spans="1:16" x14ac:dyDescent="0.25">
      <c r="M11" s="10" t="str">
        <f>name!E12</f>
        <v>Elementary occupations</v>
      </c>
      <c r="N11" s="11">
        <f>'Occ T5'!I52</f>
        <v>1.332911329198665</v>
      </c>
      <c r="O11" s="11">
        <f>'Occ T5'!H52</f>
        <v>-3.1621975121292323</v>
      </c>
      <c r="P11" s="11">
        <f>'Occ T5'!G52</f>
        <v>1.5204050521774874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3.6028251487023084</v>
      </c>
      <c r="O13" s="11">
        <f>'Occ T5'!H54</f>
        <v>5.4414372902022876</v>
      </c>
      <c r="P13" s="11">
        <f>'Occ T5'!G54</f>
        <v>16.705737561095077</v>
      </c>
    </row>
    <row r="16" spans="1:16" x14ac:dyDescent="0.25">
      <c r="M16" s="83" t="s">
        <v>19</v>
      </c>
      <c r="N16" t="str">
        <f>N1</f>
        <v>2020-2035</v>
      </c>
    </row>
    <row r="17" spans="13:16" ht="13" x14ac:dyDescent="0.3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5">
      <c r="M18" s="10" t="str">
        <f>M3</f>
        <v>Managers, directors and senior officials</v>
      </c>
      <c r="N18" s="11">
        <f>'Occ T5'!AO44</f>
        <v>0.1893462422243446</v>
      </c>
      <c r="O18" s="11">
        <f>'Occ T5'!AN44</f>
        <v>0.83013942865801349</v>
      </c>
      <c r="P18" s="11">
        <f>'Occ T5'!AM44</f>
        <v>0.7635332103232475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0.18937346564651447</v>
      </c>
      <c r="O19" s="11">
        <f>'Occ T5'!AN45</f>
        <v>2.9781676593616915</v>
      </c>
      <c r="P19" s="11">
        <f>'Occ T5'!AM45</f>
        <v>5.3015450317239008</v>
      </c>
    </row>
    <row r="20" spans="13:16" x14ac:dyDescent="0.25">
      <c r="M20" s="10" t="str">
        <f t="shared" si="0"/>
        <v>Associate professional occupations</v>
      </c>
      <c r="N20" s="11">
        <f>'Occ T5'!AO46</f>
        <v>4.6744078089476115E-2</v>
      </c>
      <c r="O20" s="11">
        <f>'Occ T5'!AN46</f>
        <v>3.6814584912563237</v>
      </c>
      <c r="P20" s="11">
        <f>'Occ T5'!AM46</f>
        <v>7.3513077613920395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-0.38398713222560854</v>
      </c>
      <c r="O21" s="11">
        <f>'Occ T5'!AN47</f>
        <v>-3.0674853697983124</v>
      </c>
      <c r="P21" s="11">
        <f>'Occ T5'!AM47</f>
        <v>-2.926125516613947</v>
      </c>
    </row>
    <row r="22" spans="13:16" x14ac:dyDescent="0.25">
      <c r="M22" s="10" t="str">
        <f t="shared" si="0"/>
        <v>Skilled trades occupations</v>
      </c>
      <c r="N22" s="11">
        <f>'Occ T5'!AO48</f>
        <v>0.20331299854023688</v>
      </c>
      <c r="O22" s="11">
        <f>'Occ T5'!AN48</f>
        <v>9.688604538831358E-2</v>
      </c>
      <c r="P22" s="11">
        <f>'Occ T5'!AM48</f>
        <v>9.7773499279538045E-2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0.62348820171453267</v>
      </c>
      <c r="O23" s="11">
        <f>'Occ T5'!AN49</f>
        <v>-0.71552140485717075</v>
      </c>
      <c r="P23" s="11">
        <f>'Occ T5'!AM49</f>
        <v>3.353260066447028</v>
      </c>
    </row>
    <row r="24" spans="13:16" x14ac:dyDescent="0.25">
      <c r="M24" s="10" t="str">
        <f t="shared" si="0"/>
        <v>Sales and customer service occupations</v>
      </c>
      <c r="N24" s="11">
        <f>'Occ T5'!AO50</f>
        <v>-0.19678794556677326</v>
      </c>
      <c r="O24" s="11">
        <f>'Occ T5'!AN50</f>
        <v>-0.60932062924115726</v>
      </c>
      <c r="P24" s="11">
        <f>'Occ T5'!AM50</f>
        <v>-0.50965895439022812</v>
      </c>
    </row>
    <row r="25" spans="13:16" x14ac:dyDescent="0.25">
      <c r="M25" s="10" t="str">
        <f t="shared" si="0"/>
        <v>Process, plant and machine operatives</v>
      </c>
      <c r="N25" s="11">
        <f>'Occ T5'!AO51</f>
        <v>8.5068675290709217E-2</v>
      </c>
      <c r="O25" s="11">
        <f>'Occ T5'!AN51</f>
        <v>0.60655508613569475</v>
      </c>
      <c r="P25" s="11">
        <f>'Occ T5'!AM51</f>
        <v>0.43388258442831473</v>
      </c>
    </row>
    <row r="26" spans="13:16" x14ac:dyDescent="0.25">
      <c r="M26" s="10" t="str">
        <f t="shared" si="0"/>
        <v>Elementary occupations</v>
      </c>
      <c r="N26" s="11">
        <f>'Occ T5'!AO52</f>
        <v>0.62964900081526665</v>
      </c>
      <c r="O26" s="11">
        <f>'Occ T5'!AN52</f>
        <v>-2.1220448898079951</v>
      </c>
      <c r="P26" s="11">
        <f>'Occ T5'!AM52</f>
        <v>0.474376713793494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1.3862075845286981</v>
      </c>
      <c r="O28" s="11">
        <f>'Occ T5'!AN54</f>
        <v>1.6788344170954161</v>
      </c>
      <c r="P28" s="11">
        <f>'Occ T5'!AM54</f>
        <v>14.339894396383357</v>
      </c>
    </row>
    <row r="31" spans="13:16" x14ac:dyDescent="0.25">
      <c r="M31" s="83" t="s">
        <v>19</v>
      </c>
      <c r="N31" t="str">
        <f>N1</f>
        <v>2020-2035</v>
      </c>
    </row>
    <row r="32" spans="13:16" ht="13" x14ac:dyDescent="0.3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5">
      <c r="M33" s="10" t="str">
        <f>M3</f>
        <v>Managers, directors and senior officials</v>
      </c>
      <c r="N33" s="11">
        <f>'Occ T5'!Y44</f>
        <v>0.41625068551795241</v>
      </c>
      <c r="O33" s="11">
        <f>'Occ T5'!X44</f>
        <v>0.27733592250628059</v>
      </c>
      <c r="P33" s="11">
        <f>'Occ T5'!W44</f>
        <v>-1.0507936950715226</v>
      </c>
    </row>
    <row r="34" spans="1:16" x14ac:dyDescent="0.25">
      <c r="M34" s="10" t="str">
        <f t="shared" ref="M34:M43" si="1">M4</f>
        <v>Professional occupations</v>
      </c>
      <c r="N34" s="11">
        <f>'Occ T5'!Y45</f>
        <v>-0.91260375534413019</v>
      </c>
      <c r="O34" s="11">
        <f>'Occ T5'!X45</f>
        <v>1.6906721801182165</v>
      </c>
      <c r="P34" s="11">
        <f>'Occ T5'!W45</f>
        <v>8.9482296773560108</v>
      </c>
    </row>
    <row r="35" spans="1:16" x14ac:dyDescent="0.25">
      <c r="M35" s="10" t="str">
        <f t="shared" si="1"/>
        <v>Associate professional occupations</v>
      </c>
      <c r="N35" s="11">
        <f>'Occ T5'!Y46</f>
        <v>0.24623976331167352</v>
      </c>
      <c r="O35" s="11">
        <f>'Occ T5'!X46</f>
        <v>0.21528187529459419</v>
      </c>
      <c r="P35" s="11">
        <f>'Occ T5'!W46</f>
        <v>-0.84668932759557336</v>
      </c>
    </row>
    <row r="36" spans="1:16" x14ac:dyDescent="0.25">
      <c r="M36" s="10" t="str">
        <f t="shared" si="1"/>
        <v>Administrative and secretarial occupations</v>
      </c>
      <c r="N36" s="11">
        <f>'Occ T5'!Y47</f>
        <v>0.17983633446741065</v>
      </c>
      <c r="O36" s="11">
        <f>'Occ T5'!X47</f>
        <v>0.25390316172245875</v>
      </c>
      <c r="P36" s="11">
        <f>'Occ T5'!W47</f>
        <v>2.9927291352506593</v>
      </c>
    </row>
    <row r="37" spans="1:16" x14ac:dyDescent="0.25">
      <c r="M37" s="10" t="str">
        <f t="shared" si="1"/>
        <v>Skilled trades occupations</v>
      </c>
      <c r="N37" s="11">
        <f>'Occ T5'!Y48</f>
        <v>5.6656270963379995E-2</v>
      </c>
      <c r="O37" s="11">
        <f>'Occ T5'!X48</f>
        <v>0.64791847361142718</v>
      </c>
      <c r="P37" s="11">
        <f>'Occ T5'!W48</f>
        <v>-6.5724706590823061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0.33063963625570436</v>
      </c>
      <c r="O38" s="11">
        <f>'Occ T5'!X49</f>
        <v>0.62380185720708781</v>
      </c>
      <c r="P38" s="11">
        <f>'Occ T5'!W49</f>
        <v>0.3660665478455476</v>
      </c>
    </row>
    <row r="39" spans="1:16" x14ac:dyDescent="0.25">
      <c r="M39" s="10" t="str">
        <f t="shared" si="1"/>
        <v>Sales and customer service occupations</v>
      </c>
      <c r="N39" s="11">
        <f>'Occ T5'!Y50</f>
        <v>-0.11036663424677862</v>
      </c>
      <c r="O39" s="11">
        <f>'Occ T5'!X50</f>
        <v>0.69911211735735002</v>
      </c>
      <c r="P39" s="11">
        <f>'Occ T5'!W50</f>
        <v>0.46831890934405607</v>
      </c>
    </row>
    <row r="40" spans="1:16" ht="15.5" x14ac:dyDescent="0.35">
      <c r="A40" s="80" t="str">
        <f>CONCATENATE("Occupation Figure 5.1 Females:  Occupational Change by Status (000s) (SOC 2020), ",N1,", ",Info!B5)</f>
        <v>Occupation Figure 5.1 Females:  Occupational Change by Status (000s) (SOC 2020), 2020-2035, Black Country</v>
      </c>
      <c r="M40" s="10" t="str">
        <f t="shared" si="1"/>
        <v>Process, plant and machine operatives</v>
      </c>
      <c r="N40" s="11">
        <f>'Occ T5'!Y51</f>
        <v>1.3067029348650028</v>
      </c>
      <c r="O40" s="11">
        <f>'Occ T5'!X51</f>
        <v>0.39472990761069937</v>
      </c>
      <c r="P40" s="11">
        <f>'Occ T5'!W51</f>
        <v>-2.9855757617191117</v>
      </c>
    </row>
    <row r="41" spans="1:16" x14ac:dyDescent="0.25">
      <c r="M41" s="10" t="str">
        <f t="shared" si="1"/>
        <v>Elementary occupations</v>
      </c>
      <c r="N41" s="11">
        <f>'Occ T5'!Y52</f>
        <v>0.70326232838339653</v>
      </c>
      <c r="O41" s="11">
        <f>'Occ T5'!X52</f>
        <v>-1.0401526223212283</v>
      </c>
      <c r="P41" s="11">
        <f>'Occ T5'!W52</f>
        <v>1.0460283383840085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2.2166175641736245</v>
      </c>
      <c r="O43" s="11">
        <f>'Occ T5'!X54</f>
        <v>3.7626028731068786</v>
      </c>
      <c r="P43" s="11">
        <f>'Occ T5'!W54</f>
        <v>2.3658431647117766</v>
      </c>
    </row>
    <row r="79" spans="1:1" ht="15.5" x14ac:dyDescent="0.35">
      <c r="A79" s="80" t="str">
        <f>CONCATENATE("Occupation Figure 5.2 Males:  Occupational Change by Status (000s) (SOC 2020), ",N1,", ",Info!B5)</f>
        <v>Occupation Figure 5.2 Males:  Occupational Change by Status (000s) (SOC 2020), 2020-2035, Black Country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9" t="str">
        <f>CONCATENATE("Qualification Table 1  Employment by Qualification, ",B$3,"-",F$3,", ",Info!B5,", ",Info!B5)</f>
        <v>Qualification Table 1  Employment by Qualification, 2015-2035, Black Country, Black Country</v>
      </c>
    </row>
    <row r="2" spans="1:7" ht="13" x14ac:dyDescent="0.3">
      <c r="A2" s="1" t="s">
        <v>524</v>
      </c>
    </row>
    <row r="3" spans="1:7" ht="13" x14ac:dyDescent="0.3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ht="13" x14ac:dyDescent="0.3">
      <c r="A4" s="1" t="s">
        <v>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5.307311262104184</v>
      </c>
      <c r="C5" s="11">
        <f>HLOOKUP(C$3,'Qual F1'!$M$4:$BW$14,11,FALSE)</f>
        <v>7.3068406233037084</v>
      </c>
      <c r="D5" s="11">
        <f>HLOOKUP(D$3,'Qual F1'!$M$4:$BW$14,11,FALSE)</f>
        <v>7.0915685334472149</v>
      </c>
      <c r="E5" s="11">
        <f>HLOOKUP(E$3,'Qual F1'!$M$4:$BW$14,11,FALSE)</f>
        <v>9.1694021499465581</v>
      </c>
      <c r="F5" s="11">
        <f>HLOOKUP(F$3,'Qual F1'!$M$4:$BW$14,11,FALSE)</f>
        <v>13.476587127561645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34.372407642251233</v>
      </c>
      <c r="C6" s="11">
        <f>HLOOKUP(C$3,'Qual F1'!$M$4:$BW$14,10,FALSE)</f>
        <v>47.972540866402227</v>
      </c>
      <c r="D6" s="11">
        <f>HLOOKUP(D$3,'Qual F1'!$M$4:$BW$14,10,FALSE)</f>
        <v>47.91411092379191</v>
      </c>
      <c r="E6" s="11">
        <f>HLOOKUP(E$3,'Qual F1'!$M$4:$BW$14,10,FALSE)</f>
        <v>60.818658304566533</v>
      </c>
      <c r="F6" s="11">
        <f>HLOOKUP(F$3,'Qual F1'!$M$4:$BW$14,10,FALSE)</f>
        <v>89.274782430541478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83.671480205468967</v>
      </c>
      <c r="C7" s="11">
        <f>HLOOKUP(C$3,'Qual F1'!$M$4:$BW$14,9,FALSE)</f>
        <v>81.914992761114377</v>
      </c>
      <c r="D7" s="11">
        <f>HLOOKUP(D$3,'Qual F1'!$M$4:$BW$14,9,FALSE)</f>
        <v>91.033181866654573</v>
      </c>
      <c r="E7" s="11">
        <f>HLOOKUP(E$3,'Qual F1'!$M$4:$BW$14,9,FALSE)</f>
        <v>97.545774606448177</v>
      </c>
      <c r="F7" s="11">
        <f>HLOOKUP(F$3,'Qual F1'!$M$4:$BW$14,9,FALSE)</f>
        <v>112.29678035556751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27.262700234542443</v>
      </c>
      <c r="C8" s="11">
        <f>HLOOKUP(C$3,'Qual F1'!$M$4:$BW$14,8,FALSE)</f>
        <v>24.998245553760093</v>
      </c>
      <c r="D8" s="11">
        <f>HLOOKUP(D$3,'Qual F1'!$M$4:$BW$14,8,FALSE)</f>
        <v>27.828114439543217</v>
      </c>
      <c r="E8" s="11">
        <f>HLOOKUP(E$3,'Qual F1'!$M$4:$BW$14,8,FALSE)</f>
        <v>27.09209478806142</v>
      </c>
      <c r="F8" s="11">
        <f>HLOOKUP(F$3,'Qual F1'!$M$4:$BW$14,8,FALSE)</f>
        <v>29.363125462266989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26.614616285853966</v>
      </c>
      <c r="C9" s="11">
        <f>HLOOKUP(C$3,'Qual F1'!$M$4:$BW$14,7,FALSE)</f>
        <v>24.767108663845459</v>
      </c>
      <c r="D9" s="11">
        <f>HLOOKUP(D$3,'Qual F1'!$M$4:$BW$14,7,FALSE)</f>
        <v>26.960304923339123</v>
      </c>
      <c r="E9" s="11">
        <f>HLOOKUP(E$3,'Qual F1'!$M$4:$BW$14,7,FALSE)</f>
        <v>27.933787823735234</v>
      </c>
      <c r="F9" s="11">
        <f>HLOOKUP(F$3,'Qual F1'!$M$4:$BW$14,7,FALSE)</f>
        <v>31.755382202989395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101.26753787756158</v>
      </c>
      <c r="C10" s="11">
        <f>HLOOKUP(C$3,'Qual F1'!$M$4:$BW$14,6,FALSE)</f>
        <v>109.81054068418129</v>
      </c>
      <c r="D10" s="11">
        <f>HLOOKUP(D$3,'Qual F1'!$M$4:$BW$14,6,FALSE)</f>
        <v>104.45390013907588</v>
      </c>
      <c r="E10" s="11">
        <f>HLOOKUP(E$3,'Qual F1'!$M$4:$BW$14,6,FALSE)</f>
        <v>109.2768904531888</v>
      </c>
      <c r="F10" s="11">
        <f>HLOOKUP(F$3,'Qual F1'!$M$4:$BW$14,6,FALSE)</f>
        <v>110.31070181595217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111.83473985337399</v>
      </c>
      <c r="C11" s="11">
        <f>HLOOKUP(C$3,'Qual F1'!$M$4:$BW$14,5,FALSE)</f>
        <v>114.81041065304436</v>
      </c>
      <c r="D11" s="11">
        <f>HLOOKUP(D$3,'Qual F1'!$M$4:$BW$14,5,FALSE)</f>
        <v>99.097694185079277</v>
      </c>
      <c r="E11" s="11">
        <f>HLOOKUP(E$3,'Qual F1'!$M$4:$BW$14,5,FALSE)</f>
        <v>104.59848858249428</v>
      </c>
      <c r="F11" s="11">
        <f>HLOOKUP(F$3,'Qual F1'!$M$4:$BW$14,5,FALSE)</f>
        <v>91.39399146131467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74.233403679264697</v>
      </c>
      <c r="C12" s="11">
        <f>HLOOKUP(C$3,'Qual F1'!$M$4:$BW$14,4,FALSE)</f>
        <v>65.981308811181634</v>
      </c>
      <c r="D12" s="11">
        <f>HLOOKUP(D$3,'Qual F1'!$M$4:$BW$14,4,FALSE)</f>
        <v>60.025143488041671</v>
      </c>
      <c r="E12" s="11">
        <f>HLOOKUP(E$3,'Qual F1'!$M$4:$BW$14,4,FALSE)</f>
        <v>51.781456172775556</v>
      </c>
      <c r="F12" s="11">
        <f>HLOOKUP(F$3,'Qual F1'!$M$4:$BW$14,4,FALSE)</f>
        <v>31.922824506490045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40.997802959579182</v>
      </c>
      <c r="C13" s="11">
        <f>HLOOKUP(C$3,'Qual F1'!$M$4:$BW$14,3,FALSE)</f>
        <v>32.369011383166644</v>
      </c>
      <c r="D13" s="11">
        <f>HLOOKUP(D$3,'Qual F1'!$M$4:$BW$14,3,FALSE)</f>
        <v>31.789981501026656</v>
      </c>
      <c r="E13" s="11">
        <f>HLOOKUP(E$3,'Qual F1'!$M$4:$BW$14,3,FALSE)</f>
        <v>19.911447118783787</v>
      </c>
      <c r="F13" s="11">
        <f>HLOOKUP(F$3,'Qual F1'!$M$4:$BW$14,3,FALSE)</f>
        <v>12.149824637316074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505.5620000000003</v>
      </c>
      <c r="C15" s="11">
        <f t="shared" ref="C15:F15" si="0">SUM(C5:C13)</f>
        <v>509.93099999999981</v>
      </c>
      <c r="D15" s="11">
        <f t="shared" si="0"/>
        <v>496.19399999999951</v>
      </c>
      <c r="E15" s="11">
        <f t="shared" si="0"/>
        <v>508.12800000000033</v>
      </c>
      <c r="F15" s="11">
        <f t="shared" si="0"/>
        <v>521.94399999999996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18">
        <f t="shared" ref="B19:F21" si="1">B5/B$15*100</f>
        <v>1.0497844501968465</v>
      </c>
      <c r="C19" s="18">
        <f t="shared" si="1"/>
        <v>1.4329077116911328</v>
      </c>
      <c r="D19" s="18">
        <f t="shared" si="1"/>
        <v>1.4291927216869253</v>
      </c>
      <c r="E19" s="18">
        <f t="shared" si="1"/>
        <v>1.8045457345288101</v>
      </c>
      <c r="F19" s="18">
        <f t="shared" si="1"/>
        <v>2.5819986679723583</v>
      </c>
      <c r="G19" s="11"/>
    </row>
    <row r="20" spans="1:7" x14ac:dyDescent="0.25">
      <c r="A20" t="str">
        <f>$A6</f>
        <v>RQF7 Other higher degree</v>
      </c>
      <c r="B20" s="18">
        <f t="shared" si="1"/>
        <v>6.7988511087168764</v>
      </c>
      <c r="C20" s="18">
        <f t="shared" si="1"/>
        <v>9.4076533622004241</v>
      </c>
      <c r="D20" s="18">
        <f t="shared" si="1"/>
        <v>9.6563261393309787</v>
      </c>
      <c r="E20" s="18">
        <f t="shared" si="1"/>
        <v>11.96916098002206</v>
      </c>
      <c r="F20" s="18">
        <f t="shared" si="1"/>
        <v>17.104283683793948</v>
      </c>
      <c r="G20" s="11"/>
    </row>
    <row r="21" spans="1:7" x14ac:dyDescent="0.25">
      <c r="A21" t="str">
        <f>$A7</f>
        <v>RQF6 First degree</v>
      </c>
      <c r="B21" s="18">
        <f t="shared" si="1"/>
        <v>16.550191708528118</v>
      </c>
      <c r="C21" s="18">
        <f t="shared" si="1"/>
        <v>16.063936642627024</v>
      </c>
      <c r="D21" s="18">
        <f t="shared" si="1"/>
        <v>18.346288320022946</v>
      </c>
      <c r="E21" s="18">
        <f t="shared" si="1"/>
        <v>19.197087073817642</v>
      </c>
      <c r="F21" s="18">
        <f t="shared" si="1"/>
        <v>21.515101305037994</v>
      </c>
      <c r="G21" s="11"/>
    </row>
    <row r="22" spans="1:7" x14ac:dyDescent="0.25">
      <c r="A22" t="str">
        <f t="shared" ref="A22:A27" si="2">$A8</f>
        <v>RQF5 Foundation degree;Nursing;Teaching</v>
      </c>
      <c r="B22" s="18">
        <f t="shared" ref="B22:F22" si="3">B8/B$15*100</f>
        <v>5.3925532841753192</v>
      </c>
      <c r="C22" s="18">
        <f t="shared" si="3"/>
        <v>4.9022800248975065</v>
      </c>
      <c r="D22" s="18">
        <f t="shared" si="3"/>
        <v>5.6083133692755744</v>
      </c>
      <c r="E22" s="18">
        <f t="shared" si="3"/>
        <v>5.331746093122482</v>
      </c>
      <c r="F22" s="18">
        <f t="shared" si="3"/>
        <v>5.6257233462338858</v>
      </c>
      <c r="G22" s="11"/>
    </row>
    <row r="23" spans="1:7" x14ac:dyDescent="0.25">
      <c r="A23" t="str">
        <f t="shared" si="2"/>
        <v>RQF4 HE below degree level</v>
      </c>
      <c r="B23" s="18">
        <f t="shared" ref="B23:F23" si="4">B9/B$15*100</f>
        <v>5.2643624888448795</v>
      </c>
      <c r="C23" s="18">
        <f t="shared" si="4"/>
        <v>4.8569529336018924</v>
      </c>
      <c r="D23" s="18">
        <f t="shared" si="4"/>
        <v>5.433420179070918</v>
      </c>
      <c r="E23" s="18">
        <f t="shared" si="4"/>
        <v>5.4973919610285629</v>
      </c>
      <c r="F23" s="18">
        <f t="shared" si="4"/>
        <v>6.0840592483081322</v>
      </c>
      <c r="G23" s="11"/>
    </row>
    <row r="24" spans="1:7" x14ac:dyDescent="0.25">
      <c r="A24" t="str">
        <f t="shared" si="2"/>
        <v>RQF3 A level &amp; equivalent</v>
      </c>
      <c r="B24" s="18">
        <f t="shared" ref="B24:F24" si="5">B10/B$15*100</f>
        <v>20.03068622197901</v>
      </c>
      <c r="C24" s="18">
        <f t="shared" si="5"/>
        <v>21.534392042096155</v>
      </c>
      <c r="D24" s="18">
        <f t="shared" si="5"/>
        <v>21.051020395062412</v>
      </c>
      <c r="E24" s="18">
        <f t="shared" si="5"/>
        <v>21.505780128862952</v>
      </c>
      <c r="F24" s="18">
        <f t="shared" si="5"/>
        <v>21.134585667418762</v>
      </c>
      <c r="G24" s="11"/>
    </row>
    <row r="25" spans="1:7" x14ac:dyDescent="0.25">
      <c r="A25" t="str">
        <f t="shared" si="2"/>
        <v>RQF2 GCSE(A-C) &amp; equivalent</v>
      </c>
      <c r="B25" s="18">
        <f t="shared" ref="B25:F25" si="6">B11/B$15*100</f>
        <v>22.120875353245285</v>
      </c>
      <c r="C25" s="18">
        <f t="shared" si="6"/>
        <v>22.514891358447397</v>
      </c>
      <c r="D25" s="18">
        <f t="shared" si="6"/>
        <v>19.971562369774599</v>
      </c>
      <c r="E25" s="18">
        <f t="shared" si="6"/>
        <v>20.585066869468761</v>
      </c>
      <c r="F25" s="18">
        <f t="shared" si="6"/>
        <v>17.510305983269216</v>
      </c>
      <c r="G25" s="11"/>
    </row>
    <row r="26" spans="1:7" x14ac:dyDescent="0.25">
      <c r="A26" t="str">
        <f t="shared" si="2"/>
        <v>RQF1 GCSE(below grade C) &amp; equivalent</v>
      </c>
      <c r="B26" s="18">
        <f t="shared" ref="B26:F26" si="7">B12/B$15*100</f>
        <v>14.683343225809031</v>
      </c>
      <c r="C26" s="18">
        <f>C12/C$15*100</f>
        <v>12.939262137658163</v>
      </c>
      <c r="D26" s="18">
        <f t="shared" si="7"/>
        <v>12.097111913493862</v>
      </c>
      <c r="E26" s="18">
        <f t="shared" si="7"/>
        <v>10.190632315632188</v>
      </c>
      <c r="F26" s="18">
        <f t="shared" si="7"/>
        <v>6.1161397595316833</v>
      </c>
      <c r="G26" s="11"/>
    </row>
    <row r="27" spans="1:7" x14ac:dyDescent="0.25">
      <c r="A27" t="str">
        <f t="shared" si="2"/>
        <v>No Qualification</v>
      </c>
      <c r="B27" s="18">
        <f t="shared" ref="B27:F27" si="8">B13/B$15*100</f>
        <v>8.1093521585046258</v>
      </c>
      <c r="C27" s="18">
        <f>C13/C$15*100</f>
        <v>6.3477237867802998</v>
      </c>
      <c r="D27" s="18">
        <f t="shared" si="8"/>
        <v>6.4067645922817871</v>
      </c>
      <c r="E27" s="18">
        <f t="shared" si="8"/>
        <v>3.9185888435165497</v>
      </c>
      <c r="F27" s="18">
        <f t="shared" si="8"/>
        <v>2.3278023384340227</v>
      </c>
      <c r="G27" s="11"/>
    </row>
    <row r="28" spans="1:7" x14ac:dyDescent="0.25">
      <c r="B28" s="18"/>
      <c r="C28" s="18"/>
      <c r="D28" s="18"/>
      <c r="E28" s="18"/>
      <c r="F28" s="18"/>
      <c r="G28" s="11"/>
    </row>
    <row r="29" spans="1:7" x14ac:dyDescent="0.25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5">
      <c r="B30" s="18"/>
      <c r="C30" s="18"/>
      <c r="D30" s="18"/>
      <c r="E30" s="18"/>
      <c r="F30" s="18"/>
      <c r="G30" s="11"/>
    </row>
    <row r="32" spans="1:7" ht="13" x14ac:dyDescent="0.3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5">
      <c r="A33" t="str">
        <f>$A19</f>
        <v>RQF8 Doctorate</v>
      </c>
      <c r="B33" s="18">
        <f t="shared" ref="B33:E35" si="9">IF(C$3-B$3 &lt;&gt; 0,(EXP(LN(C5/B5)/(C$3-B$3))-1)*100,0)</f>
        <v>8.321276423262546</v>
      </c>
      <c r="C33" s="18">
        <f t="shared" si="9"/>
        <v>-2.9461719634328198</v>
      </c>
      <c r="D33" s="18">
        <f t="shared" si="9"/>
        <v>5.2736651145490088</v>
      </c>
      <c r="E33" s="18">
        <f t="shared" si="9"/>
        <v>3.9259229997445244</v>
      </c>
      <c r="F33" s="18">
        <f>IF(F$3-D$3 &lt;&gt; 0,(EXP(LN(F5/D5)/(F$3-D$3))-1)*100,0)</f>
        <v>4.3732422518678815</v>
      </c>
    </row>
    <row r="34" spans="1:6" x14ac:dyDescent="0.25">
      <c r="A34" t="str">
        <f>$A20</f>
        <v>RQF7 Other higher degree</v>
      </c>
      <c r="B34" s="18">
        <f t="shared" si="9"/>
        <v>8.6915274444937971</v>
      </c>
      <c r="C34" s="18">
        <f t="shared" si="9"/>
        <v>-0.12179872392633628</v>
      </c>
      <c r="D34" s="18">
        <f t="shared" si="9"/>
        <v>4.8853134020049538</v>
      </c>
      <c r="E34" s="18">
        <f t="shared" si="9"/>
        <v>3.9128356983175072</v>
      </c>
      <c r="F34" s="18">
        <f t="shared" ref="F34:F43" si="10">IF(F$3-D$3 &lt;&gt; 0,(EXP(LN(F6/D6)/(F$3-D$3))-1)*100,0)</f>
        <v>4.235988933338275</v>
      </c>
    </row>
    <row r="35" spans="1:6" x14ac:dyDescent="0.25">
      <c r="A35" t="str">
        <f>$A21</f>
        <v>RQF6 First degree</v>
      </c>
      <c r="B35" s="18">
        <f t="shared" si="9"/>
        <v>-0.52899947469079445</v>
      </c>
      <c r="C35" s="18">
        <f t="shared" si="9"/>
        <v>11.131282318648594</v>
      </c>
      <c r="D35" s="18">
        <f t="shared" si="9"/>
        <v>1.3915466177254698</v>
      </c>
      <c r="E35" s="18">
        <f t="shared" si="9"/>
        <v>1.4181967333491308</v>
      </c>
      <c r="F35" s="18">
        <f t="shared" si="10"/>
        <v>1.4093125832530973</v>
      </c>
    </row>
    <row r="36" spans="1:6" x14ac:dyDescent="0.25">
      <c r="A36" t="str">
        <f t="shared" ref="A36:A41" si="11">$A22</f>
        <v>RQF5 Foundation degree;Nursing;Teaching</v>
      </c>
      <c r="B36" s="18">
        <f>IF(C$3-B$3 &lt;&gt; 0,(EXP(LN(C8/B8)/(C$3-B$3))-1)*100,0)</f>
        <v>-2.1445168961974348</v>
      </c>
      <c r="C36" s="18">
        <f t="shared" ref="C36:E36" si="12">IF(D$3-C$3 &lt;&gt; 0,(EXP(LN(D8/C8)/(D$3-C$3))-1)*100,0)</f>
        <v>11.320269975336217</v>
      </c>
      <c r="D36" s="18">
        <f t="shared" si="12"/>
        <v>-0.53466237248128712</v>
      </c>
      <c r="E36" s="18">
        <f t="shared" si="12"/>
        <v>0.80822535924007788</v>
      </c>
      <c r="F36" s="18">
        <f t="shared" si="10"/>
        <v>0.35859361875316687</v>
      </c>
    </row>
    <row r="37" spans="1:6" x14ac:dyDescent="0.25">
      <c r="A37" t="str">
        <f t="shared" si="11"/>
        <v>RQF4 HE below degree level</v>
      </c>
      <c r="B37" s="18">
        <f t="shared" ref="B37:E37" si="13">IF(C$3-B$3 &lt;&gt; 0,(EXP(LN(C9/B9)/(C$3-B$3))-1)*100,0)</f>
        <v>-1.7825227102072905</v>
      </c>
      <c r="C37" s="18">
        <f t="shared" si="13"/>
        <v>8.8552777365379356</v>
      </c>
      <c r="D37" s="18">
        <f t="shared" si="13"/>
        <v>0.71195026147061746</v>
      </c>
      <c r="E37" s="18">
        <f t="shared" si="13"/>
        <v>1.2905085058766863</v>
      </c>
      <c r="F37" s="18">
        <f t="shared" si="10"/>
        <v>1.0972874048242875</v>
      </c>
    </row>
    <row r="38" spans="1:6" x14ac:dyDescent="0.25">
      <c r="A38" t="str">
        <f t="shared" si="11"/>
        <v>RQF3 A level &amp; equivalent</v>
      </c>
      <c r="B38" s="18">
        <f t="shared" ref="B38:E38" si="14">IF(C$3-B$3 &lt;&gt; 0,(EXP(LN(C10/B10)/(C$3-B$3))-1)*100,0)</f>
        <v>2.0454028977316074</v>
      </c>
      <c r="C38" s="18">
        <f t="shared" si="14"/>
        <v>-4.8780750114975628</v>
      </c>
      <c r="D38" s="18">
        <f t="shared" si="14"/>
        <v>0.90686963956738698</v>
      </c>
      <c r="E38" s="18">
        <f t="shared" si="14"/>
        <v>9.4204400657149634E-2</v>
      </c>
      <c r="F38" s="18">
        <f t="shared" si="10"/>
        <v>0.36436298789439547</v>
      </c>
    </row>
    <row r="39" spans="1:6" x14ac:dyDescent="0.25">
      <c r="A39" t="str">
        <f t="shared" si="11"/>
        <v>RQF2 GCSE(A-C) &amp; equivalent</v>
      </c>
      <c r="B39" s="18">
        <f t="shared" ref="B39:E39" si="15">IF(C$3-B$3 &lt;&gt; 0,(EXP(LN(C11/B11)/(C$3-B$3))-1)*100,0)</f>
        <v>0.65865767940158637</v>
      </c>
      <c r="C39" s="18">
        <f t="shared" si="15"/>
        <v>-13.685794152804409</v>
      </c>
      <c r="D39" s="18">
        <f t="shared" si="15"/>
        <v>1.0863166028784788</v>
      </c>
      <c r="E39" s="18">
        <f t="shared" si="15"/>
        <v>-1.3404288034414291</v>
      </c>
      <c r="F39" s="18">
        <f t="shared" si="10"/>
        <v>-0.53805683512008207</v>
      </c>
    </row>
    <row r="40" spans="1:6" x14ac:dyDescent="0.25">
      <c r="A40" t="str">
        <f t="shared" si="11"/>
        <v>RQF1 GCSE(below grade C) &amp; equivalent</v>
      </c>
      <c r="B40" s="18">
        <f t="shared" ref="B40:E40" si="16">IF(C$3-B$3 &lt;&gt; 0,(EXP(LN(C12/B12)/(C$3-B$3))-1)*100,0)</f>
        <v>-2.9030947310331068</v>
      </c>
      <c r="C40" s="18">
        <f t="shared" si="16"/>
        <v>-9.0270493727014234</v>
      </c>
      <c r="D40" s="18">
        <f t="shared" si="16"/>
        <v>-2.9114063057662953</v>
      </c>
      <c r="E40" s="18">
        <f t="shared" si="16"/>
        <v>-4.7219840053288165</v>
      </c>
      <c r="F40" s="18">
        <f t="shared" si="10"/>
        <v>-4.122241204184407</v>
      </c>
    </row>
    <row r="41" spans="1:6" x14ac:dyDescent="0.25">
      <c r="A41" t="str">
        <f t="shared" si="11"/>
        <v>No Qualification</v>
      </c>
      <c r="B41" s="18">
        <f t="shared" ref="B41:E41" si="17">IF(C$3-B$3 &lt;&gt; 0,(EXP(LN(C13/B13)/(C$3-B$3))-1)*100,0)</f>
        <v>-5.7367926221306824</v>
      </c>
      <c r="C41" s="18">
        <f t="shared" si="17"/>
        <v>-1.7888401820054023</v>
      </c>
      <c r="D41" s="18">
        <f t="shared" si="17"/>
        <v>-8.9326896675863026</v>
      </c>
      <c r="E41" s="18">
        <f t="shared" si="17"/>
        <v>-4.819776887887528</v>
      </c>
      <c r="F41" s="18">
        <f t="shared" si="10"/>
        <v>-6.2109833796336833</v>
      </c>
    </row>
    <row r="42" spans="1:6" x14ac:dyDescent="0.25">
      <c r="B42" s="18"/>
      <c r="C42" s="18"/>
      <c r="D42" s="18"/>
      <c r="E42" s="18"/>
      <c r="F42" s="18"/>
    </row>
    <row r="43" spans="1:6" x14ac:dyDescent="0.25">
      <c r="A43" t="str">
        <f>$A29</f>
        <v>All qualifications</v>
      </c>
      <c r="B43" s="18">
        <f>IF(C$3-B$3 &lt;&gt; 0,(EXP(LN(C15/B15)/(C$3-B$3))-1)*100,0)</f>
        <v>0.21535006256827582</v>
      </c>
      <c r="C43" s="18">
        <f t="shared" ref="C43" si="18">IF(D$3-C$3 &lt;&gt; 0,(EXP(LN(D15/C15)/(D$3-C$3))-1)*100,0)</f>
        <v>-2.6938938797602674</v>
      </c>
      <c r="D43" s="18">
        <f>IF(E$3-D$3 &lt;&gt; 0,(EXP(LN(E15/D15)/(E$3-D$3))-1)*100,0)</f>
        <v>0.47645957720003906</v>
      </c>
      <c r="E43" s="18">
        <f>IF(F$3-E$3 &lt;&gt; 0,(EXP(LN(F15/E15)/(F$3-E$3))-1)*100,0)</f>
        <v>0.26862934467042354</v>
      </c>
      <c r="F43" s="18">
        <f t="shared" si="10"/>
        <v>0.33785827979151417</v>
      </c>
    </row>
    <row r="44" spans="1:6" x14ac:dyDescent="0.25">
      <c r="B44" s="18"/>
      <c r="C44" s="18"/>
      <c r="D44" s="18"/>
      <c r="E44" s="18"/>
      <c r="F44" s="18"/>
    </row>
    <row r="46" spans="1:6" ht="13" x14ac:dyDescent="0.3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5">
      <c r="A47" t="str">
        <f>$A33</f>
        <v>RQF8 Doctorate</v>
      </c>
      <c r="B47" s="27">
        <f>C5-B5</f>
        <v>1.9995293611995244</v>
      </c>
      <c r="C47" s="27">
        <f>D5-C5</f>
        <v>-0.21527208985649349</v>
      </c>
      <c r="D47" s="27">
        <f>E5-D5</f>
        <v>2.0778336164993432</v>
      </c>
      <c r="E47" s="27">
        <f>F5-E5</f>
        <v>4.307184977615087</v>
      </c>
      <c r="F47" s="27">
        <f>F5-D5</f>
        <v>6.3850185941144302</v>
      </c>
    </row>
    <row r="48" spans="1:6" x14ac:dyDescent="0.25">
      <c r="A48" t="str">
        <f t="shared" ref="A48:A55" si="19">$A34</f>
        <v>RQF7 Other higher degree</v>
      </c>
      <c r="B48" s="27">
        <f t="shared" ref="B48:E48" si="20">C6-B6</f>
        <v>13.600133224150994</v>
      </c>
      <c r="C48" s="27">
        <f t="shared" si="20"/>
        <v>-5.8429942610317198E-2</v>
      </c>
      <c r="D48" s="27">
        <f t="shared" si="20"/>
        <v>12.904547380774623</v>
      </c>
      <c r="E48" s="27">
        <f t="shared" si="20"/>
        <v>28.456124125974945</v>
      </c>
      <c r="F48" s="27">
        <f t="shared" ref="F48:F57" si="21">F6-D6</f>
        <v>41.360671506749568</v>
      </c>
    </row>
    <row r="49" spans="1:6" x14ac:dyDescent="0.25">
      <c r="A49" t="str">
        <f t="shared" si="19"/>
        <v>RQF6 First degree</v>
      </c>
      <c r="B49" s="27">
        <f t="shared" ref="B49:E49" si="22">C7-B7</f>
        <v>-1.7564874443545904</v>
      </c>
      <c r="C49" s="27">
        <f t="shared" si="22"/>
        <v>9.1181891055401962</v>
      </c>
      <c r="D49" s="27">
        <f t="shared" si="22"/>
        <v>6.5125927397936039</v>
      </c>
      <c r="E49" s="27">
        <f t="shared" si="22"/>
        <v>14.751005749119329</v>
      </c>
      <c r="F49" s="27">
        <f t="shared" si="21"/>
        <v>21.263598488912933</v>
      </c>
    </row>
    <row r="50" spans="1:6" x14ac:dyDescent="0.25">
      <c r="A50" t="str">
        <f t="shared" si="19"/>
        <v>RQF5 Foundation degree;Nursing;Teaching</v>
      </c>
      <c r="B50" s="27">
        <f t="shared" ref="B50:E50" si="23">C8-B8</f>
        <v>-2.2644546807823502</v>
      </c>
      <c r="C50" s="27">
        <f t="shared" si="23"/>
        <v>2.8298688857831245</v>
      </c>
      <c r="D50" s="27">
        <f t="shared" si="23"/>
        <v>-0.73601965148179715</v>
      </c>
      <c r="E50" s="27">
        <f t="shared" si="23"/>
        <v>2.2710306742055693</v>
      </c>
      <c r="F50" s="27">
        <f t="shared" si="21"/>
        <v>1.5350110227237721</v>
      </c>
    </row>
    <row r="51" spans="1:6" x14ac:dyDescent="0.25">
      <c r="A51" t="str">
        <f t="shared" si="19"/>
        <v>RQF4 HE below degree level</v>
      </c>
      <c r="B51" s="27">
        <f t="shared" ref="B51:E51" si="24">C9-B9</f>
        <v>-1.8475076220085072</v>
      </c>
      <c r="C51" s="27">
        <f t="shared" si="24"/>
        <v>2.1931962594936643</v>
      </c>
      <c r="D51" s="27">
        <f t="shared" si="24"/>
        <v>0.9734829003961103</v>
      </c>
      <c r="E51" s="27">
        <f t="shared" si="24"/>
        <v>3.8215943792541616</v>
      </c>
      <c r="F51" s="27">
        <f t="shared" si="21"/>
        <v>4.7950772796502719</v>
      </c>
    </row>
    <row r="52" spans="1:6" x14ac:dyDescent="0.25">
      <c r="A52" t="str">
        <f t="shared" si="19"/>
        <v>RQF3 A level &amp; equivalent</v>
      </c>
      <c r="B52" s="27">
        <f t="shared" ref="B52:E52" si="25">C10-B10</f>
        <v>8.543002806619711</v>
      </c>
      <c r="C52" s="27">
        <f t="shared" si="25"/>
        <v>-5.3566405451054067</v>
      </c>
      <c r="D52" s="27">
        <f t="shared" si="25"/>
        <v>4.8229903141129142</v>
      </c>
      <c r="E52" s="27">
        <f t="shared" si="25"/>
        <v>1.0338113627633732</v>
      </c>
      <c r="F52" s="27">
        <f t="shared" si="21"/>
        <v>5.8568016768762874</v>
      </c>
    </row>
    <row r="53" spans="1:6" x14ac:dyDescent="0.25">
      <c r="A53" t="str">
        <f t="shared" si="19"/>
        <v>RQF2 GCSE(A-C) &amp; equivalent</v>
      </c>
      <c r="B53" s="27">
        <f t="shared" ref="B53:E53" si="26">C11-B11</f>
        <v>2.9756707996703682</v>
      </c>
      <c r="C53" s="27">
        <f>D11-C11</f>
        <v>-15.71271646796508</v>
      </c>
      <c r="D53" s="27">
        <f t="shared" si="26"/>
        <v>5.5007943974150066</v>
      </c>
      <c r="E53" s="27">
        <f t="shared" si="26"/>
        <v>-13.204497121179614</v>
      </c>
      <c r="F53" s="27">
        <f t="shared" si="21"/>
        <v>-7.7037027237646072</v>
      </c>
    </row>
    <row r="54" spans="1:6" x14ac:dyDescent="0.25">
      <c r="A54" t="str">
        <f t="shared" si="19"/>
        <v>RQF1 GCSE(below grade C) &amp; equivalent</v>
      </c>
      <c r="B54" s="27">
        <f t="shared" ref="B54:E54" si="27">C12-B12</f>
        <v>-8.2520948680830628</v>
      </c>
      <c r="C54" s="27">
        <f t="shared" si="27"/>
        <v>-5.9561653231399632</v>
      </c>
      <c r="D54" s="27">
        <f t="shared" si="27"/>
        <v>-8.243687315266115</v>
      </c>
      <c r="E54" s="27">
        <f t="shared" si="27"/>
        <v>-19.858631666285511</v>
      </c>
      <c r="F54" s="27">
        <f t="shared" si="21"/>
        <v>-28.102318981551626</v>
      </c>
    </row>
    <row r="55" spans="1:6" x14ac:dyDescent="0.25">
      <c r="A55" t="str">
        <f t="shared" si="19"/>
        <v>No Qualification</v>
      </c>
      <c r="B55" s="27">
        <f t="shared" ref="B55:E55" si="28">C13-B13</f>
        <v>-8.6287915764125387</v>
      </c>
      <c r="C55" s="27">
        <f t="shared" si="28"/>
        <v>-0.57902988213998796</v>
      </c>
      <c r="D55" s="27">
        <f t="shared" si="28"/>
        <v>-11.878534382242869</v>
      </c>
      <c r="E55" s="27">
        <f t="shared" si="28"/>
        <v>-7.7616224814677128</v>
      </c>
      <c r="F55" s="27">
        <f t="shared" si="21"/>
        <v>-19.64015686371058</v>
      </c>
    </row>
    <row r="56" spans="1:6" x14ac:dyDescent="0.25">
      <c r="B56" s="21"/>
      <c r="C56" s="27"/>
      <c r="D56" s="21"/>
      <c r="E56" s="21"/>
      <c r="F56" s="27"/>
    </row>
    <row r="57" spans="1:6" x14ac:dyDescent="0.25">
      <c r="A57" s="24" t="str">
        <f>$A43</f>
        <v>All qualifications</v>
      </c>
      <c r="B57" s="29">
        <f>C15-B15</f>
        <v>4.3689999999995166</v>
      </c>
      <c r="C57" s="29">
        <f t="shared" ref="C57" si="29">D15-C15</f>
        <v>-13.737000000000307</v>
      </c>
      <c r="D57" s="29">
        <f>E15-D15</f>
        <v>11.934000000000822</v>
      </c>
      <c r="E57" s="29">
        <f>F15-E15</f>
        <v>13.815999999999633</v>
      </c>
      <c r="F57" s="29">
        <f t="shared" si="21"/>
        <v>25.750000000000455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80" t="str">
        <f>CONCATENATE("Qualification Figure 1  Employment by Qualification, ",$M$2,"-",$O$2,", ",Info!B5)</f>
        <v>Qualification Figure 1  Employment by Qualification, 2010-2035, Black Country</v>
      </c>
      <c r="H1"/>
      <c r="L1" s="46"/>
    </row>
    <row r="2" spans="1:68" ht="13" x14ac:dyDescent="0.3">
      <c r="A2" s="1" t="s">
        <v>524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5">
      <c r="L3" s="16"/>
      <c r="M3" s="16"/>
      <c r="N3" s="47"/>
      <c r="O3" s="16"/>
    </row>
    <row r="4" spans="1:68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232" t="str">
        <f>name!F12</f>
        <v>No Qualification</v>
      </c>
      <c r="M6" s="11">
        <v>44.984409789543079</v>
      </c>
      <c r="N6" s="11">
        <v>43.06408542998733</v>
      </c>
      <c r="O6" s="11">
        <v>43.932229055451046</v>
      </c>
      <c r="P6" s="11">
        <v>45.539860181778636</v>
      </c>
      <c r="Q6" s="11">
        <v>37.885028683570489</v>
      </c>
      <c r="R6" s="11">
        <v>40.997802959579182</v>
      </c>
      <c r="S6" s="11">
        <v>36.649719347697754</v>
      </c>
      <c r="T6" s="11">
        <v>38.499075334532776</v>
      </c>
      <c r="U6" s="11">
        <v>30.351027927750962</v>
      </c>
      <c r="V6" s="11">
        <v>32.369011383166644</v>
      </c>
      <c r="W6" s="11">
        <v>31.789981501026656</v>
      </c>
      <c r="X6" s="11">
        <v>23.3748994771884</v>
      </c>
      <c r="Y6" s="11">
        <v>24.579133768035025</v>
      </c>
      <c r="Z6" s="11">
        <v>22.759429510541612</v>
      </c>
      <c r="AA6" s="11">
        <v>21.04015848124072</v>
      </c>
      <c r="AB6" s="11">
        <v>19.911447118783787</v>
      </c>
      <c r="AC6" s="11">
        <v>18.904403729353358</v>
      </c>
      <c r="AD6" s="11">
        <v>17.925671587661185</v>
      </c>
      <c r="AE6" s="11">
        <v>17.008785443995592</v>
      </c>
      <c r="AF6" s="11">
        <v>16.131834819688372</v>
      </c>
      <c r="AG6" s="11">
        <v>15.301721360851804</v>
      </c>
      <c r="AH6" s="11">
        <v>14.507839736154725</v>
      </c>
      <c r="AI6" s="11">
        <v>13.755274250414407</v>
      </c>
      <c r="AJ6" s="11">
        <v>13.043103268358076</v>
      </c>
      <c r="AK6" s="11">
        <v>12.398677330283029</v>
      </c>
      <c r="AL6" s="11">
        <v>12.149824637316074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232" t="str">
        <f>name!F11</f>
        <v>RQF1 GCSE(below grade C) &amp; equivalent</v>
      </c>
      <c r="M7" s="11">
        <v>86.990458326041733</v>
      </c>
      <c r="N7" s="11">
        <v>85.888682008269157</v>
      </c>
      <c r="O7" s="11">
        <v>77.798094130437846</v>
      </c>
      <c r="P7" s="11">
        <v>72.887386517228407</v>
      </c>
      <c r="Q7" s="11">
        <v>82.717805083880179</v>
      </c>
      <c r="R7" s="11">
        <v>74.233403679264697</v>
      </c>
      <c r="S7" s="11">
        <v>69.973404361741331</v>
      </c>
      <c r="T7" s="11">
        <v>72.159848074685414</v>
      </c>
      <c r="U7" s="11">
        <v>68.758354501827569</v>
      </c>
      <c r="V7" s="11">
        <v>65.981308811181634</v>
      </c>
      <c r="W7" s="11">
        <v>60.025143488041671</v>
      </c>
      <c r="X7" s="11">
        <v>60.6107262339941</v>
      </c>
      <c r="Y7" s="11">
        <v>57.796577585068981</v>
      </c>
      <c r="Z7" s="11">
        <v>55.761668155946168</v>
      </c>
      <c r="AA7" s="11">
        <v>53.831710225860832</v>
      </c>
      <c r="AB7" s="11">
        <v>51.781456172775556</v>
      </c>
      <c r="AC7" s="11">
        <v>49.700759342251693</v>
      </c>
      <c r="AD7" s="11">
        <v>47.622989473986571</v>
      </c>
      <c r="AE7" s="11">
        <v>45.56926892551558</v>
      </c>
      <c r="AF7" s="11">
        <v>43.543377059098979</v>
      </c>
      <c r="AG7" s="11">
        <v>41.56980706048882</v>
      </c>
      <c r="AH7" s="11">
        <v>39.610055587346658</v>
      </c>
      <c r="AI7" s="11">
        <v>37.666681266795869</v>
      </c>
      <c r="AJ7" s="11">
        <v>35.742314375797434</v>
      </c>
      <c r="AK7" s="11">
        <v>33.838680132126335</v>
      </c>
      <c r="AL7" s="11">
        <v>31.922824506490045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232" t="str">
        <f>name!F10</f>
        <v>RQF2 GCSE(A-C) &amp; equivalent</v>
      </c>
      <c r="M8" s="11">
        <v>111.46901122811188</v>
      </c>
      <c r="N8" s="11">
        <v>112.01879666054357</v>
      </c>
      <c r="O8" s="11">
        <v>111.73857356047557</v>
      </c>
      <c r="P8" s="11">
        <v>107.69668372891317</v>
      </c>
      <c r="Q8" s="11">
        <v>103.10819296262156</v>
      </c>
      <c r="R8" s="11">
        <v>111.83473985337399</v>
      </c>
      <c r="S8" s="11">
        <v>111.52833855734382</v>
      </c>
      <c r="T8" s="11">
        <v>117.59753353378089</v>
      </c>
      <c r="U8" s="11">
        <v>121.86814274179331</v>
      </c>
      <c r="V8" s="11">
        <v>114.81041065304436</v>
      </c>
      <c r="W8" s="11">
        <v>99.097694185079277</v>
      </c>
      <c r="X8" s="11">
        <v>105.74531274274106</v>
      </c>
      <c r="Y8" s="11">
        <v>106.68460193764754</v>
      </c>
      <c r="Z8" s="11">
        <v>106.03554426609911</v>
      </c>
      <c r="AA8" s="11">
        <v>105.49839213267013</v>
      </c>
      <c r="AB8" s="11">
        <v>104.59848858249428</v>
      </c>
      <c r="AC8" s="11">
        <v>103.52206798618141</v>
      </c>
      <c r="AD8" s="11">
        <v>102.34528626370759</v>
      </c>
      <c r="AE8" s="11">
        <v>101.11247740067854</v>
      </c>
      <c r="AF8" s="11">
        <v>99.835659596577258</v>
      </c>
      <c r="AG8" s="11">
        <v>98.550827967457892</v>
      </c>
      <c r="AH8" s="11">
        <v>97.218922464032005</v>
      </c>
      <c r="AI8" s="11">
        <v>95.848070500235153</v>
      </c>
      <c r="AJ8" s="11">
        <v>94.437994830924652</v>
      </c>
      <c r="AK8" s="11">
        <v>92.975737756564939</v>
      </c>
      <c r="AL8" s="11">
        <v>91.39399146131467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232" t="str">
        <f>name!F9</f>
        <v>RQF3 A level &amp; equivalent</v>
      </c>
      <c r="M9" s="11">
        <v>97.290765424142919</v>
      </c>
      <c r="N9" s="11">
        <v>95.561198378836679</v>
      </c>
      <c r="O9" s="11">
        <v>101.5691401090502</v>
      </c>
      <c r="P9" s="11">
        <v>102.12314801460045</v>
      </c>
      <c r="Q9" s="11">
        <v>106.39040679180378</v>
      </c>
      <c r="R9" s="11">
        <v>101.26753787756158</v>
      </c>
      <c r="S9" s="11">
        <v>100.47900960894461</v>
      </c>
      <c r="T9" s="11">
        <v>108.56185953713322</v>
      </c>
      <c r="U9" s="11">
        <v>113.49420506920785</v>
      </c>
      <c r="V9" s="11">
        <v>109.81054068418129</v>
      </c>
      <c r="W9" s="11">
        <v>104.45390013907588</v>
      </c>
      <c r="X9" s="11">
        <v>106.8092015924145</v>
      </c>
      <c r="Y9" s="11">
        <v>107.61332334073882</v>
      </c>
      <c r="Z9" s="11">
        <v>108.16478384900864</v>
      </c>
      <c r="AA9" s="11">
        <v>108.88243558492032</v>
      </c>
      <c r="AB9" s="11">
        <v>109.2768904531888</v>
      </c>
      <c r="AC9" s="11">
        <v>109.51896638896282</v>
      </c>
      <c r="AD9" s="11">
        <v>109.68781332035327</v>
      </c>
      <c r="AE9" s="11">
        <v>109.825805886548</v>
      </c>
      <c r="AF9" s="11">
        <v>109.92641388889751</v>
      </c>
      <c r="AG9" s="11">
        <v>110.05192031561253</v>
      </c>
      <c r="AH9" s="11">
        <v>110.15520647639065</v>
      </c>
      <c r="AI9" s="11">
        <v>110.24329635419345</v>
      </c>
      <c r="AJ9" s="11">
        <v>110.31609890434194</v>
      </c>
      <c r="AK9" s="11">
        <v>110.36481067933668</v>
      </c>
      <c r="AL9" s="11">
        <v>110.31070181595217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232" t="str">
        <f>name!F8</f>
        <v>RQF4 HE below degree level</v>
      </c>
      <c r="M10" s="11">
        <v>21.930311283055584</v>
      </c>
      <c r="N10" s="11">
        <v>21.983884712813026</v>
      </c>
      <c r="O10" s="11">
        <v>23.122261246621576</v>
      </c>
      <c r="P10" s="11">
        <v>22.323609241715307</v>
      </c>
      <c r="Q10" s="11">
        <v>23.485353741552679</v>
      </c>
      <c r="R10" s="11">
        <v>26.614616285853966</v>
      </c>
      <c r="S10" s="11">
        <v>27.037282816146753</v>
      </c>
      <c r="T10" s="11">
        <v>23.990280839470127</v>
      </c>
      <c r="U10" s="11">
        <v>23.504853921699702</v>
      </c>
      <c r="V10" s="11">
        <v>24.767108663845459</v>
      </c>
      <c r="W10" s="11">
        <v>26.960304923339123</v>
      </c>
      <c r="X10" s="11">
        <v>27.323950708932699</v>
      </c>
      <c r="Y10" s="11">
        <v>26.573854446899251</v>
      </c>
      <c r="Z10" s="11">
        <v>27.026933453002563</v>
      </c>
      <c r="AA10" s="11">
        <v>27.526133459944692</v>
      </c>
      <c r="AB10" s="11">
        <v>27.933787823735234</v>
      </c>
      <c r="AC10" s="11">
        <v>28.314811194888378</v>
      </c>
      <c r="AD10" s="11">
        <v>28.685608423760268</v>
      </c>
      <c r="AE10">
        <v>29.055545428357956</v>
      </c>
      <c r="AF10">
        <v>29.417325093699986</v>
      </c>
      <c r="AG10">
        <v>29.798303740407029</v>
      </c>
      <c r="AH10">
        <v>30.177246255635545</v>
      </c>
      <c r="AI10" s="11">
        <v>30.569431355573172</v>
      </c>
      <c r="AJ10" s="11">
        <v>30.984647825039204</v>
      </c>
      <c r="AK10" s="11">
        <v>31.38516537973651</v>
      </c>
      <c r="AL10" s="11">
        <v>31.755382202989395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232" t="str">
        <f>name!F7</f>
        <v>RQF5 Foundation degree;Nursing;Teaching</v>
      </c>
      <c r="M11" s="11">
        <v>26.341781759912568</v>
      </c>
      <c r="N11" s="11">
        <v>26.445544427659666</v>
      </c>
      <c r="O11" s="11">
        <v>27.148029996520226</v>
      </c>
      <c r="P11" s="11">
        <v>25.999350689274731</v>
      </c>
      <c r="Q11" s="11">
        <v>26.625759941697467</v>
      </c>
      <c r="R11" s="11">
        <v>27.262700234542443</v>
      </c>
      <c r="S11" s="11">
        <v>29.099100080495997</v>
      </c>
      <c r="T11" s="11">
        <v>26.612028259343699</v>
      </c>
      <c r="U11" s="11">
        <v>25.04043365638794</v>
      </c>
      <c r="V11" s="11">
        <v>24.998245553760093</v>
      </c>
      <c r="W11" s="11">
        <v>27.828114439543217</v>
      </c>
      <c r="X11" s="11">
        <v>27.533346120493544</v>
      </c>
      <c r="Y11" s="11">
        <v>26.472358559524334</v>
      </c>
      <c r="Z11" s="11">
        <v>26.663977110504582</v>
      </c>
      <c r="AA11" s="11">
        <v>26.914821950535039</v>
      </c>
      <c r="AB11" s="11">
        <v>27.09209478806142</v>
      </c>
      <c r="AC11" s="11">
        <v>27.25324550367899</v>
      </c>
      <c r="AD11" s="11">
        <v>27.421745901747475</v>
      </c>
      <c r="AE11">
        <v>27.576993758563859</v>
      </c>
      <c r="AF11">
        <v>27.799767701170563</v>
      </c>
      <c r="AG11">
        <v>28.03461299029075</v>
      </c>
      <c r="AH11">
        <v>28.279158160898557</v>
      </c>
      <c r="AI11" s="11">
        <v>28.545939196493656</v>
      </c>
      <c r="AJ11" s="11">
        <v>28.819551413897294</v>
      </c>
      <c r="AK11" s="11">
        <v>29.100216743119791</v>
      </c>
      <c r="AL11" s="11">
        <v>29.363125462266989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232" t="str">
        <f>name!F6</f>
        <v>RQF6 First degree</v>
      </c>
      <c r="M12" s="11">
        <v>63.452769163924209</v>
      </c>
      <c r="N12" s="11">
        <v>66.816627284745707</v>
      </c>
      <c r="O12" s="11">
        <v>70.590050233683428</v>
      </c>
      <c r="P12" s="11">
        <v>70.846513353488021</v>
      </c>
      <c r="Q12" s="11">
        <v>75.733302581678203</v>
      </c>
      <c r="R12" s="11">
        <v>83.671480205468967</v>
      </c>
      <c r="S12" s="11">
        <v>87.402102773251116</v>
      </c>
      <c r="T12" s="11">
        <v>82.024676470865288</v>
      </c>
      <c r="U12" s="11">
        <v>78.943948994443545</v>
      </c>
      <c r="V12" s="11">
        <v>81.914992761114377</v>
      </c>
      <c r="W12" s="11">
        <v>91.033181866654573</v>
      </c>
      <c r="X12" s="11">
        <v>93.248756638001353</v>
      </c>
      <c r="Y12" s="11">
        <v>91.799598700589357</v>
      </c>
      <c r="Z12" s="11">
        <v>93.715069060912739</v>
      </c>
      <c r="AA12" s="11">
        <v>95.777824676683437</v>
      </c>
      <c r="AB12" s="11">
        <v>97.545774606448177</v>
      </c>
      <c r="AC12" s="11">
        <v>99.165197170393853</v>
      </c>
      <c r="AD12" s="11">
        <v>100.71081577748653</v>
      </c>
      <c r="AE12">
        <v>102.2612298382744</v>
      </c>
      <c r="AF12">
        <v>103.74744728397818</v>
      </c>
      <c r="AG12">
        <v>105.24834107023888</v>
      </c>
      <c r="AH12">
        <v>106.71780955396694</v>
      </c>
      <c r="AI12">
        <v>108.15103428734211</v>
      </c>
      <c r="AJ12">
        <v>109.56025756369634</v>
      </c>
      <c r="AK12">
        <v>110.95793121969962</v>
      </c>
      <c r="AL12">
        <v>112.29678035556751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232" t="str">
        <f>name!F5</f>
        <v>RQF7 Other higher degree</v>
      </c>
      <c r="M13" s="11">
        <v>29.369595795282631</v>
      </c>
      <c r="N13" s="11">
        <v>24.546608938744605</v>
      </c>
      <c r="O13" s="11">
        <v>27.161240968900334</v>
      </c>
      <c r="P13" s="11">
        <v>28.876646791678251</v>
      </c>
      <c r="Q13" s="11">
        <v>28.5025074388899</v>
      </c>
      <c r="R13" s="11">
        <v>34.372407642251233</v>
      </c>
      <c r="S13" s="11">
        <v>36.220834681574203</v>
      </c>
      <c r="T13" s="11">
        <v>37.061370719350712</v>
      </c>
      <c r="U13" s="11">
        <v>42.351476604244496</v>
      </c>
      <c r="V13" s="11">
        <v>47.972540866402227</v>
      </c>
      <c r="W13" s="11">
        <v>47.91411092379191</v>
      </c>
      <c r="X13" s="11">
        <v>48.242024345287994</v>
      </c>
      <c r="Y13" s="11">
        <v>52.191426379012277</v>
      </c>
      <c r="Z13" s="11">
        <v>55.028799711659275</v>
      </c>
      <c r="AA13" s="11">
        <v>57.994395421804491</v>
      </c>
      <c r="AB13" s="11">
        <v>60.818658304566533</v>
      </c>
      <c r="AC13" s="11">
        <v>63.59053057870517</v>
      </c>
      <c r="AD13" s="11">
        <v>66.352149889998074</v>
      </c>
      <c r="AE13">
        <v>69.144714263942404</v>
      </c>
      <c r="AF13">
        <v>71.957669993779817</v>
      </c>
      <c r="AG13">
        <v>74.810076002584381</v>
      </c>
      <c r="AH13">
        <v>77.675321469551037</v>
      </c>
      <c r="AI13">
        <v>80.560357885299211</v>
      </c>
      <c r="AJ13">
        <v>83.469764380924403</v>
      </c>
      <c r="AK13">
        <v>86.383220624259323</v>
      </c>
      <c r="AL13">
        <v>89.274782430541478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232" t="str">
        <f>name!F4</f>
        <v>RQF8 Doctorate</v>
      </c>
      <c r="M14" s="11">
        <v>4.2948972299857004</v>
      </c>
      <c r="N14" s="11">
        <v>3.7675721584002217</v>
      </c>
      <c r="O14" s="11">
        <v>4.1283806988598863</v>
      </c>
      <c r="P14" s="11">
        <v>4.3548014813228582</v>
      </c>
      <c r="Q14" s="11">
        <v>4.5166427743056374</v>
      </c>
      <c r="R14" s="11">
        <v>5.307311262104184</v>
      </c>
      <c r="S14" s="11">
        <v>5.5492077728044285</v>
      </c>
      <c r="T14" s="11">
        <v>5.6463272308383452</v>
      </c>
      <c r="U14" s="11">
        <v>6.4225565826442601</v>
      </c>
      <c r="V14" s="11">
        <v>7.3068406233037084</v>
      </c>
      <c r="W14" s="11">
        <v>7.0915685334472149</v>
      </c>
      <c r="X14" s="11">
        <v>7.226782140945855</v>
      </c>
      <c r="Y14" s="11">
        <v>7.8681252824847814</v>
      </c>
      <c r="Z14" s="11">
        <v>8.2927948823258841</v>
      </c>
      <c r="AA14" s="11">
        <v>8.7401280663399881</v>
      </c>
      <c r="AB14" s="11">
        <v>9.1694021499465581</v>
      </c>
      <c r="AC14" s="11">
        <v>9.5950181055844812</v>
      </c>
      <c r="AD14" s="11">
        <v>10.022919361298742</v>
      </c>
      <c r="AE14">
        <v>10.443179054123487</v>
      </c>
      <c r="AF14">
        <v>10.862504563109454</v>
      </c>
      <c r="AG14">
        <v>11.290389492068311</v>
      </c>
      <c r="AH14">
        <v>11.721440296023689</v>
      </c>
      <c r="AI14">
        <v>12.156914903652918</v>
      </c>
      <c r="AJ14">
        <v>12.593267437020247</v>
      </c>
      <c r="AK14">
        <v>13.037560134873614</v>
      </c>
      <c r="AL14">
        <v>13.476587127561645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80" t="str">
        <f>CONCATENATE("Qualification Figure 1.1  Employment by Qualification, ",$M$2,"-",$O$2,Info!B9,", ",Info!B5)</f>
        <v>Qualification Figure 1.1  Employment by Qualification, 2010-2035, Black Country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91" customWidth="1"/>
    <col min="2" max="6" width="11.7265625" style="91" customWidth="1"/>
    <col min="7" max="7" width="5.7265625" style="91" customWidth="1"/>
    <col min="8" max="12" width="11.7265625" style="91" customWidth="1"/>
    <col min="13" max="16384" width="9.1796875" style="91"/>
  </cols>
  <sheetData>
    <row r="1" spans="1:12" ht="15.5" x14ac:dyDescent="0.3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117"/>
      <c r="L3" s="117" t="s">
        <v>20</v>
      </c>
    </row>
    <row r="4" spans="1:12" ht="13" x14ac:dyDescent="0.3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ht="13" x14ac:dyDescent="0.3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ht="13" x14ac:dyDescent="0.3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5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5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5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5">
      <c r="H11" s="94"/>
      <c r="I11" s="94"/>
      <c r="J11" s="94"/>
      <c r="K11" s="94"/>
      <c r="L11" s="94"/>
    </row>
    <row r="12" spans="1:12" s="122" customFormat="1" ht="13" x14ac:dyDescent="0.3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5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5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5">
      <c r="H15" s="94"/>
      <c r="I15" s="94"/>
      <c r="J15" s="94"/>
      <c r="K15" s="94"/>
      <c r="L15" s="94"/>
    </row>
    <row r="16" spans="1:12" s="122" customFormat="1" ht="13" x14ac:dyDescent="0.3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5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5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5">
      <c r="H19" s="94"/>
      <c r="I19" s="94"/>
      <c r="J19" s="94"/>
      <c r="K19" s="94"/>
      <c r="L19" s="94"/>
    </row>
    <row r="20" spans="1:12" x14ac:dyDescent="0.25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5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10.1796875" style="130" customWidth="1"/>
    <col min="4" max="4" width="3.7265625" style="130" customWidth="1"/>
    <col min="5" max="6" width="10.179687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5" width="10.1796875" style="130" customWidth="1"/>
    <col min="16" max="16" width="3.7265625" style="130" customWidth="1"/>
    <col min="17" max="18" width="10.1796875" style="130" customWidth="1"/>
    <col min="19" max="19" width="9.1796875" style="130"/>
    <col min="20" max="20" width="16.7265625" style="130" customWidth="1"/>
    <col min="21" max="21" width="9.1796875" style="130"/>
    <col min="22" max="22" width="8.81640625" style="130" customWidth="1"/>
    <col min="23" max="41" width="9.1796875" style="130"/>
    <col min="42" max="46" width="9.1796875" style="137" customWidth="1"/>
    <col min="47" max="49" width="9.1796875" style="130"/>
    <col min="50" max="50" width="9.1796875" style="130" customWidth="1"/>
    <col min="51" max="16384" width="9.1796875" style="130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Black Country</v>
      </c>
      <c r="W1" s="203" t="str">
        <f>CONCATENATE("Shift-share Figure 1: Levels of Employment, ",C4," - ",F40,", ",Info!B5)</f>
        <v>Shift-share Figure 1: Levels of Employment, 2015 - 2035, Black Country</v>
      </c>
      <c r="AK1" s="203" t="str">
        <f>CONCATENATE("Shift-share Figure 1.1: Net Changes, ",C4,"-",F40,", ",Info!B5)</f>
        <v>Shift-share Figure 1.1: Net Changes, 2015-2035, Black Country</v>
      </c>
    </row>
    <row r="2" spans="1:97" ht="18.75" customHeight="1" x14ac:dyDescent="0.4">
      <c r="A2" s="136" t="s">
        <v>522</v>
      </c>
      <c r="W2" s="203"/>
      <c r="AK2" s="203"/>
    </row>
    <row r="3" spans="1:97" ht="13" x14ac:dyDescent="0.3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1" t="s">
        <v>59</v>
      </c>
      <c r="L3" s="381"/>
      <c r="M3" s="381"/>
      <c r="N3" s="381"/>
      <c r="O3" s="381"/>
      <c r="P3" s="381"/>
      <c r="Q3" s="381"/>
      <c r="R3" s="381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ht="13" x14ac:dyDescent="0.3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80" t="s">
        <v>62</v>
      </c>
      <c r="L4" s="380"/>
      <c r="M4" s="136"/>
      <c r="N4" s="380" t="s">
        <v>63</v>
      </c>
      <c r="O4" s="380"/>
      <c r="P4" s="136"/>
      <c r="Q4" s="380" t="s">
        <v>64</v>
      </c>
      <c r="R4" s="380"/>
      <c r="AW4" s="137"/>
      <c r="AX4" s="137"/>
      <c r="AY4" s="139"/>
    </row>
    <row r="5" spans="1:97" ht="13" x14ac:dyDescent="0.3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ht="13" x14ac:dyDescent="0.3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ht="13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5">
      <c r="A8" s="10" t="str">
        <f>name!$D4</f>
        <v>11 Corporate managers and directors</v>
      </c>
      <c r="B8" s="151">
        <v>29.880785800881405</v>
      </c>
      <c r="C8" s="141">
        <f t="shared" ref="C8:C33" si="0">B8/B$35*100</f>
        <v>5.9104097619839706</v>
      </c>
      <c r="E8" s="151">
        <v>34.557349518918279</v>
      </c>
      <c r="F8" s="141">
        <f t="shared" ref="F8:F33" si="1">E8/E$35*100</f>
        <v>6.9644835525859454</v>
      </c>
      <c r="H8" s="151">
        <f>E8-B8</f>
        <v>4.6765637180368742</v>
      </c>
      <c r="I8" s="141">
        <f>IF(B8&lt;&gt;0,((E8/B8)-1)*100,0)</f>
        <v>15.650738736258152</v>
      </c>
      <c r="K8" s="207">
        <f t="shared" ref="K8:K33" si="2">(($E$35/$B$35)-1)*B8</f>
        <v>-0.55368718650268667</v>
      </c>
      <c r="L8" s="141">
        <f>IF(B8&lt;&gt;0,K8/B8*100,0)</f>
        <v>-1.8529873685127596</v>
      </c>
      <c r="N8" s="151">
        <f>H8-(K8+Q8)</f>
        <v>5.7355342975602532</v>
      </c>
      <c r="O8" s="141">
        <f>IF(B8&lt;&gt;0,N8/B8*100,0)</f>
        <v>19.194723779289198</v>
      </c>
      <c r="Q8" s="151">
        <v>-0.50528339302069214</v>
      </c>
      <c r="R8" s="141">
        <f>IF(B8&lt;&gt;0,Q8/B8*100,0)</f>
        <v>-1.6909976745182773</v>
      </c>
      <c r="AT8" s="137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51">
        <v>12.511934815118931</v>
      </c>
      <c r="C9" s="141">
        <f t="shared" si="0"/>
        <v>2.4748566575650321</v>
      </c>
      <c r="E9" s="151">
        <v>13.243017973457505</v>
      </c>
      <c r="F9" s="141">
        <f t="shared" si="1"/>
        <v>2.6689194092345967</v>
      </c>
      <c r="H9" s="151">
        <f t="shared" ref="H9:H32" si="3">E9-B9</f>
        <v>0.73108315833857418</v>
      </c>
      <c r="I9" s="141">
        <f t="shared" ref="I9:I32" si="4">IF(B9&lt;&gt;0,((E9/B9)-1)*100,0)</f>
        <v>5.8430863742605421</v>
      </c>
      <c r="K9" s="207">
        <f t="shared" si="2"/>
        <v>-0.23184457168070408</v>
      </c>
      <c r="L9" s="141">
        <f t="shared" ref="L9:L32" si="5">IF(B9&lt;&gt;0,K9/B9*100,0)</f>
        <v>-1.8529873685127596</v>
      </c>
      <c r="N9" s="151">
        <f t="shared" ref="N9:N31" si="6">H9-(K9+Q9)</f>
        <v>0.92176256578152294</v>
      </c>
      <c r="O9" s="141">
        <f>IF(B9&lt;&gt;0,N9/B9*100,0)</f>
        <v>7.367066560063126</v>
      </c>
      <c r="Q9" s="151">
        <v>4.1165164237755375E-2</v>
      </c>
      <c r="R9" s="141">
        <f>IF(B9&lt;&gt;0,Q9/B9*100,0)</f>
        <v>0.32900718271016732</v>
      </c>
      <c r="T9" s="136"/>
    </row>
    <row r="10" spans="1:97" x14ac:dyDescent="0.25">
      <c r="A10" s="10" t="str">
        <f>name!$D6</f>
        <v>21 Science, research, engineering and technology professionals</v>
      </c>
      <c r="B10" s="151">
        <v>23.692567314037611</v>
      </c>
      <c r="C10" s="141">
        <f t="shared" si="0"/>
        <v>4.6863821477954444</v>
      </c>
      <c r="E10" s="151">
        <v>26.67415223973487</v>
      </c>
      <c r="F10" s="141">
        <f t="shared" si="1"/>
        <v>5.3757506619860154</v>
      </c>
      <c r="H10" s="151">
        <f t="shared" si="3"/>
        <v>2.9815849256972591</v>
      </c>
      <c r="I10" s="141">
        <f t="shared" si="4"/>
        <v>12.584473797952246</v>
      </c>
      <c r="K10" s="207">
        <f t="shared" si="2"/>
        <v>-0.43902027960549972</v>
      </c>
      <c r="L10" s="141">
        <f t="shared" si="5"/>
        <v>-1.8529873685127596</v>
      </c>
      <c r="N10" s="151">
        <f t="shared" si="6"/>
        <v>4.1032666399339872</v>
      </c>
      <c r="O10" s="141">
        <f t="shared" ref="O10:O32" si="7">IF(B10&lt;&gt;0,N10/B10*100,0)</f>
        <v>17.318792790778915</v>
      </c>
      <c r="Q10" s="151">
        <v>-0.68266143463122864</v>
      </c>
      <c r="R10" s="141">
        <f t="shared" ref="R10:R32" si="8">IF(B10&lt;&gt;0,Q10/B10*100,0)</f>
        <v>-2.8813316243139195</v>
      </c>
      <c r="AT10" s="137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51">
        <v>21.674771905892207</v>
      </c>
      <c r="C11" s="141">
        <f t="shared" si="0"/>
        <v>4.287262869023424</v>
      </c>
      <c r="E11" s="151">
        <v>26.885303796114776</v>
      </c>
      <c r="F11" s="141">
        <f t="shared" si="1"/>
        <v>5.4183048960920122</v>
      </c>
      <c r="H11" s="151">
        <f>E11-B11</f>
        <v>5.210531890222569</v>
      </c>
      <c r="I11" s="141">
        <f>IF(B11&lt;&gt;0,((E11/B11)-1)*100,0)</f>
        <v>24.039615793170597</v>
      </c>
      <c r="K11" s="207">
        <f t="shared" si="2"/>
        <v>-0.40163078557013493</v>
      </c>
      <c r="L11" s="141">
        <f t="shared" si="5"/>
        <v>-1.8529873685127596</v>
      </c>
      <c r="N11" s="151">
        <f t="shared" si="6"/>
        <v>2.6995403127120898</v>
      </c>
      <c r="O11" s="141">
        <f t="shared" si="7"/>
        <v>12.454757652966258</v>
      </c>
      <c r="Q11" s="151">
        <v>2.9126223630806143</v>
      </c>
      <c r="R11" s="141">
        <f>IF(B11&lt;&gt;0,Q11/B11*100,0)</f>
        <v>13.43784550871711</v>
      </c>
      <c r="T11" s="136"/>
    </row>
    <row r="12" spans="1:97" x14ac:dyDescent="0.25">
      <c r="A12" s="10" t="str">
        <f>name!$D8</f>
        <v>23 Teaching and other educational professionals</v>
      </c>
      <c r="B12" s="151">
        <v>19.540374765671235</v>
      </c>
      <c r="C12" s="141">
        <f t="shared" si="0"/>
        <v>3.8650798053792075</v>
      </c>
      <c r="E12" s="151">
        <v>22.026617843508607</v>
      </c>
      <c r="F12" s="141">
        <f t="shared" si="1"/>
        <v>4.4391141052710479</v>
      </c>
      <c r="H12" s="151">
        <f t="shared" si="3"/>
        <v>2.4862430778373721</v>
      </c>
      <c r="I12" s="141">
        <f t="shared" si="4"/>
        <v>12.723620235806511</v>
      </c>
      <c r="K12" s="207">
        <f t="shared" si="2"/>
        <v>-0.36208067616794271</v>
      </c>
      <c r="L12" s="141">
        <f t="shared" si="5"/>
        <v>-1.8529873685127596</v>
      </c>
      <c r="N12" s="151">
        <f t="shared" si="6"/>
        <v>2.4737933966524555</v>
      </c>
      <c r="O12" s="141">
        <f t="shared" si="7"/>
        <v>12.659907633902936</v>
      </c>
      <c r="Q12" s="151">
        <v>0.37453035735285922</v>
      </c>
      <c r="R12" s="141">
        <f t="shared" si="8"/>
        <v>1.9166999704163232</v>
      </c>
      <c r="AT12" s="137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51">
        <v>22.806193659159341</v>
      </c>
      <c r="C13" s="141">
        <f t="shared" si="0"/>
        <v>4.5110577256912778</v>
      </c>
      <c r="E13" s="151">
        <v>27.957759360330201</v>
      </c>
      <c r="F13" s="141">
        <f t="shared" si="1"/>
        <v>5.6344412387756044</v>
      </c>
      <c r="H13" s="151">
        <f t="shared" si="3"/>
        <v>5.1515657011708598</v>
      </c>
      <c r="I13" s="141">
        <f t="shared" si="4"/>
        <v>22.58845021734659</v>
      </c>
      <c r="K13" s="207">
        <f t="shared" si="2"/>
        <v>-0.42259588774278051</v>
      </c>
      <c r="L13" s="141">
        <f t="shared" si="5"/>
        <v>-1.8529873685127596</v>
      </c>
      <c r="N13" s="151">
        <f>H13-(K13+Q13)</f>
        <v>6.237464831689266</v>
      </c>
      <c r="O13" s="141">
        <f>IF(B13&lt;&gt;0,N13/B13*100,0)</f>
        <v>27.34987225360247</v>
      </c>
      <c r="Q13" s="151">
        <v>-0.66330324277562536</v>
      </c>
      <c r="R13" s="141">
        <f t="shared" si="8"/>
        <v>-2.9084346677431281</v>
      </c>
      <c r="T13" s="136"/>
    </row>
    <row r="14" spans="1:97" x14ac:dyDescent="0.25">
      <c r="A14" s="10" t="str">
        <f>name!$D10</f>
        <v>31 Science, engineering and technology associate professionals</v>
      </c>
      <c r="B14" s="151">
        <v>7.6396337675645283</v>
      </c>
      <c r="C14" s="141">
        <f t="shared" si="0"/>
        <v>1.511117087036709</v>
      </c>
      <c r="E14" s="151">
        <v>8.7119007645620972</v>
      </c>
      <c r="F14" s="141">
        <f t="shared" si="1"/>
        <v>1.7557448829615236</v>
      </c>
      <c r="H14" s="151">
        <f t="shared" si="3"/>
        <v>1.0722669969975689</v>
      </c>
      <c r="I14" s="141">
        <f t="shared" si="4"/>
        <v>14.035581149846156</v>
      </c>
      <c r="K14" s="207">
        <f t="shared" si="2"/>
        <v>-0.14156144871360615</v>
      </c>
      <c r="L14" s="141">
        <f>IF(B14&lt;&gt;0,K14/B14*100,0)</f>
        <v>-1.8529873685127596</v>
      </c>
      <c r="N14" s="151">
        <f t="shared" si="6"/>
        <v>1.6006374602283977</v>
      </c>
      <c r="O14" s="141">
        <f t="shared" si="7"/>
        <v>20.951756444454166</v>
      </c>
      <c r="Q14" s="151">
        <v>-0.38680901451722272</v>
      </c>
      <c r="R14" s="141">
        <f t="shared" si="8"/>
        <v>-5.0631879260952477</v>
      </c>
      <c r="AT14" s="137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51">
        <v>9.0328897579836376</v>
      </c>
      <c r="C15" s="141">
        <f t="shared" si="0"/>
        <v>1.7867026710835934</v>
      </c>
      <c r="E15" s="151">
        <v>11.001883705458065</v>
      </c>
      <c r="F15" s="141">
        <f t="shared" si="1"/>
        <v>2.2172544822101985</v>
      </c>
      <c r="H15" s="151">
        <f t="shared" si="3"/>
        <v>1.9689939474744271</v>
      </c>
      <c r="I15" s="141">
        <f t="shared" si="4"/>
        <v>21.798051346017466</v>
      </c>
      <c r="K15" s="207">
        <f t="shared" si="2"/>
        <v>-0.16737830622711958</v>
      </c>
      <c r="L15" s="141">
        <f t="shared" si="5"/>
        <v>-1.8529873685127596</v>
      </c>
      <c r="N15" s="151">
        <f t="shared" si="6"/>
        <v>0.93802688519140265</v>
      </c>
      <c r="O15" s="141">
        <f t="shared" si="7"/>
        <v>10.384571386607879</v>
      </c>
      <c r="Q15" s="151">
        <v>1.1983453685101442</v>
      </c>
      <c r="R15" s="141">
        <f t="shared" si="8"/>
        <v>13.266467327922356</v>
      </c>
      <c r="T15" s="11"/>
    </row>
    <row r="16" spans="1:97" x14ac:dyDescent="0.25">
      <c r="A16" s="10" t="str">
        <f>name!$D12</f>
        <v>33 Protective service occupations</v>
      </c>
      <c r="B16" s="151">
        <v>4.4444232941510675</v>
      </c>
      <c r="C16" s="141">
        <f t="shared" si="0"/>
        <v>0.87910548936650024</v>
      </c>
      <c r="E16" s="151">
        <v>4.6873216411379666</v>
      </c>
      <c r="F16" s="141">
        <f t="shared" si="1"/>
        <v>0.9446550424104222</v>
      </c>
      <c r="H16" s="151">
        <f t="shared" si="3"/>
        <v>0.24289834698689905</v>
      </c>
      <c r="I16" s="141">
        <f t="shared" si="4"/>
        <v>5.4652388152711895</v>
      </c>
      <c r="K16" s="207">
        <f t="shared" si="2"/>
        <v>-8.2354602243857974E-2</v>
      </c>
      <c r="L16" s="141">
        <f t="shared" si="5"/>
        <v>-1.8529873685127596</v>
      </c>
      <c r="N16" s="151">
        <f t="shared" si="6"/>
        <v>0.45657808211679468</v>
      </c>
      <c r="O16" s="141">
        <f t="shared" si="7"/>
        <v>10.273055735209983</v>
      </c>
      <c r="Q16" s="151">
        <v>-0.13132513288603764</v>
      </c>
      <c r="R16" s="141">
        <f t="shared" si="8"/>
        <v>-2.9548295514260228</v>
      </c>
      <c r="T16" s="11"/>
    </row>
    <row r="17" spans="1:20" x14ac:dyDescent="0.25">
      <c r="A17" s="10" t="str">
        <f>name!$D13</f>
        <v>34 Culture, media and sports occupations</v>
      </c>
      <c r="B17" s="151">
        <v>7.5269975158661087</v>
      </c>
      <c r="C17" s="141">
        <f t="shared" si="0"/>
        <v>1.4888376728998831</v>
      </c>
      <c r="E17" s="151">
        <v>7.6956038424600592</v>
      </c>
      <c r="F17" s="141">
        <f t="shared" si="1"/>
        <v>1.5509264204041293</v>
      </c>
      <c r="H17" s="151">
        <f t="shared" si="3"/>
        <v>0.16860632659395058</v>
      </c>
      <c r="I17" s="141">
        <f t="shared" si="4"/>
        <v>2.2400210208459059</v>
      </c>
      <c r="K17" s="207">
        <f t="shared" si="2"/>
        <v>-0.13947431319726819</v>
      </c>
      <c r="L17" s="141">
        <f t="shared" si="5"/>
        <v>-1.8529873685127596</v>
      </c>
      <c r="N17" s="151">
        <f t="shared" si="6"/>
        <v>0.5953315146365743</v>
      </c>
      <c r="O17" s="141">
        <f t="shared" si="7"/>
        <v>7.909282730354021</v>
      </c>
      <c r="Q17" s="151">
        <v>-0.2872508748453555</v>
      </c>
      <c r="R17" s="141">
        <f t="shared" si="8"/>
        <v>-3.8162743409953475</v>
      </c>
      <c r="T17" s="11"/>
    </row>
    <row r="18" spans="1:20" x14ac:dyDescent="0.25">
      <c r="A18" s="10" t="str">
        <f>name!$D14</f>
        <v>35 Business and public service associate professionals</v>
      </c>
      <c r="B18" s="151">
        <v>27.483441028271098</v>
      </c>
      <c r="C18" s="141">
        <f t="shared" si="0"/>
        <v>5.4362157417430685</v>
      </c>
      <c r="E18" s="151">
        <v>28.718892057032409</v>
      </c>
      <c r="F18" s="141">
        <f t="shared" si="1"/>
        <v>5.787835414582287</v>
      </c>
      <c r="H18" s="151">
        <f t="shared" si="3"/>
        <v>1.235451028761311</v>
      </c>
      <c r="I18" s="141">
        <f t="shared" si="4"/>
        <v>4.4952559888350674</v>
      </c>
      <c r="K18" s="207">
        <f t="shared" si="2"/>
        <v>-0.5092646906865167</v>
      </c>
      <c r="L18" s="141">
        <f t="shared" si="5"/>
        <v>-1.8529873685127596</v>
      </c>
      <c r="N18" s="151">
        <f t="shared" si="6"/>
        <v>2.3868554570855256</v>
      </c>
      <c r="O18" s="141">
        <f t="shared" si="7"/>
        <v>8.6847038354122557</v>
      </c>
      <c r="Q18" s="151">
        <v>-0.64213973763769816</v>
      </c>
      <c r="R18" s="141">
        <f t="shared" si="8"/>
        <v>-2.3364604780644282</v>
      </c>
      <c r="T18" s="11"/>
    </row>
    <row r="19" spans="1:20" x14ac:dyDescent="0.25">
      <c r="A19" s="10" t="str">
        <f>name!$D15</f>
        <v>41 Administrative occupations</v>
      </c>
      <c r="B19" s="151">
        <v>49.13839945665805</v>
      </c>
      <c r="C19" s="141">
        <f t="shared" si="0"/>
        <v>9.7195595113275992</v>
      </c>
      <c r="E19" s="151">
        <v>47.19806700974938</v>
      </c>
      <c r="F19" s="141">
        <f t="shared" si="1"/>
        <v>9.5120188897385738</v>
      </c>
      <c r="H19" s="151">
        <f t="shared" si="3"/>
        <v>-1.9403324469086698</v>
      </c>
      <c r="I19" s="141">
        <f t="shared" si="4"/>
        <v>-3.9487090917971757</v>
      </c>
      <c r="K19" s="207">
        <f t="shared" si="2"/>
        <v>-0.91052833502121611</v>
      </c>
      <c r="L19" s="141">
        <f t="shared" si="5"/>
        <v>-1.8529873685127596</v>
      </c>
      <c r="N19" s="151">
        <f t="shared" si="6"/>
        <v>-0.14705108730632821</v>
      </c>
      <c r="O19" s="141">
        <f t="shared" si="7"/>
        <v>-0.2992590091096331</v>
      </c>
      <c r="Q19" s="151">
        <v>-0.88275302458112537</v>
      </c>
      <c r="R19" s="141">
        <f t="shared" si="8"/>
        <v>-1.7964627141747815</v>
      </c>
      <c r="T19" s="11"/>
    </row>
    <row r="20" spans="1:20" x14ac:dyDescent="0.25">
      <c r="A20" s="10" t="str">
        <f>name!$D16</f>
        <v>42 Secretarial and related occupations</v>
      </c>
      <c r="B20" s="151">
        <v>10.999553279205751</v>
      </c>
      <c r="C20" s="141">
        <f t="shared" si="0"/>
        <v>2.1757080791684795</v>
      </c>
      <c r="E20" s="151">
        <v>9.2803332734652102</v>
      </c>
      <c r="F20" s="141">
        <f t="shared" si="1"/>
        <v>1.8703034042058586</v>
      </c>
      <c r="H20" s="151">
        <f t="shared" si="3"/>
        <v>-1.7192200057405405</v>
      </c>
      <c r="I20" s="141">
        <f t="shared" si="4"/>
        <v>-15.629907525341624</v>
      </c>
      <c r="K20" s="207">
        <f t="shared" si="2"/>
        <v>-0.2038203328565136</v>
      </c>
      <c r="L20" s="141">
        <f t="shared" si="5"/>
        <v>-1.8529873685127596</v>
      </c>
      <c r="N20" s="151">
        <f t="shared" si="6"/>
        <v>-1.6977461314663826</v>
      </c>
      <c r="O20" s="141">
        <f t="shared" si="7"/>
        <v>-15.434682558208152</v>
      </c>
      <c r="Q20" s="151">
        <v>0.18234645858235571</v>
      </c>
      <c r="R20" s="141">
        <f t="shared" si="8"/>
        <v>1.65776240137929</v>
      </c>
      <c r="T20" s="11"/>
    </row>
    <row r="21" spans="1:20" x14ac:dyDescent="0.25">
      <c r="A21" s="10" t="str">
        <f>name!$D17</f>
        <v>51 Skilled agricultural and related trades</v>
      </c>
      <c r="B21" s="151">
        <v>4.3313158907234133</v>
      </c>
      <c r="C21" s="141">
        <f t="shared" si="0"/>
        <v>0.85673288157009675</v>
      </c>
      <c r="E21" s="151">
        <v>3.1931450848658716</v>
      </c>
      <c r="F21" s="141">
        <f t="shared" si="1"/>
        <v>0.6435275486736789</v>
      </c>
      <c r="H21" s="151">
        <f t="shared" si="3"/>
        <v>-1.1381708058575417</v>
      </c>
      <c r="I21" s="141">
        <f t="shared" si="4"/>
        <v>-26.277714084424474</v>
      </c>
      <c r="K21" s="207">
        <f t="shared" si="2"/>
        <v>-8.0258736345490772E-2</v>
      </c>
      <c r="L21" s="141">
        <f t="shared" si="5"/>
        <v>-1.8529873685127596</v>
      </c>
      <c r="N21" s="151">
        <f t="shared" si="6"/>
        <v>-0.10359484699350063</v>
      </c>
      <c r="O21" s="141">
        <f t="shared" si="7"/>
        <v>-2.3917638336048102</v>
      </c>
      <c r="Q21" s="151">
        <v>-0.95431722251855033</v>
      </c>
      <c r="R21" s="141">
        <f t="shared" si="8"/>
        <v>-22.032962882306904</v>
      </c>
      <c r="T21" s="11"/>
    </row>
    <row r="22" spans="1:20" x14ac:dyDescent="0.25">
      <c r="A22" s="10" t="str">
        <f>name!$D18</f>
        <v>52 Skilled metal, electrical and electronic trades</v>
      </c>
      <c r="B22" s="151">
        <v>28.622677836919465</v>
      </c>
      <c r="C22" s="141">
        <f t="shared" si="0"/>
        <v>5.6615564138363759</v>
      </c>
      <c r="E22" s="151">
        <v>23.236826282247673</v>
      </c>
      <c r="F22" s="141">
        <f t="shared" si="1"/>
        <v>4.6830123464305675</v>
      </c>
      <c r="H22" s="151">
        <f t="shared" si="3"/>
        <v>-5.3858515546717918</v>
      </c>
      <c r="I22" s="141">
        <f t="shared" si="4"/>
        <v>-18.816728418487649</v>
      </c>
      <c r="K22" s="207">
        <f t="shared" si="2"/>
        <v>-0.53037460484821886</v>
      </c>
      <c r="L22" s="141">
        <f t="shared" si="5"/>
        <v>-1.8529873685127596</v>
      </c>
      <c r="N22" s="151">
        <f t="shared" si="6"/>
        <v>-4.1123369873547508</v>
      </c>
      <c r="O22" s="141">
        <f t="shared" si="7"/>
        <v>-14.367408286482478</v>
      </c>
      <c r="Q22" s="151">
        <v>-0.74313996246882208</v>
      </c>
      <c r="R22" s="141">
        <f t="shared" si="8"/>
        <v>-2.5963327634924149</v>
      </c>
      <c r="T22" s="11"/>
    </row>
    <row r="23" spans="1:20" x14ac:dyDescent="0.25">
      <c r="A23" s="10" t="str">
        <f>name!$D19</f>
        <v>53 Skilled construction and building trades</v>
      </c>
      <c r="B23" s="151">
        <v>18.67563056886091</v>
      </c>
      <c r="C23" s="141">
        <f t="shared" si="0"/>
        <v>3.6940336830815816</v>
      </c>
      <c r="E23" s="151">
        <v>17.473473402618112</v>
      </c>
      <c r="F23" s="141">
        <f t="shared" si="1"/>
        <v>3.5215003411202326</v>
      </c>
      <c r="H23" s="151">
        <f t="shared" si="3"/>
        <v>-1.2021571662427988</v>
      </c>
      <c r="I23" s="141">
        <f t="shared" si="4"/>
        <v>-6.4370365531176921</v>
      </c>
      <c r="K23" s="207">
        <f t="shared" si="2"/>
        <v>-0.34605707543110031</v>
      </c>
      <c r="L23" s="141">
        <f t="shared" si="5"/>
        <v>-1.8529873685127596</v>
      </c>
      <c r="N23" s="151">
        <f t="shared" si="6"/>
        <v>-2.4986513412072799</v>
      </c>
      <c r="O23" s="141">
        <f t="shared" si="7"/>
        <v>-13.379207368630667</v>
      </c>
      <c r="Q23" s="151">
        <v>1.6425512503955815</v>
      </c>
      <c r="R23" s="141">
        <f t="shared" si="8"/>
        <v>8.7951581840257305</v>
      </c>
      <c r="T23" s="11"/>
    </row>
    <row r="24" spans="1:20" x14ac:dyDescent="0.25">
      <c r="A24" s="10" t="str">
        <f>name!$D20</f>
        <v>54 Textiles, printing and other skilled trades</v>
      </c>
      <c r="B24" s="151">
        <v>9.6691034984265638</v>
      </c>
      <c r="C24" s="141">
        <f t="shared" si="0"/>
        <v>1.9125455430642653</v>
      </c>
      <c r="E24" s="151">
        <v>8.3294023293213026</v>
      </c>
      <c r="F24" s="141">
        <f t="shared" si="1"/>
        <v>1.678658413709418</v>
      </c>
      <c r="H24" s="151">
        <f t="shared" si="3"/>
        <v>-1.3397011691052612</v>
      </c>
      <c r="I24" s="141">
        <f t="shared" si="4"/>
        <v>-13.855484837071696</v>
      </c>
      <c r="K24" s="207">
        <f t="shared" si="2"/>
        <v>-0.17916726647426956</v>
      </c>
      <c r="L24" s="141">
        <f t="shared" si="5"/>
        <v>-1.8529873685127596</v>
      </c>
      <c r="N24" s="151">
        <f t="shared" si="6"/>
        <v>-1.364802815611895</v>
      </c>
      <c r="O24" s="141">
        <f t="shared" si="7"/>
        <v>-14.115091599071071</v>
      </c>
      <c r="Q24" s="151">
        <v>0.20426891298090336</v>
      </c>
      <c r="R24" s="141">
        <f t="shared" si="8"/>
        <v>2.1125941305121376</v>
      </c>
      <c r="T24" s="11"/>
    </row>
    <row r="25" spans="1:20" x14ac:dyDescent="0.25">
      <c r="A25" s="10" t="str">
        <f>name!$D21</f>
        <v>61 Caring personal service occupations</v>
      </c>
      <c r="B25" s="151">
        <v>38.549226321705426</v>
      </c>
      <c r="C25" s="141">
        <f t="shared" si="0"/>
        <v>7.6250244918932619</v>
      </c>
      <c r="E25" s="151">
        <v>39.709013980070296</v>
      </c>
      <c r="F25" s="141">
        <f t="shared" si="1"/>
        <v>8.0027194968238895</v>
      </c>
      <c r="H25" s="151">
        <f t="shared" si="3"/>
        <v>1.1597876583648699</v>
      </c>
      <c r="I25" s="141">
        <f t="shared" si="4"/>
        <v>3.0085886774641857</v>
      </c>
      <c r="K25" s="207">
        <f t="shared" si="2"/>
        <v>-0.7143122944005974</v>
      </c>
      <c r="L25" s="141">
        <f t="shared" si="5"/>
        <v>-1.8529873685127596</v>
      </c>
      <c r="N25" s="151">
        <f t="shared" si="6"/>
        <v>-2.0921676141256786</v>
      </c>
      <c r="O25" s="141">
        <f t="shared" si="7"/>
        <v>-5.4272622663445471</v>
      </c>
      <c r="Q25" s="151">
        <v>3.9662675668911458</v>
      </c>
      <c r="R25" s="141">
        <f t="shared" si="8"/>
        <v>10.288838312321484</v>
      </c>
      <c r="T25" s="11"/>
    </row>
    <row r="26" spans="1:20" x14ac:dyDescent="0.25">
      <c r="A26" s="10" t="str">
        <f>name!$D22</f>
        <v>62 Leisure, travel and related personal service occupations</v>
      </c>
      <c r="B26" s="151">
        <v>11.482295485656088</v>
      </c>
      <c r="C26" s="141">
        <f t="shared" si="0"/>
        <v>2.2711943313888474</v>
      </c>
      <c r="E26" s="151">
        <v>9.1820078898329758</v>
      </c>
      <c r="F26" s="141">
        <f t="shared" si="1"/>
        <v>1.8504874887308156</v>
      </c>
      <c r="H26" s="151">
        <f t="shared" si="3"/>
        <v>-2.3002875958231126</v>
      </c>
      <c r="I26" s="141">
        <f t="shared" si="4"/>
        <v>-20.033342624710173</v>
      </c>
      <c r="K26" s="207">
        <f t="shared" si="2"/>
        <v>-0.21276548496451814</v>
      </c>
      <c r="L26" s="141">
        <f t="shared" si="5"/>
        <v>-1.8529873685127596</v>
      </c>
      <c r="N26" s="151">
        <f t="shared" si="6"/>
        <v>-1.2199026643156883</v>
      </c>
      <c r="O26" s="141">
        <f t="shared" si="7"/>
        <v>-10.624205463442522</v>
      </c>
      <c r="Q26" s="151">
        <v>-0.86761944654290613</v>
      </c>
      <c r="R26" s="141">
        <f t="shared" si="8"/>
        <v>-7.5561497927548862</v>
      </c>
      <c r="T26" s="11"/>
    </row>
    <row r="27" spans="1:20" x14ac:dyDescent="0.25">
      <c r="A27" s="10" t="str">
        <f>name!$D23</f>
        <v>63 Community and civil enforcement occupations</v>
      </c>
      <c r="B27" s="151">
        <v>0.44667082132503066</v>
      </c>
      <c r="C27" s="141">
        <f t="shared" si="0"/>
        <v>8.8351343915292396E-2</v>
      </c>
      <c r="E27" s="151">
        <v>0.44693455623107448</v>
      </c>
      <c r="F27" s="141">
        <f t="shared" si="1"/>
        <v>9.0072543446933023E-2</v>
      </c>
      <c r="H27" s="151">
        <f t="shared" si="3"/>
        <v>2.63734906043811E-4</v>
      </c>
      <c r="I27" s="141">
        <f t="shared" si="4"/>
        <v>5.9044579017153431E-2</v>
      </c>
      <c r="K27" s="207">
        <f t="shared" si="2"/>
        <v>-8.2767538979850157E-3</v>
      </c>
      <c r="L27" s="141">
        <f t="shared" si="5"/>
        <v>-1.8529873685127596</v>
      </c>
      <c r="N27" s="151">
        <f t="shared" si="6"/>
        <v>2.1785244288998338E-2</v>
      </c>
      <c r="O27" s="141">
        <f t="shared" si="7"/>
        <v>4.8772481319404983</v>
      </c>
      <c r="Q27" s="151">
        <v>-1.3244755484969511E-2</v>
      </c>
      <c r="R27" s="141">
        <f t="shared" si="8"/>
        <v>-2.9652161844105884</v>
      </c>
      <c r="T27" s="172"/>
    </row>
    <row r="28" spans="1:20" x14ac:dyDescent="0.25">
      <c r="A28" s="10" t="str">
        <f>name!$D24</f>
        <v>71 Sales occupations</v>
      </c>
      <c r="B28" s="151">
        <v>34.223800198352485</v>
      </c>
      <c r="C28" s="141">
        <f t="shared" si="0"/>
        <v>6.769456604403115</v>
      </c>
      <c r="E28" s="151">
        <v>30.25093913476638</v>
      </c>
      <c r="F28" s="141">
        <f t="shared" si="1"/>
        <v>6.096595108922398</v>
      </c>
      <c r="H28" s="151">
        <f t="shared" si="3"/>
        <v>-3.9728610635861052</v>
      </c>
      <c r="I28" s="141">
        <f t="shared" si="4"/>
        <v>-11.608474338210273</v>
      </c>
      <c r="K28" s="207">
        <f t="shared" si="2"/>
        <v>-0.63416269470051634</v>
      </c>
      <c r="L28" s="141">
        <f t="shared" si="5"/>
        <v>-1.8529873685127596</v>
      </c>
      <c r="N28" s="151">
        <f>H28-(K28+Q28)</f>
        <v>-2.5257570086467336</v>
      </c>
      <c r="O28" s="141">
        <f t="shared" si="7"/>
        <v>-7.3801184965085271</v>
      </c>
      <c r="Q28" s="151">
        <v>-0.81294136023885522</v>
      </c>
      <c r="R28" s="141">
        <f t="shared" si="8"/>
        <v>-2.3753684731889879</v>
      </c>
      <c r="T28" s="11"/>
    </row>
    <row r="29" spans="1:20" x14ac:dyDescent="0.25">
      <c r="A29" s="10" t="str">
        <f>name!$D25</f>
        <v>72 Customer service occupations</v>
      </c>
      <c r="B29" s="151">
        <v>9.0886906437377402</v>
      </c>
      <c r="C29" s="141">
        <f t="shared" si="0"/>
        <v>1.7977400682285729</v>
      </c>
      <c r="E29" s="151">
        <v>9.088846806026746</v>
      </c>
      <c r="F29" s="141">
        <f t="shared" si="1"/>
        <v>1.8317123556566086</v>
      </c>
      <c r="H29" s="151">
        <f t="shared" si="3"/>
        <v>1.5616228900583451E-4</v>
      </c>
      <c r="I29" s="141">
        <f t="shared" si="4"/>
        <v>1.7182044711017141E-3</v>
      </c>
      <c r="K29" s="207">
        <f t="shared" si="2"/>
        <v>-0.16841228959166135</v>
      </c>
      <c r="L29" s="141">
        <f t="shared" si="5"/>
        <v>-1.8529873685127596</v>
      </c>
      <c r="N29" s="151">
        <f t="shared" si="6"/>
        <v>0.73225400713309097</v>
      </c>
      <c r="O29" s="141">
        <f t="shared" si="7"/>
        <v>8.0567601631113526</v>
      </c>
      <c r="Q29" s="151">
        <v>-0.56368555525242381</v>
      </c>
      <c r="R29" s="141">
        <f t="shared" si="8"/>
        <v>-6.2020545901274859</v>
      </c>
      <c r="T29" s="11"/>
    </row>
    <row r="30" spans="1:20" x14ac:dyDescent="0.25">
      <c r="A30" s="10" t="str">
        <f>name!$D26</f>
        <v>81 Process, plant and machine operatives</v>
      </c>
      <c r="B30" s="151">
        <v>23.01767694669358</v>
      </c>
      <c r="C30" s="141">
        <f t="shared" si="0"/>
        <v>4.5528890515295011</v>
      </c>
      <c r="E30" s="151">
        <v>18.382917992462492</v>
      </c>
      <c r="F30" s="141">
        <f t="shared" si="1"/>
        <v>3.7047844174783462</v>
      </c>
      <c r="H30" s="151">
        <f t="shared" si="3"/>
        <v>-4.6347589542310885</v>
      </c>
      <c r="I30" s="141">
        <f t="shared" si="4"/>
        <v>-20.135650374121951</v>
      </c>
      <c r="K30" s="207">
        <f t="shared" si="2"/>
        <v>-0.42651464634730546</v>
      </c>
      <c r="L30" s="141">
        <f t="shared" si="5"/>
        <v>-1.8529873685127596</v>
      </c>
      <c r="N30" s="151">
        <f t="shared" si="6"/>
        <v>-3.4378702092254096</v>
      </c>
      <c r="O30" s="141">
        <f t="shared" si="7"/>
        <v>-14.935782690786482</v>
      </c>
      <c r="Q30" s="151">
        <v>-0.77037409865837325</v>
      </c>
      <c r="R30" s="141">
        <f t="shared" si="8"/>
        <v>-3.3468803148227138</v>
      </c>
      <c r="T30" s="11"/>
    </row>
    <row r="31" spans="1:20" x14ac:dyDescent="0.25">
      <c r="A31" s="10" t="str">
        <f>name!$D27</f>
        <v>82 Transport and mobile machine drivers and operatives</v>
      </c>
      <c r="B31" s="151">
        <v>24.123007113083549</v>
      </c>
      <c r="C31" s="141">
        <f t="shared" si="0"/>
        <v>4.7715230007562957</v>
      </c>
      <c r="E31" s="151">
        <v>21.975456313535553</v>
      </c>
      <c r="F31" s="141">
        <f t="shared" si="1"/>
        <v>4.428803313529702</v>
      </c>
      <c r="H31" s="151">
        <f t="shared" si="3"/>
        <v>-2.1475507995479965</v>
      </c>
      <c r="I31" s="141">
        <f t="shared" si="4"/>
        <v>-8.9025003785006334</v>
      </c>
      <c r="K31" s="207">
        <f t="shared" si="2"/>
        <v>-0.44699627471087267</v>
      </c>
      <c r="L31" s="141">
        <f t="shared" si="5"/>
        <v>-1.8529873685127596</v>
      </c>
      <c r="N31" s="151">
        <f t="shared" si="6"/>
        <v>-1.2299465229358377</v>
      </c>
      <c r="O31" s="141">
        <f t="shared" si="7"/>
        <v>-5.0986451115738136</v>
      </c>
      <c r="Q31" s="151">
        <v>-0.47060800190128621</v>
      </c>
      <c r="R31" s="141">
        <f t="shared" si="8"/>
        <v>-1.9508678984140559</v>
      </c>
      <c r="T31" s="11"/>
    </row>
    <row r="32" spans="1:20" x14ac:dyDescent="0.25">
      <c r="A32" s="10" t="str">
        <f>name!$D28</f>
        <v>91 Elementary trades and related occupations</v>
      </c>
      <c r="B32" s="151">
        <v>11.487443580203085</v>
      </c>
      <c r="C32" s="141">
        <f t="shared" si="0"/>
        <v>2.2722126228243189</v>
      </c>
      <c r="E32" s="151">
        <v>8.59789452449556</v>
      </c>
      <c r="F32" s="141">
        <f t="shared" si="1"/>
        <v>1.7327687405521968</v>
      </c>
      <c r="H32" s="151">
        <f t="shared" si="3"/>
        <v>-2.8895490557075245</v>
      </c>
      <c r="I32" s="141">
        <f t="shared" si="4"/>
        <v>-25.153978215720997</v>
      </c>
      <c r="K32" s="207">
        <f t="shared" si="2"/>
        <v>-0.21286087850619306</v>
      </c>
      <c r="L32" s="141">
        <f t="shared" si="5"/>
        <v>-1.8529873685127596</v>
      </c>
      <c r="N32" s="151">
        <f>H32-(K32+Q32)</f>
        <v>-2.3422718208236146</v>
      </c>
      <c r="O32" s="141">
        <f t="shared" si="7"/>
        <v>-20.389843958495472</v>
      </c>
      <c r="Q32" s="151">
        <v>-0.33441635637771688</v>
      </c>
      <c r="R32" s="141">
        <f t="shared" si="8"/>
        <v>-2.9111468887127696</v>
      </c>
      <c r="T32" s="11"/>
    </row>
    <row r="33" spans="1:20" x14ac:dyDescent="0.25">
      <c r="A33" s="10" t="str">
        <f>name!$D29</f>
        <v>92 Elementary administration and service occupations</v>
      </c>
      <c r="B33" s="151">
        <v>45.472494733851811</v>
      </c>
      <c r="C33" s="141">
        <f t="shared" si="0"/>
        <v>8.9944447434442854</v>
      </c>
      <c r="E33" s="151">
        <v>37.688938677596269</v>
      </c>
      <c r="F33" s="141">
        <f t="shared" si="1"/>
        <v>7.5956054844670229</v>
      </c>
      <c r="H33" s="151">
        <f t="shared" ref="H33" si="9">E33-B33</f>
        <v>-7.7835560562555415</v>
      </c>
      <c r="I33" s="141">
        <f>IF(B33&lt;&gt;0,((E33/B33)-1)*100,0)</f>
        <v>-17.117064066557809</v>
      </c>
      <c r="K33" s="207">
        <f t="shared" si="2"/>
        <v>-0.84259958356590381</v>
      </c>
      <c r="L33" s="141">
        <f t="shared" ref="L33" si="10">IF(B33&lt;&gt;0,K33/B33*100,0)</f>
        <v>-1.8529873685127596</v>
      </c>
      <c r="N33" s="151">
        <f>H33-(K33+Q33)</f>
        <v>-6.1307316449970122</v>
      </c>
      <c r="O33" s="141">
        <f t="shared" ref="O33" si="11">IF(B33&lt;&gt;0,N33/B33*100,0)</f>
        <v>-13.482285678144274</v>
      </c>
      <c r="Q33" s="151">
        <v>-0.8102248276926256</v>
      </c>
      <c r="R33" s="141">
        <f t="shared" ref="R33" si="12">IF(B33&lt;&gt;0,Q33/B33*100,0)</f>
        <v>-1.7817910199007778</v>
      </c>
      <c r="T33" s="11"/>
    </row>
    <row r="34" spans="1:20" x14ac:dyDescent="0.25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5">
      <c r="A35" s="149" t="str">
        <f>name!$D$3</f>
        <v>All occupations</v>
      </c>
      <c r="B35" s="152">
        <f>SUM(B8:B33)</f>
        <v>505.56200000000013</v>
      </c>
      <c r="C35" s="147">
        <f>B35/B$35*100</f>
        <v>100</v>
      </c>
      <c r="D35" s="145"/>
      <c r="E35" s="152">
        <f>SUM(E8:E33)</f>
        <v>496.19399999999962</v>
      </c>
      <c r="F35" s="147">
        <f t="shared" ref="F35" si="13">E35/E$35*100</f>
        <v>100</v>
      </c>
      <c r="G35" s="145"/>
      <c r="H35" s="152">
        <f>E35-B35</f>
        <v>-9.3680000000005066</v>
      </c>
      <c r="I35" s="147">
        <f>IF(B35&lt;&gt;0,((E35/B35)-1)*100,0)</f>
        <v>-1.8529873685127596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5" x14ac:dyDescent="0.35">
      <c r="A37" s="276" t="str">
        <f>CONCATENATE("ShiftShare Table 1.1  Shift-share by occupation, ",I40,", ",Info!B5)</f>
        <v>ShiftShare Table 1.1  Shift-share by occupation, 2020-2035, Black Country</v>
      </c>
    </row>
    <row r="38" spans="1:20" ht="15.5" x14ac:dyDescent="0.35">
      <c r="A38" s="276"/>
    </row>
    <row r="39" spans="1:20" ht="13" x14ac:dyDescent="0.3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1" t="str">
        <f>K3</f>
        <v>Components of change</v>
      </c>
      <c r="L39" s="381"/>
      <c r="M39" s="381"/>
      <c r="N39" s="381"/>
      <c r="O39" s="381"/>
      <c r="P39" s="381"/>
      <c r="Q39" s="381"/>
      <c r="R39" s="381"/>
    </row>
    <row r="40" spans="1:20" ht="13" x14ac:dyDescent="0.3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80" t="str">
        <f>K4</f>
        <v>Scale effect</v>
      </c>
      <c r="L40" s="380"/>
      <c r="M40" s="136"/>
      <c r="N40" s="380" t="str">
        <f>N4</f>
        <v>Occupation effect</v>
      </c>
      <c r="O40" s="380"/>
      <c r="P40" s="136"/>
      <c r="Q40" s="380" t="str">
        <f>Q4</f>
        <v>Industry mix effect</v>
      </c>
      <c r="R40" s="380"/>
    </row>
    <row r="41" spans="1:20" ht="13" x14ac:dyDescent="0.3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ht="13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ht="13" x14ac:dyDescent="0.3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5">
      <c r="A44" s="135" t="str">
        <f t="shared" ref="A44:A68" si="14">A8</f>
        <v>11 Corporate managers and directors</v>
      </c>
      <c r="B44" s="151">
        <v>34.557349518918279</v>
      </c>
      <c r="C44" s="141">
        <f t="shared" ref="C44:C68" si="15">B44/B$71*100</f>
        <v>6.9644835525859454</v>
      </c>
      <c r="E44" s="151">
        <v>33.924972676339749</v>
      </c>
      <c r="F44" s="141">
        <f t="shared" ref="F44:F68" si="16">E44/E$71*100</f>
        <v>6.4997342006689927</v>
      </c>
      <c r="H44" s="151">
        <f>E44-B44</f>
        <v>-0.63237684257853033</v>
      </c>
      <c r="I44" s="141">
        <f>IF(B44&gt;0,((E44/B44)-1)*100,0)</f>
        <v>-1.8299344463102996</v>
      </c>
      <c r="K44" s="151">
        <f>(($E$71/$B$71)-1)*B44</f>
        <v>1.7933545147908878</v>
      </c>
      <c r="L44" s="141">
        <f>IF(B44&gt;0,K44/B44*100,0)</f>
        <v>5.189502492976561</v>
      </c>
      <c r="N44" s="151">
        <f>H44-(K44+Q44)</f>
        <v>-1.7328586049270061</v>
      </c>
      <c r="O44" s="141">
        <f>IF(B44&gt;0,N44/B44*100,0)</f>
        <v>-5.0144430318024238</v>
      </c>
      <c r="Q44" s="151">
        <v>-0.69287275244241209</v>
      </c>
      <c r="R44" s="141">
        <f>IF(B44&gt;0,Q44/B44*100,0)</f>
        <v>-2.0049939074844318</v>
      </c>
      <c r="T44" s="151"/>
    </row>
    <row r="45" spans="1:20" x14ac:dyDescent="0.25">
      <c r="A45" s="135" t="str">
        <f t="shared" si="14"/>
        <v>12 Other managers and proprietors</v>
      </c>
      <c r="B45" s="151">
        <v>13.243017973457505</v>
      </c>
      <c r="C45" s="141">
        <f t="shared" si="15"/>
        <v>2.6689194092345967</v>
      </c>
      <c r="E45" s="151">
        <v>15.301206610194454</v>
      </c>
      <c r="F45" s="141">
        <f t="shared" si="16"/>
        <v>2.9315801331549864</v>
      </c>
      <c r="H45" s="151">
        <f t="shared" ref="H45:H71" si="17">E45-B45</f>
        <v>2.0581886367369489</v>
      </c>
      <c r="I45" s="141">
        <f t="shared" ref="I45:I71" si="18">IF(B45&gt;0,((E45/B45)-1)*100,0)</f>
        <v>15.541688766579487</v>
      </c>
      <c r="K45" s="151">
        <f t="shared" ref="K45:K68" si="19">(($E$71/$B$71)-1)*B45</f>
        <v>0.68724674787791129</v>
      </c>
      <c r="L45" s="141">
        <f t="shared" ref="L45:L68" si="20">IF(B45&gt;0,K45/B45*100,0)</f>
        <v>5.189502492976561</v>
      </c>
      <c r="N45" s="151">
        <f t="shared" ref="N45:N68" si="21">H45-(K45+Q45)</f>
        <v>1.1316813548561817</v>
      </c>
      <c r="O45" s="141">
        <f t="shared" ref="O45:O68" si="22">IF(B45&gt;0,N45/B45*100,0)</f>
        <v>8.545494366347377</v>
      </c>
      <c r="Q45" s="151">
        <v>0.23926053400285574</v>
      </c>
      <c r="R45" s="141">
        <f>IF(B45&gt;0,Q45/B45*100,0)</f>
        <v>1.8066919072555581</v>
      </c>
      <c r="T45" s="151"/>
    </row>
    <row r="46" spans="1:20" x14ac:dyDescent="0.25">
      <c r="A46" s="135" t="str">
        <f t="shared" si="14"/>
        <v>21 Science, research, engineering and technology professionals</v>
      </c>
      <c r="B46" s="151">
        <v>26.67415223973487</v>
      </c>
      <c r="C46" s="141">
        <f t="shared" si="15"/>
        <v>5.3757506619860154</v>
      </c>
      <c r="E46" s="151">
        <v>36.460147888250177</v>
      </c>
      <c r="F46" s="141">
        <f t="shared" si="16"/>
        <v>6.9854520577399475</v>
      </c>
      <c r="H46" s="151">
        <f t="shared" si="17"/>
        <v>9.785995648515307</v>
      </c>
      <c r="I46" s="141">
        <f t="shared" si="18"/>
        <v>36.687185259210239</v>
      </c>
      <c r="K46" s="151">
        <f t="shared" si="19"/>
        <v>1.3842557954614043</v>
      </c>
      <c r="L46" s="141">
        <f t="shared" si="20"/>
        <v>5.189502492976561</v>
      </c>
      <c r="N46" s="151">
        <f t="shared" si="21"/>
        <v>9.3131468732021467</v>
      </c>
      <c r="O46" s="141">
        <f t="shared" si="22"/>
        <v>34.91449996048577</v>
      </c>
      <c r="Q46" s="151">
        <v>-0.91140702014824426</v>
      </c>
      <c r="R46" s="141">
        <f t="shared" ref="R46:R68" si="23">IF(B46&gt;0,Q46/B46*100,0)</f>
        <v>-3.4168171942521059</v>
      </c>
      <c r="T46" s="151"/>
    </row>
    <row r="47" spans="1:20" x14ac:dyDescent="0.25">
      <c r="A47" s="135" t="str">
        <f t="shared" si="14"/>
        <v>22 Health professionals</v>
      </c>
      <c r="B47" s="151">
        <v>26.885303796114776</v>
      </c>
      <c r="C47" s="141">
        <f t="shared" si="15"/>
        <v>5.4183048960920122</v>
      </c>
      <c r="E47" s="151">
        <v>28.579623063913772</v>
      </c>
      <c r="F47" s="141">
        <f t="shared" si="16"/>
        <v>5.4756109973318567</v>
      </c>
      <c r="H47" s="151">
        <f t="shared" si="17"/>
        <v>1.6943192677989956</v>
      </c>
      <c r="I47" s="141">
        <f t="shared" si="18"/>
        <v>6.3020276082721649</v>
      </c>
      <c r="K47" s="151">
        <f t="shared" si="19"/>
        <v>1.3952135107436983</v>
      </c>
      <c r="L47" s="141">
        <f t="shared" si="20"/>
        <v>5.189502492976561</v>
      </c>
      <c r="N47" s="151">
        <f t="shared" si="21"/>
        <v>-1.0976121040494418</v>
      </c>
      <c r="O47" s="141">
        <f t="shared" si="22"/>
        <v>-4.0825728151454213</v>
      </c>
      <c r="Q47" s="151">
        <v>1.3967178611047391</v>
      </c>
      <c r="R47" s="141">
        <f t="shared" si="23"/>
        <v>5.1950979304410172</v>
      </c>
      <c r="T47" s="151"/>
    </row>
    <row r="48" spans="1:20" x14ac:dyDescent="0.25">
      <c r="A48" s="135" t="str">
        <f t="shared" si="14"/>
        <v>23 Teaching and other educational professionals</v>
      </c>
      <c r="B48" s="151">
        <v>22.026617843508607</v>
      </c>
      <c r="C48" s="141">
        <f t="shared" si="15"/>
        <v>4.4391141052710479</v>
      </c>
      <c r="E48" s="151">
        <v>24.165356288680911</v>
      </c>
      <c r="F48" s="141">
        <f t="shared" si="16"/>
        <v>4.6298752909662575</v>
      </c>
      <c r="H48" s="151">
        <f t="shared" si="17"/>
        <v>2.1387384451723044</v>
      </c>
      <c r="I48" s="141">
        <f t="shared" si="18"/>
        <v>9.7097904924273504</v>
      </c>
      <c r="K48" s="151">
        <f t="shared" si="19"/>
        <v>1.1430718821072992</v>
      </c>
      <c r="L48" s="141">
        <f t="shared" si="20"/>
        <v>5.189502492976561</v>
      </c>
      <c r="N48" s="151">
        <f t="shared" si="21"/>
        <v>0.25977544006189124</v>
      </c>
      <c r="O48" s="141">
        <f t="shared" si="22"/>
        <v>1.1793705320876071</v>
      </c>
      <c r="Q48" s="151">
        <v>0.7358911230031141</v>
      </c>
      <c r="R48" s="141">
        <f t="shared" si="23"/>
        <v>3.3409174673631803</v>
      </c>
      <c r="T48" s="151"/>
    </row>
    <row r="49" spans="1:20" x14ac:dyDescent="0.25">
      <c r="A49" s="135" t="str">
        <f t="shared" si="14"/>
        <v>24 Business, media and public service professionals</v>
      </c>
      <c r="B49" s="151">
        <v>27.957759360330201</v>
      </c>
      <c r="C49" s="141">
        <f t="shared" si="15"/>
        <v>5.6344412387756044</v>
      </c>
      <c r="E49" s="151">
        <v>32.53409025770577</v>
      </c>
      <c r="F49" s="141">
        <f t="shared" si="16"/>
        <v>6.2332530420324375</v>
      </c>
      <c r="H49" s="151">
        <f t="shared" si="17"/>
        <v>4.5763308973755699</v>
      </c>
      <c r="I49" s="141">
        <f t="shared" si="18"/>
        <v>16.368732695614408</v>
      </c>
      <c r="K49" s="151">
        <f t="shared" si="19"/>
        <v>1.4508686189847235</v>
      </c>
      <c r="L49" s="141">
        <f t="shared" si="20"/>
        <v>5.189502492976561</v>
      </c>
      <c r="N49" s="151">
        <f t="shared" si="21"/>
        <v>3.2514205690997984</v>
      </c>
      <c r="O49" s="141">
        <f t="shared" si="22"/>
        <v>11.62976090892785</v>
      </c>
      <c r="Q49" s="151">
        <v>-0.12595829070895193</v>
      </c>
      <c r="R49" s="141">
        <f t="shared" si="23"/>
        <v>-0.4505307062899917</v>
      </c>
      <c r="T49" s="151"/>
    </row>
    <row r="50" spans="1:20" x14ac:dyDescent="0.25">
      <c r="A50" s="135" t="str">
        <f t="shared" si="14"/>
        <v>31 Science, engineering and technology associate professionals</v>
      </c>
      <c r="B50" s="151">
        <v>8.7119007645620972</v>
      </c>
      <c r="C50" s="141">
        <f t="shared" si="15"/>
        <v>1.7557448829615236</v>
      </c>
      <c r="E50" s="151">
        <v>8.4283160725445487</v>
      </c>
      <c r="F50" s="141">
        <f t="shared" si="16"/>
        <v>1.6147931717855848</v>
      </c>
      <c r="H50" s="151">
        <f t="shared" si="17"/>
        <v>-0.28358469201754843</v>
      </c>
      <c r="I50" s="141">
        <f t="shared" si="18"/>
        <v>-3.2551414402136269</v>
      </c>
      <c r="K50" s="151">
        <f t="shared" si="19"/>
        <v>0.4521043073625941</v>
      </c>
      <c r="L50" s="141">
        <f t="shared" si="20"/>
        <v>5.189502492976561</v>
      </c>
      <c r="N50" s="151">
        <f t="shared" si="21"/>
        <v>-0.49389053238628733</v>
      </c>
      <c r="O50" s="141">
        <f t="shared" si="22"/>
        <v>-5.669147821280454</v>
      </c>
      <c r="Q50" s="151">
        <v>-0.24179846699385521</v>
      </c>
      <c r="R50" s="141">
        <f t="shared" si="23"/>
        <v>-2.7754961119097317</v>
      </c>
      <c r="T50" s="151"/>
    </row>
    <row r="51" spans="1:20" x14ac:dyDescent="0.25">
      <c r="A51" s="135" t="str">
        <f t="shared" si="14"/>
        <v>32 Health and social care associate professionals</v>
      </c>
      <c r="B51" s="151">
        <v>11.001883705458065</v>
      </c>
      <c r="C51" s="141">
        <f t="shared" si="15"/>
        <v>2.2172544822101985</v>
      </c>
      <c r="E51" s="151">
        <v>21.055821572998454</v>
      </c>
      <c r="F51" s="141">
        <f t="shared" si="16"/>
        <v>4.0341150723063137</v>
      </c>
      <c r="H51" s="151">
        <f t="shared" si="17"/>
        <v>10.053937867540389</v>
      </c>
      <c r="I51" s="141">
        <f t="shared" si="18"/>
        <v>91.383786056133303</v>
      </c>
      <c r="K51" s="151">
        <f t="shared" si="19"/>
        <v>0.57094302916912831</v>
      </c>
      <c r="L51" s="141">
        <f t="shared" si="20"/>
        <v>5.189502492976561</v>
      </c>
      <c r="N51" s="151">
        <f t="shared" si="21"/>
        <v>8.8631992418973589</v>
      </c>
      <c r="O51" s="141">
        <f t="shared" si="22"/>
        <v>80.560742861700135</v>
      </c>
      <c r="Q51" s="151">
        <v>0.61979559647390225</v>
      </c>
      <c r="R51" s="141">
        <f t="shared" si="23"/>
        <v>5.6335407014566057</v>
      </c>
      <c r="T51" s="151"/>
    </row>
    <row r="52" spans="1:20" x14ac:dyDescent="0.25">
      <c r="A52" s="135" t="str">
        <f t="shared" si="14"/>
        <v>33 Protective service occupations</v>
      </c>
      <c r="B52" s="151">
        <v>4.6873216411379666</v>
      </c>
      <c r="C52" s="141">
        <f t="shared" si="15"/>
        <v>0.9446550424104222</v>
      </c>
      <c r="E52" s="151">
        <v>4.4519253372123764</v>
      </c>
      <c r="F52" s="141">
        <f t="shared" si="16"/>
        <v>0.85295076429892458</v>
      </c>
      <c r="H52" s="151">
        <f t="shared" si="17"/>
        <v>-0.23539630392559019</v>
      </c>
      <c r="I52" s="141">
        <f t="shared" si="18"/>
        <v>-5.0219789028269401</v>
      </c>
      <c r="K52" s="151">
        <f t="shared" si="19"/>
        <v>0.24324867342068462</v>
      </c>
      <c r="L52" s="141">
        <f t="shared" si="20"/>
        <v>5.189502492976561</v>
      </c>
      <c r="N52" s="151">
        <f t="shared" si="21"/>
        <v>-0.49137979065024695</v>
      </c>
      <c r="O52" s="141">
        <f t="shared" si="22"/>
        <v>-10.483167750590976</v>
      </c>
      <c r="Q52" s="151">
        <v>1.2734813303972154E-2</v>
      </c>
      <c r="R52" s="141">
        <f t="shared" si="23"/>
        <v>0.27168635478747422</v>
      </c>
      <c r="T52" s="151"/>
    </row>
    <row r="53" spans="1:20" x14ac:dyDescent="0.25">
      <c r="A53" s="135" t="str">
        <f t="shared" si="14"/>
        <v>34 Culture, media and sports occupations</v>
      </c>
      <c r="B53" s="151">
        <v>7.6956038424600592</v>
      </c>
      <c r="C53" s="141">
        <f t="shared" si="15"/>
        <v>1.5509264204041293</v>
      </c>
      <c r="E53" s="151">
        <v>7.2418470917099587</v>
      </c>
      <c r="F53" s="141">
        <f t="shared" si="16"/>
        <v>1.3874758770500211</v>
      </c>
      <c r="H53" s="151">
        <f t="shared" si="17"/>
        <v>-0.45375675075010058</v>
      </c>
      <c r="I53" s="141">
        <f t="shared" si="18"/>
        <v>-5.8963111932363699</v>
      </c>
      <c r="K53" s="151">
        <f t="shared" si="19"/>
        <v>0.39936355325406481</v>
      </c>
      <c r="L53" s="141">
        <f t="shared" si="20"/>
        <v>5.189502492976561</v>
      </c>
      <c r="N53" s="151">
        <f t="shared" si="21"/>
        <v>-0.69010217473657642</v>
      </c>
      <c r="O53" s="141">
        <f t="shared" si="22"/>
        <v>-8.967485708255623</v>
      </c>
      <c r="Q53" s="151">
        <v>-0.16301812926758899</v>
      </c>
      <c r="R53" s="141">
        <f t="shared" si="23"/>
        <v>-2.118327977957307</v>
      </c>
      <c r="T53" s="151"/>
    </row>
    <row r="54" spans="1:20" x14ac:dyDescent="0.25">
      <c r="A54" s="135" t="str">
        <f t="shared" si="14"/>
        <v>35 Business and public service associate professionals</v>
      </c>
      <c r="B54" s="151">
        <v>28.718892057032409</v>
      </c>
      <c r="C54" s="141">
        <f t="shared" si="15"/>
        <v>5.787835414582287</v>
      </c>
      <c r="E54" s="151">
        <v>30.332034577933754</v>
      </c>
      <c r="F54" s="141">
        <f t="shared" si="16"/>
        <v>5.8113580341825504</v>
      </c>
      <c r="H54" s="151">
        <f t="shared" si="17"/>
        <v>1.613142520901345</v>
      </c>
      <c r="I54" s="141">
        <f t="shared" si="18"/>
        <v>5.6170081968964114</v>
      </c>
      <c r="K54" s="151">
        <f t="shared" si="19"/>
        <v>1.4903676192549444</v>
      </c>
      <c r="L54" s="141">
        <f t="shared" si="20"/>
        <v>5.189502492976561</v>
      </c>
      <c r="N54" s="151">
        <f t="shared" si="21"/>
        <v>0.44894615604057098</v>
      </c>
      <c r="O54" s="141">
        <f t="shared" si="22"/>
        <v>1.5632433004344863</v>
      </c>
      <c r="Q54" s="151">
        <v>-0.32617125439417038</v>
      </c>
      <c r="R54" s="141">
        <f t="shared" si="23"/>
        <v>-1.1357375965146284</v>
      </c>
      <c r="T54" s="151"/>
    </row>
    <row r="55" spans="1:20" x14ac:dyDescent="0.25">
      <c r="A55" s="135" t="str">
        <f t="shared" si="14"/>
        <v>41 Administrative occupations</v>
      </c>
      <c r="B55" s="151">
        <v>47.19806700974938</v>
      </c>
      <c r="C55" s="141">
        <f t="shared" si="15"/>
        <v>9.5120188897385738</v>
      </c>
      <c r="E55" s="151">
        <v>48.119806641230511</v>
      </c>
      <c r="F55" s="141">
        <f t="shared" si="16"/>
        <v>9.2193428109587501</v>
      </c>
      <c r="H55" s="151">
        <f t="shared" si="17"/>
        <v>0.92173963148113103</v>
      </c>
      <c r="I55" s="141">
        <f t="shared" si="18"/>
        <v>1.9529181805066909</v>
      </c>
      <c r="K55" s="151">
        <f t="shared" si="19"/>
        <v>2.449344864107692</v>
      </c>
      <c r="L55" s="141">
        <f t="shared" si="20"/>
        <v>5.1895024929765619</v>
      </c>
      <c r="N55" s="151">
        <f t="shared" si="21"/>
        <v>-1.3232015060227682</v>
      </c>
      <c r="O55" s="141">
        <f t="shared" si="22"/>
        <v>-2.8035078338048116</v>
      </c>
      <c r="Q55" s="151">
        <v>-0.20440372660379297</v>
      </c>
      <c r="R55" s="141">
        <f t="shared" si="23"/>
        <v>-0.43307647866504939</v>
      </c>
      <c r="T55" s="151"/>
    </row>
    <row r="56" spans="1:20" x14ac:dyDescent="0.25">
      <c r="A56" s="135" t="str">
        <f t="shared" si="14"/>
        <v>42 Secretarial and related occupations</v>
      </c>
      <c r="B56" s="151">
        <v>9.2803332734652102</v>
      </c>
      <c r="C56" s="141">
        <f t="shared" si="15"/>
        <v>1.8703034042058586</v>
      </c>
      <c r="E56" s="151">
        <v>5.4074642547867375</v>
      </c>
      <c r="F56" s="141">
        <f t="shared" si="16"/>
        <v>1.036023836807539</v>
      </c>
      <c r="H56" s="151">
        <f t="shared" si="17"/>
        <v>-3.8728690186784727</v>
      </c>
      <c r="I56" s="141">
        <f t="shared" si="18"/>
        <v>-41.73200363129169</v>
      </c>
      <c r="K56" s="151">
        <f t="shared" si="19"/>
        <v>0.48160312658301035</v>
      </c>
      <c r="L56" s="141">
        <f t="shared" si="20"/>
        <v>5.189502492976561</v>
      </c>
      <c r="N56" s="151">
        <f t="shared" si="21"/>
        <v>-4.5325367170977371</v>
      </c>
      <c r="O56" s="141">
        <f t="shared" si="22"/>
        <v>-48.840236482211161</v>
      </c>
      <c r="Q56" s="151">
        <v>0.17806457183625407</v>
      </c>
      <c r="R56" s="141">
        <f t="shared" si="23"/>
        <v>1.9187303579429109</v>
      </c>
      <c r="T56" s="151"/>
    </row>
    <row r="57" spans="1:20" x14ac:dyDescent="0.25">
      <c r="A57" s="135" t="str">
        <f t="shared" si="14"/>
        <v>51 Skilled agricultural and related trades</v>
      </c>
      <c r="B57" s="151">
        <v>3.1931450848658716</v>
      </c>
      <c r="C57" s="141">
        <f t="shared" si="15"/>
        <v>0.6435275486736789</v>
      </c>
      <c r="E57" s="151">
        <v>3.5350171502669578</v>
      </c>
      <c r="F57" s="141">
        <f t="shared" si="16"/>
        <v>0.6772790089103351</v>
      </c>
      <c r="H57" s="151">
        <f t="shared" si="17"/>
        <v>0.34187206540108628</v>
      </c>
      <c r="I57" s="141">
        <f t="shared" si="18"/>
        <v>10.706436955258059</v>
      </c>
      <c r="K57" s="151">
        <f t="shared" si="19"/>
        <v>0.16570834378347293</v>
      </c>
      <c r="L57" s="141">
        <f t="shared" si="20"/>
        <v>5.189502492976561</v>
      </c>
      <c r="N57" s="151">
        <f t="shared" si="21"/>
        <v>0.26903958324132354</v>
      </c>
      <c r="O57" s="141">
        <f t="shared" si="22"/>
        <v>8.4255358303778607</v>
      </c>
      <c r="Q57" s="151">
        <v>-9.2875861623710199E-2</v>
      </c>
      <c r="R57" s="141">
        <f t="shared" si="23"/>
        <v>-2.9086013680963534</v>
      </c>
      <c r="T57" s="151"/>
    </row>
    <row r="58" spans="1:20" x14ac:dyDescent="0.25">
      <c r="A58" s="135" t="str">
        <f t="shared" si="14"/>
        <v>52 Skilled metal, electrical and electronic trades</v>
      </c>
      <c r="B58" s="151">
        <v>23.236826282247673</v>
      </c>
      <c r="C58" s="141">
        <f t="shared" si="15"/>
        <v>4.6830123464305675</v>
      </c>
      <c r="E58" s="151">
        <v>20.841134342227381</v>
      </c>
      <c r="F58" s="141">
        <f t="shared" si="16"/>
        <v>3.9929828376659935</v>
      </c>
      <c r="H58" s="151">
        <f t="shared" si="17"/>
        <v>-2.3956919400202921</v>
      </c>
      <c r="I58" s="141">
        <f t="shared" si="18"/>
        <v>-10.309893059064345</v>
      </c>
      <c r="K58" s="151">
        <f t="shared" si="19"/>
        <v>1.2058756792058758</v>
      </c>
      <c r="L58" s="141">
        <f t="shared" si="20"/>
        <v>5.189502492976561</v>
      </c>
      <c r="N58" s="151">
        <f t="shared" si="21"/>
        <v>-1.6886563955090901</v>
      </c>
      <c r="O58" s="141">
        <f t="shared" si="22"/>
        <v>-7.2671559144855307</v>
      </c>
      <c r="Q58" s="151">
        <v>-1.9129112237170778</v>
      </c>
      <c r="R58" s="141">
        <f t="shared" si="23"/>
        <v>-8.2322396375553755</v>
      </c>
      <c r="T58" s="151"/>
    </row>
    <row r="59" spans="1:20" x14ac:dyDescent="0.25">
      <c r="A59" s="135" t="str">
        <f t="shared" si="14"/>
        <v>53 Skilled construction and building trades</v>
      </c>
      <c r="B59" s="151">
        <v>17.473473402618112</v>
      </c>
      <c r="C59" s="141">
        <f t="shared" si="15"/>
        <v>3.5215003411202326</v>
      </c>
      <c r="E59" s="151">
        <v>14.401581227548823</v>
      </c>
      <c r="F59" s="141">
        <f t="shared" si="16"/>
        <v>2.7592196150446848</v>
      </c>
      <c r="H59" s="151">
        <f t="shared" si="17"/>
        <v>-3.0718921750692889</v>
      </c>
      <c r="I59" s="141">
        <f t="shared" si="18"/>
        <v>-17.580317915549728</v>
      </c>
      <c r="K59" s="151">
        <f t="shared" si="19"/>
        <v>0.90678633783846319</v>
      </c>
      <c r="L59" s="141">
        <f t="shared" si="20"/>
        <v>5.189502492976561</v>
      </c>
      <c r="N59" s="151">
        <f t="shared" si="21"/>
        <v>-3.1126500500586016</v>
      </c>
      <c r="O59" s="141">
        <f t="shared" si="22"/>
        <v>-17.813573628653721</v>
      </c>
      <c r="Q59" s="151">
        <v>-0.86602846284915058</v>
      </c>
      <c r="R59" s="141">
        <f t="shared" si="23"/>
        <v>-4.956246779872572</v>
      </c>
      <c r="T59" s="151"/>
    </row>
    <row r="60" spans="1:20" x14ac:dyDescent="0.25">
      <c r="A60" s="135" t="str">
        <f t="shared" si="14"/>
        <v>54 Textiles, printing and other skilled trades</v>
      </c>
      <c r="B60" s="151">
        <v>8.3294023293213026</v>
      </c>
      <c r="C60" s="141">
        <f t="shared" si="15"/>
        <v>1.678658413709418</v>
      </c>
      <c r="E60" s="151">
        <v>7.9851910077103829</v>
      </c>
      <c r="F60" s="141">
        <f t="shared" si="16"/>
        <v>1.5298942046867838</v>
      </c>
      <c r="H60" s="151">
        <f t="shared" si="17"/>
        <v>-0.34421132161091972</v>
      </c>
      <c r="I60" s="141">
        <f t="shared" si="18"/>
        <v>-4.1324852372567111</v>
      </c>
      <c r="K60" s="151">
        <f t="shared" si="19"/>
        <v>0.43225454153017673</v>
      </c>
      <c r="L60" s="141">
        <f t="shared" si="20"/>
        <v>5.189502492976561</v>
      </c>
      <c r="N60" s="151">
        <f t="shared" si="21"/>
        <v>-0.71204106730322692</v>
      </c>
      <c r="O60" s="141">
        <f t="shared" si="22"/>
        <v>-8.5485253221193069</v>
      </c>
      <c r="Q60" s="151">
        <v>-6.4424795837869545E-2</v>
      </c>
      <c r="R60" s="141">
        <f t="shared" si="23"/>
        <v>-0.77346240811396871</v>
      </c>
      <c r="T60" s="151"/>
    </row>
    <row r="61" spans="1:20" x14ac:dyDescent="0.25">
      <c r="A61" s="135" t="str">
        <f t="shared" si="14"/>
        <v>61 Caring personal service occupations</v>
      </c>
      <c r="B61" s="151">
        <v>39.709013980070296</v>
      </c>
      <c r="C61" s="141">
        <f t="shared" si="15"/>
        <v>8.0027194968238895</v>
      </c>
      <c r="E61" s="151">
        <v>45.131434884626096</v>
      </c>
      <c r="F61" s="141">
        <f t="shared" si="16"/>
        <v>8.646796377509105</v>
      </c>
      <c r="H61" s="151">
        <f t="shared" si="17"/>
        <v>5.4224209045557998</v>
      </c>
      <c r="I61" s="141">
        <f t="shared" si="18"/>
        <v>13.655390454362015</v>
      </c>
      <c r="K61" s="151">
        <f t="shared" si="19"/>
        <v>2.0607002704321591</v>
      </c>
      <c r="L61" s="141">
        <f t="shared" si="20"/>
        <v>5.189502492976561</v>
      </c>
      <c r="N61" s="151">
        <f t="shared" si="21"/>
        <v>1.1491994357053956</v>
      </c>
      <c r="O61" s="141">
        <f t="shared" si="22"/>
        <v>2.8940518046662445</v>
      </c>
      <c r="Q61" s="151">
        <v>2.2125211984182451</v>
      </c>
      <c r="R61" s="141">
        <f t="shared" si="23"/>
        <v>5.5718361567192165</v>
      </c>
      <c r="T61" s="151"/>
    </row>
    <row r="62" spans="1:20" x14ac:dyDescent="0.25">
      <c r="A62" s="135" t="str">
        <f t="shared" si="14"/>
        <v>62 Leisure, travel and related personal service occupations</v>
      </c>
      <c r="B62" s="151">
        <v>9.1820078898329758</v>
      </c>
      <c r="C62" s="141">
        <f t="shared" si="15"/>
        <v>1.8504874887308156</v>
      </c>
      <c r="E62" s="151">
        <v>8.4132106883947344</v>
      </c>
      <c r="F62" s="141">
        <f t="shared" si="16"/>
        <v>1.6118991095586381</v>
      </c>
      <c r="H62" s="151">
        <f t="shared" si="17"/>
        <v>-0.76879720143824137</v>
      </c>
      <c r="I62" s="141">
        <f t="shared" si="18"/>
        <v>-8.3728658335124333</v>
      </c>
      <c r="K62" s="151">
        <f t="shared" si="19"/>
        <v>0.47650052834818679</v>
      </c>
      <c r="L62" s="141">
        <f t="shared" si="20"/>
        <v>5.189502492976561</v>
      </c>
      <c r="N62" s="151">
        <f t="shared" si="21"/>
        <v>-1.296194681538797</v>
      </c>
      <c r="O62" s="141">
        <f t="shared" si="22"/>
        <v>-14.116680110611139</v>
      </c>
      <c r="Q62" s="151">
        <v>5.0896951752368823E-2</v>
      </c>
      <c r="R62" s="141">
        <f t="shared" si="23"/>
        <v>0.55431178412213988</v>
      </c>
      <c r="T62" s="151"/>
    </row>
    <row r="63" spans="1:20" x14ac:dyDescent="0.25">
      <c r="A63" s="135" t="str">
        <f t="shared" si="14"/>
        <v>63 Community and civil enforcement occupations</v>
      </c>
      <c r="B63" s="151">
        <v>0.44693455623107448</v>
      </c>
      <c r="C63" s="141">
        <f t="shared" si="15"/>
        <v>9.0072543446933023E-2</v>
      </c>
      <c r="E63" s="151">
        <v>0.37504575772625592</v>
      </c>
      <c r="F63" s="141">
        <f t="shared" si="16"/>
        <v>7.1855554949622202E-2</v>
      </c>
      <c r="H63" s="151">
        <f t="shared" si="17"/>
        <v>-7.1888798504818552E-2</v>
      </c>
      <c r="I63" s="141">
        <f t="shared" si="18"/>
        <v>-16.084860188714188</v>
      </c>
      <c r="K63" s="151">
        <f t="shared" si="19"/>
        <v>2.3193679937585341E-2</v>
      </c>
      <c r="L63" s="141">
        <f t="shared" si="20"/>
        <v>5.189502492976561</v>
      </c>
      <c r="N63" s="151">
        <f t="shared" si="21"/>
        <v>-0.10566558374568352</v>
      </c>
      <c r="O63" s="141">
        <f t="shared" si="22"/>
        <v>-23.642294441661434</v>
      </c>
      <c r="Q63" s="151">
        <v>1.0583105303279626E-2</v>
      </c>
      <c r="R63" s="141">
        <f t="shared" si="23"/>
        <v>2.3679317599706788</v>
      </c>
      <c r="T63" s="151"/>
    </row>
    <row r="64" spans="1:20" x14ac:dyDescent="0.25">
      <c r="A64" s="135" t="str">
        <f t="shared" si="14"/>
        <v>71 Sales occupations</v>
      </c>
      <c r="B64" s="151">
        <v>30.25093913476638</v>
      </c>
      <c r="C64" s="141">
        <f t="shared" si="15"/>
        <v>6.096595108922398</v>
      </c>
      <c r="E64" s="151">
        <v>27.813348952284226</v>
      </c>
      <c r="F64" s="141">
        <f t="shared" si="16"/>
        <v>5.328799440607467</v>
      </c>
      <c r="H64" s="151">
        <f t="shared" si="17"/>
        <v>-2.437590182482154</v>
      </c>
      <c r="I64" s="141">
        <f t="shared" si="18"/>
        <v>-8.0578991998324856</v>
      </c>
      <c r="K64" s="151">
        <f t="shared" si="19"/>
        <v>1.5698732405475233</v>
      </c>
      <c r="L64" s="141">
        <f t="shared" si="20"/>
        <v>5.189502492976561</v>
      </c>
      <c r="N64" s="151">
        <f t="shared" si="21"/>
        <v>-3.5195869217894402</v>
      </c>
      <c r="O64" s="141">
        <f t="shared" si="22"/>
        <v>-11.634636882213346</v>
      </c>
      <c r="Q64" s="151">
        <v>-0.48787650124023713</v>
      </c>
      <c r="R64" s="141">
        <f t="shared" si="23"/>
        <v>-1.6127648105957053</v>
      </c>
      <c r="T64" s="151"/>
    </row>
    <row r="65" spans="1:20" x14ac:dyDescent="0.25">
      <c r="A65" s="135" t="str">
        <f t="shared" si="14"/>
        <v>72 Customer service occupations</v>
      </c>
      <c r="B65" s="151">
        <v>9.088846806026746</v>
      </c>
      <c r="C65" s="141">
        <f t="shared" si="15"/>
        <v>1.8317123556566086</v>
      </c>
      <c r="E65" s="151">
        <v>11.267733851765355</v>
      </c>
      <c r="F65" s="141">
        <f t="shared" si="16"/>
        <v>2.158801298944975</v>
      </c>
      <c r="H65" s="151">
        <f t="shared" si="17"/>
        <v>2.1788870457386089</v>
      </c>
      <c r="I65" s="141">
        <f t="shared" si="18"/>
        <v>23.97319585465787</v>
      </c>
      <c r="K65" s="151">
        <f t="shared" si="19"/>
        <v>0.47166593158157855</v>
      </c>
      <c r="L65" s="141">
        <f t="shared" si="20"/>
        <v>5.189502492976561</v>
      </c>
      <c r="N65" s="151">
        <f t="shared" si="21"/>
        <v>1.7156979720638794</v>
      </c>
      <c r="O65" s="141">
        <f t="shared" si="22"/>
        <v>18.876959956308351</v>
      </c>
      <c r="Q65" s="151">
        <v>-8.4768579068490186E-3</v>
      </c>
      <c r="R65" s="141">
        <f t="shared" si="23"/>
        <v>-9.3266594627033184E-2</v>
      </c>
      <c r="T65" s="151"/>
    </row>
    <row r="66" spans="1:20" x14ac:dyDescent="0.25">
      <c r="A66" s="135" t="str">
        <f t="shared" si="14"/>
        <v>81 Process, plant and machine operatives</v>
      </c>
      <c r="B66" s="151">
        <v>18.382917992462492</v>
      </c>
      <c r="C66" s="141">
        <f t="shared" si="15"/>
        <v>3.7047844174783462</v>
      </c>
      <c r="E66" s="151">
        <v>17.514325366127888</v>
      </c>
      <c r="F66" s="141">
        <f t="shared" si="16"/>
        <v>3.3555947316432215</v>
      </c>
      <c r="H66" s="151">
        <f t="shared" si="17"/>
        <v>-0.86859262633460332</v>
      </c>
      <c r="I66" s="141">
        <f t="shared" si="18"/>
        <v>-4.7249986465192855</v>
      </c>
      <c r="K66" s="151">
        <f t="shared" si="19"/>
        <v>0.95398198750067775</v>
      </c>
      <c r="L66" s="141">
        <f t="shared" si="20"/>
        <v>5.189502492976561</v>
      </c>
      <c r="N66" s="151">
        <f t="shared" si="21"/>
        <v>-0.17167377833098219</v>
      </c>
      <c r="O66" s="141">
        <f t="shared" si="22"/>
        <v>-0.93387664788241576</v>
      </c>
      <c r="Q66" s="151">
        <v>-1.6509008355042989</v>
      </c>
      <c r="R66" s="141">
        <f t="shared" si="23"/>
        <v>-8.9806244916134332</v>
      </c>
      <c r="T66" s="151"/>
    </row>
    <row r="67" spans="1:20" x14ac:dyDescent="0.25">
      <c r="A67" s="135" t="str">
        <f t="shared" si="14"/>
        <v>82 Transport and mobile machine drivers and operatives</v>
      </c>
      <c r="B67" s="151">
        <v>21.975456313535553</v>
      </c>
      <c r="C67" s="141">
        <f t="shared" si="15"/>
        <v>4.428803313529702</v>
      </c>
      <c r="E67" s="151">
        <v>22.68541236648149</v>
      </c>
      <c r="F67" s="141">
        <f t="shared" si="16"/>
        <v>4.3463307110497489</v>
      </c>
      <c r="H67" s="151">
        <f t="shared" si="17"/>
        <v>0.70995605294593744</v>
      </c>
      <c r="I67" s="141">
        <f t="shared" si="18"/>
        <v>3.2306771828380487</v>
      </c>
      <c r="K67" s="151">
        <f t="shared" si="19"/>
        <v>1.1404168532339025</v>
      </c>
      <c r="L67" s="141">
        <f t="shared" si="20"/>
        <v>5.189502492976561</v>
      </c>
      <c r="N67" s="151">
        <f t="shared" si="21"/>
        <v>-1.1969660516215568</v>
      </c>
      <c r="O67" s="141">
        <f t="shared" si="22"/>
        <v>-5.446831385632243</v>
      </c>
      <c r="Q67" s="151">
        <v>0.76650525133359171</v>
      </c>
      <c r="R67" s="141">
        <f t="shared" si="23"/>
        <v>3.4880060754937352</v>
      </c>
      <c r="T67" s="151"/>
    </row>
    <row r="68" spans="1:20" x14ac:dyDescent="0.25">
      <c r="A68" s="135" t="str">
        <f t="shared" si="14"/>
        <v>91 Elementary trades and related occupations</v>
      </c>
      <c r="B68" s="151">
        <v>8.59789452449556</v>
      </c>
      <c r="C68" s="141">
        <f t="shared" si="15"/>
        <v>1.7327687405521968</v>
      </c>
      <c r="E68" s="151">
        <v>16.496787208058887</v>
      </c>
      <c r="F68" s="141">
        <f t="shared" si="16"/>
        <v>3.1606431356733475</v>
      </c>
      <c r="H68" s="151">
        <f t="shared" si="17"/>
        <v>7.8988926835633269</v>
      </c>
      <c r="I68" s="141">
        <f t="shared" si="18"/>
        <v>91.870081228133643</v>
      </c>
      <c r="K68" s="151">
        <f t="shared" si="19"/>
        <v>0.4461879506921923</v>
      </c>
      <c r="L68" s="141">
        <f t="shared" si="20"/>
        <v>5.189502492976561</v>
      </c>
      <c r="N68" s="151">
        <f t="shared" si="21"/>
        <v>7.5910465534875105</v>
      </c>
      <c r="O68" s="141">
        <f t="shared" si="22"/>
        <v>88.289598480889467</v>
      </c>
      <c r="Q68" s="151">
        <v>-0.13834182061637615</v>
      </c>
      <c r="R68" s="141">
        <f t="shared" si="23"/>
        <v>-1.6090197457323738</v>
      </c>
      <c r="T68" s="151"/>
    </row>
    <row r="69" spans="1:20" x14ac:dyDescent="0.25">
      <c r="A69" s="135" t="str">
        <f t="shared" ref="A69" si="24">A33</f>
        <v>92 Elementary administration and service occupations</v>
      </c>
      <c r="B69" s="151">
        <v>37.688938677596269</v>
      </c>
      <c r="C69" s="141">
        <f t="shared" ref="C69" si="25">B69/B$71*100</f>
        <v>7.5956054844670229</v>
      </c>
      <c r="E69" s="151">
        <v>29.481164863279925</v>
      </c>
      <c r="F69" s="141">
        <f t="shared" ref="F69" si="26">E69/E$71*100</f>
        <v>5.6483386844718861</v>
      </c>
      <c r="H69" s="151">
        <f t="shared" ref="H69" si="27">E69-B69</f>
        <v>-8.2077738143163437</v>
      </c>
      <c r="I69" s="141">
        <f t="shared" ref="I69" si="28">IF(B69&gt;0,((E69/B69)-1)*100,0)</f>
        <v>-21.777672978611506</v>
      </c>
      <c r="K69" s="151">
        <f t="shared" ref="K69" si="29">(($E$71/$B$71)-1)*B69</f>
        <v>1.9558684122502656</v>
      </c>
      <c r="L69" s="141">
        <f t="shared" ref="L69" si="30">IF(B69&gt;0,K69/B69*100,0)</f>
        <v>5.189502492976561</v>
      </c>
      <c r="N69" s="151">
        <f t="shared" ref="N69" si="31">H69-(K69+Q69)</f>
        <v>-11.828137219888077</v>
      </c>
      <c r="O69" s="141">
        <f t="shared" ref="O69" si="32">IF(B69&gt;0,N69/B69*100,0)</f>
        <v>-31.383577343660168</v>
      </c>
      <c r="Q69" s="151">
        <v>1.6644949933214672</v>
      </c>
      <c r="R69" s="141">
        <f t="shared" ref="R69" si="33">IF(B69&gt;0,Q69/B69*100,0)</f>
        <v>4.4164018720720994</v>
      </c>
      <c r="T69" s="151"/>
    </row>
    <row r="70" spans="1:20" x14ac:dyDescent="0.25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5">
      <c r="A71" s="149" t="str">
        <f>name!$D$3</f>
        <v>All occupations</v>
      </c>
      <c r="B71" s="152">
        <f>SUM(B44:B69)</f>
        <v>496.19399999999962</v>
      </c>
      <c r="C71" s="147">
        <f>B71/B$71*100</f>
        <v>100</v>
      </c>
      <c r="D71" s="145"/>
      <c r="E71" s="152">
        <f>SUM(E44:E69)</f>
        <v>521.94399999999973</v>
      </c>
      <c r="F71" s="147">
        <f>E71/E$71*100</f>
        <v>100</v>
      </c>
      <c r="G71" s="145"/>
      <c r="H71" s="152">
        <f t="shared" si="17"/>
        <v>25.750000000000114</v>
      </c>
      <c r="I71" s="147">
        <f t="shared" si="18"/>
        <v>5.189502492976561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5">
      <c r="T77" s="151"/>
    </row>
    <row r="78" spans="1:20" x14ac:dyDescent="0.25">
      <c r="T78" s="151"/>
    </row>
    <row r="79" spans="1:20" x14ac:dyDescent="0.25">
      <c r="T79" s="151"/>
    </row>
    <row r="80" spans="1:20" x14ac:dyDescent="0.25">
      <c r="T80" s="151"/>
    </row>
    <row r="81" spans="20:20" x14ac:dyDescent="0.25">
      <c r="T81" s="151"/>
    </row>
    <row r="82" spans="20:20" x14ac:dyDescent="0.25">
      <c r="T82" s="151"/>
    </row>
    <row r="83" spans="20:20" x14ac:dyDescent="0.25">
      <c r="T83" s="151"/>
    </row>
    <row r="84" spans="20:20" x14ac:dyDescent="0.25">
      <c r="T84" s="151"/>
    </row>
    <row r="85" spans="20:20" x14ac:dyDescent="0.25">
      <c r="T85" s="151"/>
    </row>
    <row r="86" spans="20:20" x14ac:dyDescent="0.25">
      <c r="T86" s="151"/>
    </row>
    <row r="87" spans="20:20" x14ac:dyDescent="0.25">
      <c r="T87" s="151"/>
    </row>
    <row r="88" spans="20:20" x14ac:dyDescent="0.25">
      <c r="T88" s="151"/>
    </row>
    <row r="89" spans="20:20" x14ac:dyDescent="0.25">
      <c r="T89" s="151"/>
    </row>
    <row r="90" spans="20:20" x14ac:dyDescent="0.25">
      <c r="T90" s="151"/>
    </row>
    <row r="91" spans="20:20" x14ac:dyDescent="0.25">
      <c r="T91" s="151"/>
    </row>
    <row r="92" spans="20:20" x14ac:dyDescent="0.25">
      <c r="T92" s="151"/>
    </row>
    <row r="93" spans="20:20" x14ac:dyDescent="0.25">
      <c r="T93" s="151"/>
    </row>
    <row r="94" spans="20:20" x14ac:dyDescent="0.25">
      <c r="T94" s="151"/>
    </row>
    <row r="95" spans="20:20" x14ac:dyDescent="0.25">
      <c r="T95" s="151"/>
    </row>
    <row r="96" spans="20:20" x14ac:dyDescent="0.25">
      <c r="T96" s="151"/>
    </row>
    <row r="97" spans="20:20" x14ac:dyDescent="0.25">
      <c r="T97" s="151"/>
    </row>
    <row r="98" spans="20:20" x14ac:dyDescent="0.25">
      <c r="T98" s="151"/>
    </row>
    <row r="99" spans="20:20" x14ac:dyDescent="0.25">
      <c r="T99" s="151"/>
    </row>
    <row r="100" spans="20:20" x14ac:dyDescent="0.25">
      <c r="T100" s="151"/>
    </row>
    <row r="101" spans="20:20" x14ac:dyDescent="0.25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90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82" t="str">
        <f>CONCATENATE("Replacement Demand Table 1  Replacement Demand by Occupation and Qualification, ",$B$6,"-",$C$6,", ",Info!B5)</f>
        <v>Replacement Demand Table 1  Replacement Demand by Occupation and Qualification, 2020-2035, Black Country</v>
      </c>
      <c r="B1" s="382"/>
      <c r="C1" s="382"/>
      <c r="D1" s="382"/>
      <c r="E1" s="382"/>
      <c r="F1" s="382"/>
      <c r="G1" s="382"/>
      <c r="I1" s="382" t="str">
        <f>CONCATENATE("Replacement Demand Table 1.1  Replacement Demand by Occupation Group and Qualification, ",$B$6,"-",$C$6,", ",Info!B5)</f>
        <v>Replacement Demand Table 1.1  Replacement Demand by Occupation Group and Qualification, 2020-2035, Black Country</v>
      </c>
      <c r="J1" s="382"/>
      <c r="K1" s="382"/>
      <c r="L1" s="382"/>
      <c r="M1" s="382"/>
      <c r="N1" s="382"/>
      <c r="P1" s="382" t="str">
        <f>CONCATENATE("Replacement Demand Table 1.2  Replacement Demand by Occupation and Gender, ",$B$6,"-",$C$6,", ",Info!B5)</f>
        <v>Replacement Demand Table 1.2  Replacement Demand by Occupation and Gender, 2020-2035, Black Country</v>
      </c>
      <c r="Q1" s="382"/>
      <c r="R1" s="382"/>
      <c r="S1" s="382"/>
      <c r="T1" s="382"/>
      <c r="U1" s="382"/>
      <c r="V1" s="382"/>
      <c r="X1" s="382" t="str">
        <f>CONCATENATE("Replacement Demand Table 1.3  Replacement Demand by Industry, ",$B$6,"-",$C$6,", ",Info!B5)</f>
        <v>Replacement Demand Table 1.3  Replacement Demand by Industry, 2020-2035, Black Country</v>
      </c>
      <c r="Y1" s="382"/>
      <c r="Z1" s="382"/>
      <c r="AA1" s="382"/>
      <c r="AB1" s="382"/>
      <c r="AC1" s="382"/>
      <c r="AD1" s="382"/>
    </row>
    <row r="2" spans="1:30" ht="19.5" customHeight="1" x14ac:dyDescent="0.25">
      <c r="A2" s="382"/>
      <c r="B2" s="382"/>
      <c r="C2" s="382"/>
      <c r="D2" s="382"/>
      <c r="E2" s="382"/>
      <c r="F2" s="382"/>
      <c r="G2" s="382"/>
      <c r="I2" s="382"/>
      <c r="J2" s="382"/>
      <c r="K2" s="382"/>
      <c r="L2" s="382"/>
      <c r="M2" s="382"/>
      <c r="N2" s="382"/>
      <c r="P2" s="382"/>
      <c r="Q2" s="382"/>
      <c r="R2" s="382"/>
      <c r="S2" s="382"/>
      <c r="T2" s="382"/>
      <c r="U2" s="382"/>
      <c r="V2" s="382"/>
      <c r="X2" s="382"/>
      <c r="Y2" s="382"/>
      <c r="Z2" s="382"/>
      <c r="AA2" s="382"/>
      <c r="AB2" s="382"/>
      <c r="AC2" s="382"/>
      <c r="AD2" s="382"/>
    </row>
    <row r="3" spans="1:30" ht="15.5" x14ac:dyDescent="0.35">
      <c r="A3" s="1" t="s">
        <v>525</v>
      </c>
      <c r="B3" s="19"/>
      <c r="C3" s="19"/>
      <c r="D3" s="19"/>
      <c r="E3" s="19"/>
      <c r="F3" s="19"/>
      <c r="G3" s="19"/>
      <c r="I3" s="1" t="s">
        <v>526</v>
      </c>
      <c r="P3" s="182" t="s">
        <v>522</v>
      </c>
      <c r="X3" s="1" t="s">
        <v>518</v>
      </c>
    </row>
    <row r="4" spans="1:30" ht="12.75" customHeight="1" x14ac:dyDescent="0.3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ht="12.5" x14ac:dyDescent="0.25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5" customHeight="1" x14ac:dyDescent="0.3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34.557349518918357</v>
      </c>
      <c r="C7" s="11">
        <f t="shared" si="2"/>
        <v>33.924972676339728</v>
      </c>
      <c r="D7" s="11">
        <f t="shared" si="2"/>
        <v>-0.63237684257862914</v>
      </c>
      <c r="E7" s="11">
        <f t="shared" si="2"/>
        <v>16.489966459804396</v>
      </c>
      <c r="F7" s="11">
        <f t="shared" si="2"/>
        <v>15.857589617225765</v>
      </c>
      <c r="G7" s="200">
        <f>IF(B7&gt;0,(1+(E7/B7))^(1/($C$6-$B$6))-1,0)</f>
        <v>2.6350029446394529E-2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23.54205175517588</v>
      </c>
      <c r="R7" s="11">
        <v>21.302900715398657</v>
      </c>
      <c r="S7" s="345">
        <f>R7-Q7</f>
        <v>-2.239151039777223</v>
      </c>
      <c r="T7" s="345">
        <v>9.7644471705677418</v>
      </c>
      <c r="U7" s="345">
        <f>SUM(S7:T7)</f>
        <v>7.5252961307905188</v>
      </c>
      <c r="V7" s="346">
        <f>IF(Q7&gt;0,(1+(T7/Q7))^(1/($C$6-$B$6))-1,0)</f>
        <v>2.3400547289927021E-2</v>
      </c>
      <c r="X7" s="10" t="str">
        <f>name!B4</f>
        <v>Agriculture</v>
      </c>
      <c r="Y7" s="11">
        <v>1.1150000000000004</v>
      </c>
      <c r="Z7" s="11">
        <v>1.214999999999997</v>
      </c>
      <c r="AA7" s="345">
        <f>Z7-Y7</f>
        <v>9.9999999999996536E-2</v>
      </c>
      <c r="AB7" s="11">
        <v>0.61205235067179309</v>
      </c>
      <c r="AC7" s="345">
        <f>SUM(AA7:AB7)</f>
        <v>0.71205235067178962</v>
      </c>
      <c r="AD7" s="348">
        <f>IF(Y7&gt;0,(1+(AB7/Y7))^(1/($C$6-$B$6))-1,0)</f>
        <v>2.9600415091304733E-2</v>
      </c>
    </row>
    <row r="8" spans="1:30" ht="12.5" x14ac:dyDescent="0.25">
      <c r="A8" s="10" t="str">
        <f>name!D5</f>
        <v>12 Other managers and proprietors</v>
      </c>
      <c r="B8" s="11">
        <f t="shared" si="2"/>
        <v>13.243017973457508</v>
      </c>
      <c r="C8" s="11">
        <f t="shared" si="2"/>
        <v>15.301206610194448</v>
      </c>
      <c r="D8" s="11">
        <f t="shared" si="2"/>
        <v>2.05818863673694</v>
      </c>
      <c r="E8" s="11">
        <f t="shared" si="2"/>
        <v>8.0712592420323954</v>
      </c>
      <c r="F8" s="11">
        <f t="shared" si="2"/>
        <v>10.129447878769337</v>
      </c>
      <c r="G8" s="200">
        <f t="shared" ref="G8:G33" si="3">IF(B8&gt;0,(1+(E8/B8))^(1/($C$6-$B$6))-1,0)</f>
        <v>3.2235781547020004E-2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47.800367492375869</v>
      </c>
      <c r="K8" s="11">
        <f t="array" ref="K8:K16">MMULT(aggregation!$B$13:$AA$21,C7:C32)</f>
        <v>49.226179286534176</v>
      </c>
      <c r="L8" s="11">
        <f t="array" ref="L8:L16">MMULT(aggregation!$B$13:$AA$21,D7:D32)</f>
        <v>1.4258117941583108</v>
      </c>
      <c r="M8" s="11">
        <f t="array" ref="M8:M16">MMULT(aggregation!$B$13:$AA$21,E7:E32)</f>
        <v>24.56122570183679</v>
      </c>
      <c r="N8" s="11">
        <f t="array" ref="N8:N16">MMULT(aggregation!$B$13:$AA$21,F7:F32)</f>
        <v>25.987037495995104</v>
      </c>
      <c r="O8" s="11"/>
      <c r="P8" s="10" t="str">
        <f>name!D5</f>
        <v>12 Other managers and proprietors</v>
      </c>
      <c r="Q8" s="11">
        <v>7.3861335606273251</v>
      </c>
      <c r="R8" s="11">
        <v>9.2680775133572819</v>
      </c>
      <c r="S8" s="345">
        <f t="shared" ref="S8:S31" si="4">R8-Q8</f>
        <v>1.8819439527299568</v>
      </c>
      <c r="T8" s="345">
        <v>4.3705630228715577</v>
      </c>
      <c r="U8" s="345">
        <f t="shared" ref="U8:U31" si="5">SUM(S8:T8)</f>
        <v>6.2525069756015146</v>
      </c>
      <c r="V8" s="346">
        <f t="shared" ref="V8:V33" si="6">IF(Q8&gt;0,(1+(T8/Q8))^(1/($C$6-$B$6))-1,0)</f>
        <v>3.1473029935089158E-2</v>
      </c>
      <c r="X8" s="10" t="str">
        <f>name!B5</f>
        <v>Mining and quarrying</v>
      </c>
      <c r="Y8" s="11">
        <v>0.15500000000000022</v>
      </c>
      <c r="Z8" s="11">
        <v>6.2999999999999945E-2</v>
      </c>
      <c r="AA8" s="345">
        <f t="shared" ref="AA8:AA29" si="7">Z8-Y8</f>
        <v>-9.2000000000000276E-2</v>
      </c>
      <c r="AB8" s="11">
        <v>4.2015682039446771E-2</v>
      </c>
      <c r="AC8" s="345">
        <f t="shared" ref="AC8:AC29" si="8">SUM(AA8:AB8)</f>
        <v>-4.9984317960553505E-2</v>
      </c>
      <c r="AD8" s="348">
        <f t="shared" ref="AD8:AD29" si="9">IF(Y8&gt;0,(1+(AB8/Y8))^(1/($C$6-$B$6))-1,0)</f>
        <v>1.6119080522976503E-2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26.674152239734848</v>
      </c>
      <c r="C9" s="11">
        <f t="shared" si="2"/>
        <v>36.460147888250233</v>
      </c>
      <c r="D9" s="11">
        <f t="shared" si="2"/>
        <v>9.7859956485153887</v>
      </c>
      <c r="E9" s="11">
        <f t="shared" si="2"/>
        <v>12.028708446399156</v>
      </c>
      <c r="F9" s="11">
        <f t="shared" si="2"/>
        <v>21.814704094914543</v>
      </c>
      <c r="G9" s="200">
        <f t="shared" si="3"/>
        <v>2.5125010635409728E-2</v>
      </c>
      <c r="H9" s="11"/>
      <c r="I9" s="10" t="str">
        <f>name!E5</f>
        <v>Professional occupations</v>
      </c>
      <c r="J9" s="11">
        <v>103.54383323968847</v>
      </c>
      <c r="K9" s="11">
        <v>121.73921749855066</v>
      </c>
      <c r="L9" s="11">
        <v>18.195384258862177</v>
      </c>
      <c r="M9" s="11">
        <v>52.099383225590579</v>
      </c>
      <c r="N9" s="11">
        <v>70.294767484452748</v>
      </c>
      <c r="O9" s="11"/>
      <c r="P9" s="10" t="str">
        <f>name!D6</f>
        <v>21 Science, research, engineering and technology professionals</v>
      </c>
      <c r="Q9" s="11">
        <v>21.806577872402684</v>
      </c>
      <c r="R9" s="11">
        <v>28.300759774136683</v>
      </c>
      <c r="S9" s="345">
        <f t="shared" si="4"/>
        <v>6.4941819017339988</v>
      </c>
      <c r="T9" s="345">
        <v>8.511606322599528</v>
      </c>
      <c r="U9" s="345">
        <f t="shared" si="5"/>
        <v>15.005788224333527</v>
      </c>
      <c r="V9" s="346">
        <f t="shared" si="6"/>
        <v>2.2212164192738637E-2</v>
      </c>
      <c r="X9" s="10" t="str">
        <f>name!B6</f>
        <v>Food drink and tobacco</v>
      </c>
      <c r="Y9" s="11">
        <v>6.2970000000000033</v>
      </c>
      <c r="Z9" s="11">
        <v>6.1889999999999805</v>
      </c>
      <c r="AA9" s="345">
        <f t="shared" si="7"/>
        <v>-0.10800000000002274</v>
      </c>
      <c r="AB9" s="11">
        <v>2.7715210530911465</v>
      </c>
      <c r="AC9" s="345">
        <f t="shared" si="8"/>
        <v>2.6635210530911237</v>
      </c>
      <c r="AD9" s="348">
        <f t="shared" si="9"/>
        <v>2.4613762129199523E-2</v>
      </c>
    </row>
    <row r="10" spans="1:30" ht="12.5" x14ac:dyDescent="0.25">
      <c r="A10" s="10" t="str">
        <f>name!D7</f>
        <v>22 Health professionals</v>
      </c>
      <c r="B10" s="11">
        <f t="shared" si="2"/>
        <v>26.88530379611479</v>
      </c>
      <c r="C10" s="11">
        <f t="shared" si="2"/>
        <v>28.579623063913782</v>
      </c>
      <c r="D10" s="11">
        <f t="shared" si="2"/>
        <v>1.6943192677989936</v>
      </c>
      <c r="E10" s="11">
        <f t="shared" si="2"/>
        <v>14.366534680789885</v>
      </c>
      <c r="F10" s="11">
        <f t="shared" si="2"/>
        <v>16.060853948588878</v>
      </c>
      <c r="G10" s="200">
        <f t="shared" si="3"/>
        <v>2.8952256750052863E-2</v>
      </c>
      <c r="H10" s="11"/>
      <c r="I10" s="10" t="str">
        <f>name!E6</f>
        <v>Associate professional occupations</v>
      </c>
      <c r="J10" s="11">
        <v>60.815602010650579</v>
      </c>
      <c r="K10" s="11">
        <v>71.509944652399099</v>
      </c>
      <c r="L10" s="11">
        <v>10.694342641748531</v>
      </c>
      <c r="M10" s="11">
        <v>31.730265288706448</v>
      </c>
      <c r="N10" s="11">
        <v>42.424607930454968</v>
      </c>
      <c r="O10" s="11"/>
      <c r="P10" s="10" t="str">
        <f>name!D7</f>
        <v>22 Health professionals</v>
      </c>
      <c r="Q10" s="11">
        <v>6.8725916386043506</v>
      </c>
      <c r="R10" s="11">
        <v>7.2080802251589775</v>
      </c>
      <c r="S10" s="345">
        <f t="shared" si="4"/>
        <v>0.33548858655462688</v>
      </c>
      <c r="T10" s="345">
        <v>2.6409805976244649</v>
      </c>
      <c r="U10" s="345">
        <f t="shared" si="5"/>
        <v>2.9764691841790918</v>
      </c>
      <c r="V10" s="346">
        <f t="shared" si="6"/>
        <v>2.1915230911953909E-2</v>
      </c>
      <c r="X10" s="10" t="str">
        <f>name!B7</f>
        <v>Engineering</v>
      </c>
      <c r="Y10" s="11">
        <v>7.4149999999999814</v>
      </c>
      <c r="Z10" s="11">
        <v>7.0909999999999993</v>
      </c>
      <c r="AA10" s="345">
        <f t="shared" si="7"/>
        <v>-0.32399999999998208</v>
      </c>
      <c r="AB10" s="11">
        <v>3.1505890693520353</v>
      </c>
      <c r="AC10" s="345">
        <f t="shared" si="8"/>
        <v>2.8265890693520532</v>
      </c>
      <c r="AD10" s="348">
        <f t="shared" si="9"/>
        <v>2.3887334205092037E-2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22.026617843508575</v>
      </c>
      <c r="C11" s="11">
        <f t="shared" si="2"/>
        <v>24.165356288680908</v>
      </c>
      <c r="D11" s="11">
        <f t="shared" si="2"/>
        <v>2.138738445172335</v>
      </c>
      <c r="E11" s="11">
        <f t="shared" si="2"/>
        <v>11.480232436624902</v>
      </c>
      <c r="F11" s="11">
        <f t="shared" si="2"/>
        <v>13.618970881797239</v>
      </c>
      <c r="G11" s="200">
        <f t="shared" si="3"/>
        <v>2.8361287211412511E-2</v>
      </c>
      <c r="H11" s="11"/>
      <c r="I11" s="10" t="str">
        <f>name!E7</f>
        <v>Administrative and secretarial occupations</v>
      </c>
      <c r="J11" s="11">
        <v>56.478400283214583</v>
      </c>
      <c r="K11" s="11">
        <v>53.527270896017207</v>
      </c>
      <c r="L11" s="11">
        <v>-2.9511293871973714</v>
      </c>
      <c r="M11" s="11">
        <v>28.233224777946248</v>
      </c>
      <c r="N11" s="11">
        <v>25.282095390748875</v>
      </c>
      <c r="O11" s="11"/>
      <c r="P11" s="10" t="str">
        <f>name!D8</f>
        <v>23 Teaching and other educational professionals</v>
      </c>
      <c r="Q11" s="11">
        <v>7.1451073437704435</v>
      </c>
      <c r="R11" s="11">
        <v>7.8222420300595887</v>
      </c>
      <c r="S11" s="345">
        <f t="shared" si="4"/>
        <v>0.67713468628914519</v>
      </c>
      <c r="T11" s="345">
        <v>3.1883105003307457</v>
      </c>
      <c r="U11" s="345">
        <f t="shared" si="5"/>
        <v>3.8654451866198909</v>
      </c>
      <c r="V11" s="346">
        <f t="shared" si="6"/>
        <v>2.4902019500789851E-2</v>
      </c>
      <c r="X11" s="10" t="str">
        <f>name!B8</f>
        <v>Rest of manufacturing</v>
      </c>
      <c r="Y11" s="11">
        <v>50.167000000000066</v>
      </c>
      <c r="Z11" s="11">
        <v>43.609999999999978</v>
      </c>
      <c r="AA11" s="345">
        <f t="shared" si="7"/>
        <v>-6.5570000000000874</v>
      </c>
      <c r="AB11" s="11">
        <v>19.72592419589375</v>
      </c>
      <c r="AC11" s="345">
        <f t="shared" si="8"/>
        <v>13.168924195893663</v>
      </c>
      <c r="AD11" s="348">
        <f t="shared" si="9"/>
        <v>2.2353305124428458E-2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27.957759360330265</v>
      </c>
      <c r="C12" s="11">
        <f t="shared" si="2"/>
        <v>32.534090257705728</v>
      </c>
      <c r="D12" s="11">
        <f t="shared" si="2"/>
        <v>4.5763308973754615</v>
      </c>
      <c r="E12" s="11">
        <f t="shared" si="2"/>
        <v>14.223907661776634</v>
      </c>
      <c r="F12" s="11">
        <f t="shared" si="2"/>
        <v>18.800238559152096</v>
      </c>
      <c r="G12" s="200">
        <f t="shared" si="3"/>
        <v>2.7798765642181644E-2</v>
      </c>
      <c r="H12" s="11"/>
      <c r="I12" s="10" t="str">
        <f>name!E8</f>
        <v>Skilled trades occupations</v>
      </c>
      <c r="J12" s="11">
        <v>52.232847099052975</v>
      </c>
      <c r="K12" s="11">
        <v>46.762923727753574</v>
      </c>
      <c r="L12" s="11">
        <v>-5.4699233712993989</v>
      </c>
      <c r="M12" s="11">
        <v>20.361626507675577</v>
      </c>
      <c r="N12" s="11">
        <v>14.891703136376176</v>
      </c>
      <c r="O12" s="11"/>
      <c r="P12" s="10" t="str">
        <f>name!D9</f>
        <v>24 Business, media and public service professionals</v>
      </c>
      <c r="Q12" s="11">
        <v>16.215269174648807</v>
      </c>
      <c r="R12" s="11">
        <v>18.434762102201113</v>
      </c>
      <c r="S12" s="345">
        <f t="shared" si="4"/>
        <v>2.2194929275523059</v>
      </c>
      <c r="T12" s="345">
        <v>7.3151806169722464</v>
      </c>
      <c r="U12" s="345">
        <f t="shared" si="5"/>
        <v>9.5346735445245514</v>
      </c>
      <c r="V12" s="346">
        <f t="shared" si="6"/>
        <v>2.5133449295227983E-2</v>
      </c>
      <c r="X12" s="10" t="str">
        <f>name!B9</f>
        <v>Electricity and gas</v>
      </c>
      <c r="Y12" s="11">
        <v>1.9709999999999988</v>
      </c>
      <c r="Z12" s="11">
        <v>1.8180000000000041</v>
      </c>
      <c r="AA12" s="345">
        <f t="shared" si="7"/>
        <v>-0.1529999999999947</v>
      </c>
      <c r="AB12" s="11">
        <v>0.78675766628093169</v>
      </c>
      <c r="AC12" s="345">
        <f t="shared" si="8"/>
        <v>0.63375766628093699</v>
      </c>
      <c r="AD12" s="348">
        <f t="shared" si="9"/>
        <v>2.2644369984085699E-2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8.7119007645620865</v>
      </c>
      <c r="C13" s="11">
        <f t="shared" si="2"/>
        <v>8.4283160725445558</v>
      </c>
      <c r="D13" s="11">
        <f t="shared" si="2"/>
        <v>-0.28358469201753089</v>
      </c>
      <c r="E13" s="11">
        <f t="shared" si="2"/>
        <v>3.2508461489073412</v>
      </c>
      <c r="F13" s="11">
        <f t="shared" si="2"/>
        <v>2.9672614568898101</v>
      </c>
      <c r="G13" s="200">
        <f t="shared" si="3"/>
        <v>2.1365536762369963E-2</v>
      </c>
      <c r="H13" s="11"/>
      <c r="I13" s="10" t="str">
        <f>name!E9</f>
        <v>Caring, leisure and other service occupations</v>
      </c>
      <c r="J13" s="11">
        <v>49.337956426134419</v>
      </c>
      <c r="K13" s="11">
        <v>53.919691330747135</v>
      </c>
      <c r="L13" s="11">
        <v>4.5817349046127207</v>
      </c>
      <c r="M13" s="11">
        <v>28.655182651565259</v>
      </c>
      <c r="N13" s="11">
        <v>33.236917556177985</v>
      </c>
      <c r="O13" s="11"/>
      <c r="P13" s="10" t="str">
        <f>name!D10</f>
        <v>31 Science, engineering and technology associate professionals</v>
      </c>
      <c r="Q13" s="11">
        <v>6.7208561905131106</v>
      </c>
      <c r="R13" s="11">
        <v>5.9693453417966023</v>
      </c>
      <c r="S13" s="345">
        <f t="shared" si="4"/>
        <v>-0.75151084871650831</v>
      </c>
      <c r="T13" s="345">
        <v>2.1434136102746773</v>
      </c>
      <c r="U13" s="345">
        <f t="shared" si="5"/>
        <v>1.3919027615581689</v>
      </c>
      <c r="V13" s="346">
        <f t="shared" si="6"/>
        <v>1.8625531841960585E-2</v>
      </c>
      <c r="X13" s="10" t="str">
        <f>name!B10</f>
        <v>Water and sewerage</v>
      </c>
      <c r="Y13" s="11">
        <v>3.8029999999999959</v>
      </c>
      <c r="Z13" s="11">
        <v>4.0479999999999894</v>
      </c>
      <c r="AA13" s="345">
        <f t="shared" si="7"/>
        <v>0.24499999999999345</v>
      </c>
      <c r="AB13" s="11">
        <v>1.7402895980274735</v>
      </c>
      <c r="AC13" s="345">
        <f t="shared" si="8"/>
        <v>1.985289598027467</v>
      </c>
      <c r="AD13" s="348">
        <f t="shared" si="9"/>
        <v>2.5438021192591753E-2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11.001883705458059</v>
      </c>
      <c r="C14" s="11">
        <f t="shared" si="2"/>
        <v>21.055821572998457</v>
      </c>
      <c r="D14" s="11">
        <f t="shared" si="2"/>
        <v>10.053937867540398</v>
      </c>
      <c r="E14" s="11">
        <f t="shared" si="2"/>
        <v>10.475612259565926</v>
      </c>
      <c r="F14" s="11">
        <f t="shared" si="2"/>
        <v>20.529550127106319</v>
      </c>
      <c r="G14" s="200">
        <f t="shared" si="3"/>
        <v>4.5605293095293709E-2</v>
      </c>
      <c r="H14" s="11"/>
      <c r="I14" s="10" t="str">
        <f>name!E10</f>
        <v>Sales and customer service occupations</v>
      </c>
      <c r="J14" s="11">
        <v>39.339785940793099</v>
      </c>
      <c r="K14" s="11">
        <v>39.081082804049572</v>
      </c>
      <c r="L14" s="11">
        <v>-0.25870313674353262</v>
      </c>
      <c r="M14" s="11">
        <v>17.810894777395994</v>
      </c>
      <c r="N14" s="11">
        <v>17.55219164065246</v>
      </c>
      <c r="O14" s="11"/>
      <c r="P14" s="10" t="str">
        <f>name!D11</f>
        <v>32 Health and social care associate professionals</v>
      </c>
      <c r="Q14" s="11">
        <v>2.4607813380873722</v>
      </c>
      <c r="R14" s="11">
        <v>3.6552006282453262</v>
      </c>
      <c r="S14" s="345">
        <f t="shared" si="4"/>
        <v>1.194419290157954</v>
      </c>
      <c r="T14" s="345">
        <v>1.6053834572114065</v>
      </c>
      <c r="U14" s="345">
        <f t="shared" si="5"/>
        <v>2.7998027473693607</v>
      </c>
      <c r="V14" s="346">
        <f t="shared" si="6"/>
        <v>3.4048232850848903E-2</v>
      </c>
      <c r="X14" s="10" t="str">
        <f>name!B11</f>
        <v>Construction</v>
      </c>
      <c r="Y14" s="11">
        <v>37.014999999999908</v>
      </c>
      <c r="Z14" s="11">
        <v>37.449999999999925</v>
      </c>
      <c r="AA14" s="345">
        <f t="shared" si="7"/>
        <v>0.43500000000001648</v>
      </c>
      <c r="AB14" s="11">
        <v>15.414609290210322</v>
      </c>
      <c r="AC14" s="345">
        <f t="shared" si="8"/>
        <v>15.849609290210338</v>
      </c>
      <c r="AD14" s="348">
        <f t="shared" si="9"/>
        <v>2.3481329268106643E-2</v>
      </c>
    </row>
    <row r="15" spans="1:30" ht="12.5" x14ac:dyDescent="0.25">
      <c r="A15" s="10" t="str">
        <f>name!D12</f>
        <v>33 Protective service occupations</v>
      </c>
      <c r="B15" s="11">
        <f t="shared" si="2"/>
        <v>4.6873216411379612</v>
      </c>
      <c r="C15" s="11">
        <f t="shared" si="2"/>
        <v>4.4519253372123684</v>
      </c>
      <c r="D15" s="11">
        <f t="shared" si="2"/>
        <v>-0.2353963039255926</v>
      </c>
      <c r="E15" s="11">
        <f t="shared" si="2"/>
        <v>1.4492247074295082</v>
      </c>
      <c r="F15" s="11">
        <f t="shared" si="2"/>
        <v>1.2138284035039155</v>
      </c>
      <c r="G15" s="200">
        <f t="shared" si="3"/>
        <v>1.8122302221039277E-2</v>
      </c>
      <c r="H15" s="11"/>
      <c r="I15" s="10" t="str">
        <f>name!E11</f>
        <v>Process, plant and machine operatives</v>
      </c>
      <c r="J15" s="11">
        <v>40.358374305998069</v>
      </c>
      <c r="K15" s="11">
        <v>40.199737732609357</v>
      </c>
      <c r="L15" s="11">
        <v>-0.15863657338870585</v>
      </c>
      <c r="M15" s="11">
        <v>19.468422812814641</v>
      </c>
      <c r="N15" s="11">
        <v>19.309786239425939</v>
      </c>
      <c r="O15" s="11"/>
      <c r="P15" s="10" t="str">
        <f>name!D12</f>
        <v>33 Protective service occupations</v>
      </c>
      <c r="Q15" s="11">
        <v>3.4149050526208469</v>
      </c>
      <c r="R15" s="11">
        <v>2.9406514003190516</v>
      </c>
      <c r="S15" s="345">
        <f t="shared" si="4"/>
        <v>-0.47425365230179528</v>
      </c>
      <c r="T15" s="345">
        <v>0.83173271306921326</v>
      </c>
      <c r="U15" s="345">
        <f t="shared" si="5"/>
        <v>0.35747906076741798</v>
      </c>
      <c r="V15" s="346">
        <f t="shared" si="6"/>
        <v>1.4637958521531713E-2</v>
      </c>
      <c r="X15" s="10" t="str">
        <f>name!B12</f>
        <v>Wholesale and retail trade</v>
      </c>
      <c r="Y15" s="11">
        <v>87.074000000000183</v>
      </c>
      <c r="Z15" s="11">
        <v>88.842999999999677</v>
      </c>
      <c r="AA15" s="345">
        <f t="shared" si="7"/>
        <v>1.7689999999994939</v>
      </c>
      <c r="AB15" s="11">
        <v>41.068146377617396</v>
      </c>
      <c r="AC15" s="345">
        <f t="shared" si="8"/>
        <v>42.837146377616889</v>
      </c>
      <c r="AD15" s="348">
        <f t="shared" si="9"/>
        <v>2.6093413567408241E-2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7.6956038424600592</v>
      </c>
      <c r="C16" s="11">
        <f t="shared" si="2"/>
        <v>7.2418470917099587</v>
      </c>
      <c r="D16" s="11">
        <f t="shared" si="2"/>
        <v>-0.4537567507501018</v>
      </c>
      <c r="E16" s="11">
        <f t="shared" si="2"/>
        <v>3.1892023159623957</v>
      </c>
      <c r="F16" s="11">
        <f t="shared" si="2"/>
        <v>2.7354455652122933</v>
      </c>
      <c r="G16" s="200">
        <f t="shared" si="3"/>
        <v>2.3383788741752287E-2</v>
      </c>
      <c r="H16" s="11"/>
      <c r="I16" s="10" t="str">
        <f>name!E12</f>
        <v>Elementary occupations</v>
      </c>
      <c r="J16" s="11">
        <v>46.286833202091884</v>
      </c>
      <c r="K16" s="11">
        <v>45.977952071338834</v>
      </c>
      <c r="L16" s="11">
        <v>-0.30888113075304613</v>
      </c>
      <c r="M16" s="11">
        <v>22.797987863335656</v>
      </c>
      <c r="N16" s="11">
        <v>22.489106732582613</v>
      </c>
      <c r="O16" s="11"/>
      <c r="P16" s="10" t="str">
        <f>name!D13</f>
        <v>34 Culture, media and sports occupations</v>
      </c>
      <c r="Q16" s="11">
        <v>4.5437609296462051</v>
      </c>
      <c r="R16" s="11">
        <v>4.137314928784833</v>
      </c>
      <c r="S16" s="345">
        <f t="shared" si="4"/>
        <v>-0.40644600086137217</v>
      </c>
      <c r="T16" s="345">
        <v>1.6115461631342662</v>
      </c>
      <c r="U16" s="345">
        <f t="shared" si="5"/>
        <v>1.2051001622728941</v>
      </c>
      <c r="V16" s="346">
        <f t="shared" si="6"/>
        <v>2.0443468238622975E-2</v>
      </c>
      <c r="X16" s="10" t="str">
        <f>name!B13</f>
        <v>Transport and storage</v>
      </c>
      <c r="Y16" s="11">
        <v>32.947999999999944</v>
      </c>
      <c r="Z16" s="11">
        <v>37.761000000000067</v>
      </c>
      <c r="AA16" s="345">
        <f t="shared" si="7"/>
        <v>4.8130000000001232</v>
      </c>
      <c r="AB16" s="11">
        <v>17.245771609961935</v>
      </c>
      <c r="AC16" s="345">
        <f t="shared" si="8"/>
        <v>22.058771609962058</v>
      </c>
      <c r="AD16" s="348">
        <f t="shared" si="9"/>
        <v>2.8461530345039732E-2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28.718892057032409</v>
      </c>
      <c r="C17" s="11">
        <f t="shared" si="10"/>
        <v>30.332034577933769</v>
      </c>
      <c r="D17" s="11">
        <f t="shared" si="10"/>
        <v>1.613142520901357</v>
      </c>
      <c r="E17" s="11">
        <f t="shared" si="10"/>
        <v>13.365379856841281</v>
      </c>
      <c r="F17" s="11">
        <f t="shared" si="10"/>
        <v>14.978522377742637</v>
      </c>
      <c r="G17" s="200">
        <f t="shared" si="3"/>
        <v>2.5801844835433796E-2</v>
      </c>
      <c r="H17" s="11"/>
      <c r="O17" s="11"/>
      <c r="P17" s="10" t="str">
        <f>name!D14</f>
        <v>35 Business and public service associate professionals</v>
      </c>
      <c r="Q17" s="11">
        <v>15.700778568083784</v>
      </c>
      <c r="R17" s="11">
        <v>15.753402090816163</v>
      </c>
      <c r="S17" s="345">
        <f t="shared" si="4"/>
        <v>5.2623522732378802E-2</v>
      </c>
      <c r="T17" s="345">
        <v>6.0011903139623914</v>
      </c>
      <c r="U17" s="345">
        <f t="shared" si="5"/>
        <v>6.0538138366947702</v>
      </c>
      <c r="V17" s="346">
        <f t="shared" si="6"/>
        <v>2.1814034053103226E-2</v>
      </c>
      <c r="X17" s="10" t="str">
        <f>name!B14</f>
        <v>Accommodation and food</v>
      </c>
      <c r="Y17" s="11">
        <v>24.702000000000027</v>
      </c>
      <c r="Z17" s="11">
        <v>29.351999999999972</v>
      </c>
      <c r="AA17" s="345">
        <f t="shared" si="7"/>
        <v>4.6499999999999453</v>
      </c>
      <c r="AB17" s="11">
        <v>13.780300775376173</v>
      </c>
      <c r="AC17" s="345">
        <f t="shared" si="8"/>
        <v>18.430300775376118</v>
      </c>
      <c r="AD17" s="348">
        <f t="shared" si="9"/>
        <v>2.9995342338923425E-2</v>
      </c>
    </row>
    <row r="18" spans="1:30" x14ac:dyDescent="0.3">
      <c r="A18" s="10" t="str">
        <f>name!D15</f>
        <v>41 Administrative occupations</v>
      </c>
      <c r="B18" s="11">
        <f t="shared" si="10"/>
        <v>47.198067009749373</v>
      </c>
      <c r="C18" s="11">
        <f t="shared" si="10"/>
        <v>48.119806641230468</v>
      </c>
      <c r="D18" s="11">
        <f t="shared" si="10"/>
        <v>0.92173963148110305</v>
      </c>
      <c r="E18" s="11">
        <f t="shared" si="10"/>
        <v>24.237425168180764</v>
      </c>
      <c r="F18" s="11">
        <f t="shared" si="10"/>
        <v>25.159164799661866</v>
      </c>
      <c r="G18" s="200">
        <f t="shared" si="3"/>
        <v>2.8014693041727767E-2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16.23011080316379</v>
      </c>
      <c r="R18" s="11">
        <v>19.651714866681374</v>
      </c>
      <c r="S18" s="345">
        <f t="shared" si="4"/>
        <v>3.4216040635175844</v>
      </c>
      <c r="T18" s="345">
        <v>6.9011682914532315</v>
      </c>
      <c r="U18" s="345">
        <f t="shared" si="5"/>
        <v>10.322772354970816</v>
      </c>
      <c r="V18" s="346">
        <f t="shared" si="6"/>
        <v>2.3902360598418104E-2</v>
      </c>
      <c r="X18" s="10" t="str">
        <f>name!B15</f>
        <v>Media</v>
      </c>
      <c r="Y18" s="11">
        <v>2.1099999999999994</v>
      </c>
      <c r="Z18" s="11">
        <v>2.105999999999995</v>
      </c>
      <c r="AA18" s="345">
        <f t="shared" si="7"/>
        <v>-4.0000000000044444E-3</v>
      </c>
      <c r="AB18" s="11">
        <v>0.96191569583308489</v>
      </c>
      <c r="AC18" s="345">
        <f t="shared" si="8"/>
        <v>0.95791569583308045</v>
      </c>
      <c r="AD18" s="348">
        <f t="shared" si="9"/>
        <v>2.5357051620300552E-2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9.2803332734652084</v>
      </c>
      <c r="C19" s="11">
        <f t="shared" si="10"/>
        <v>5.4074642547867358</v>
      </c>
      <c r="D19" s="11">
        <f t="shared" si="10"/>
        <v>-3.8728690186784744</v>
      </c>
      <c r="E19" s="11">
        <f t="shared" si="10"/>
        <v>3.9957996097654842</v>
      </c>
      <c r="F19" s="11">
        <f t="shared" si="10"/>
        <v>0.12293059108701004</v>
      </c>
      <c r="G19" s="200">
        <f t="shared" si="3"/>
        <v>2.4158564652668968E-2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0.53314682451479967</v>
      </c>
      <c r="K19" s="11">
        <f t="array" ref="K19:K27">MMULT(aggregation!$B$13:$AA$21,C36:C61)</f>
        <v>1.022684963273842</v>
      </c>
      <c r="L19" s="11">
        <f t="array" ref="L19:L27">MMULT(aggregation!$B$13:$AA$21,D36:D61)</f>
        <v>0.4895381387590424</v>
      </c>
      <c r="M19" s="11">
        <f t="array" ref="M19:M27">MMULT(aggregation!$B$13:$AA$21,E36:E61)</f>
        <v>0.40369978959563091</v>
      </c>
      <c r="N19" s="11">
        <f t="array" ref="N19:N27">MMULT(aggregation!$B$13:$AA$21,F36:F61)</f>
        <v>0.89323792835467319</v>
      </c>
      <c r="O19" s="11"/>
      <c r="P19" s="10" t="str">
        <f>name!D16</f>
        <v>42 Secretarial and related occupations</v>
      </c>
      <c r="Q19" s="11">
        <v>0.71673135991795822</v>
      </c>
      <c r="R19" s="11">
        <v>0.72159592784091953</v>
      </c>
      <c r="S19" s="345">
        <f t="shared" si="4"/>
        <v>4.8645679229613048E-3</v>
      </c>
      <c r="T19" s="345">
        <v>0.21982309980314124</v>
      </c>
      <c r="U19" s="345">
        <f t="shared" si="5"/>
        <v>0.22468766772610255</v>
      </c>
      <c r="V19" s="346">
        <f t="shared" si="6"/>
        <v>1.7993742891343256E-2</v>
      </c>
      <c r="X19" s="10" t="str">
        <f>name!B16</f>
        <v>Information technology</v>
      </c>
      <c r="Y19" s="11">
        <v>6.8729999999999887</v>
      </c>
      <c r="Z19" s="11">
        <v>7.3899999999999935</v>
      </c>
      <c r="AA19" s="345">
        <f t="shared" si="7"/>
        <v>0.51700000000000479</v>
      </c>
      <c r="AB19" s="11">
        <v>3.0768802709824463</v>
      </c>
      <c r="AC19" s="345">
        <f t="shared" si="8"/>
        <v>3.5938802709824511</v>
      </c>
      <c r="AD19" s="348">
        <f t="shared" si="9"/>
        <v>2.4970660617368301E-2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3.1931450848658702</v>
      </c>
      <c r="C20" s="11">
        <f t="shared" si="10"/>
        <v>3.5350171502669556</v>
      </c>
      <c r="D20" s="11">
        <f t="shared" si="10"/>
        <v>0.3418720654010855</v>
      </c>
      <c r="E20" s="11">
        <f t="shared" si="10"/>
        <v>1.7950590123207246</v>
      </c>
      <c r="F20" s="11">
        <f t="shared" si="10"/>
        <v>2.13693107772181</v>
      </c>
      <c r="G20" s="200">
        <f t="shared" si="3"/>
        <v>3.018456231198785E-2</v>
      </c>
      <c r="H20" s="11"/>
      <c r="I20" s="11" t="str">
        <f t="shared" si="11"/>
        <v>Professional occupations</v>
      </c>
      <c r="J20" s="11">
        <v>5.3714807587830418</v>
      </c>
      <c r="K20" s="11">
        <v>9.723126222159177</v>
      </c>
      <c r="L20" s="11">
        <v>4.3516454633761352</v>
      </c>
      <c r="M20" s="11">
        <v>3.4493816377665252</v>
      </c>
      <c r="N20" s="11">
        <v>7.8010271011426617</v>
      </c>
      <c r="O20" s="11"/>
      <c r="P20" s="10" t="str">
        <f>name!D17</f>
        <v>51 Skilled agricultural and related trades</v>
      </c>
      <c r="Q20" s="11">
        <v>2.619953984996287</v>
      </c>
      <c r="R20" s="11">
        <v>2.7941578191640217</v>
      </c>
      <c r="S20" s="345">
        <f t="shared" si="4"/>
        <v>0.17420383416773477</v>
      </c>
      <c r="T20" s="345">
        <v>1.345558874797504</v>
      </c>
      <c r="U20" s="345">
        <f t="shared" si="5"/>
        <v>1.5197627089652388</v>
      </c>
      <c r="V20" s="346">
        <f t="shared" si="6"/>
        <v>2.8017197440692865E-2</v>
      </c>
      <c r="X20" s="10" t="str">
        <f>name!B17</f>
        <v>Finance and insurance</v>
      </c>
      <c r="Y20" s="11">
        <v>10.441000000000011</v>
      </c>
      <c r="Z20" s="11">
        <v>10.054000000000002</v>
      </c>
      <c r="AA20" s="345">
        <f t="shared" si="7"/>
        <v>-0.38700000000000934</v>
      </c>
      <c r="AB20" s="11">
        <v>4.9698621860407979</v>
      </c>
      <c r="AC20" s="345">
        <f t="shared" si="8"/>
        <v>4.5828621860407885</v>
      </c>
      <c r="AD20" s="348">
        <f t="shared" si="9"/>
        <v>2.6295259133830129E-2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23.236826282247677</v>
      </c>
      <c r="C21" s="11">
        <f t="shared" si="10"/>
        <v>20.841134342227424</v>
      </c>
      <c r="D21" s="11">
        <f t="shared" si="10"/>
        <v>-2.3956919400202512</v>
      </c>
      <c r="E21" s="11">
        <f t="shared" si="10"/>
        <v>8.288991224805331</v>
      </c>
      <c r="F21" s="11">
        <f t="shared" si="10"/>
        <v>5.8932992847850798</v>
      </c>
      <c r="G21" s="200">
        <f t="shared" si="3"/>
        <v>2.0546121151125529E-2</v>
      </c>
      <c r="H21" s="11"/>
      <c r="I21" s="11" t="str">
        <f t="shared" si="11"/>
        <v>Associate professional occupations</v>
      </c>
      <c r="J21" s="11">
        <v>0.59641013872201476</v>
      </c>
      <c r="K21" s="11">
        <v>1.3232424221457277</v>
      </c>
      <c r="L21" s="11">
        <v>0.72683228342371287</v>
      </c>
      <c r="M21" s="11">
        <v>0.44262454311215582</v>
      </c>
      <c r="N21" s="11">
        <v>1.1694568265358687</v>
      </c>
      <c r="O21" s="11"/>
      <c r="P21" s="10" t="str">
        <f>name!D18</f>
        <v>52 Skilled metal, electrical and electronic trades</v>
      </c>
      <c r="Q21" s="11">
        <v>22.785499260413552</v>
      </c>
      <c r="R21" s="11">
        <v>19.96974145302606</v>
      </c>
      <c r="S21" s="345">
        <f t="shared" si="4"/>
        <v>-2.8157578073874916</v>
      </c>
      <c r="T21" s="345">
        <v>7.8661938420712634</v>
      </c>
      <c r="U21" s="345">
        <f t="shared" si="5"/>
        <v>5.0504360346837718</v>
      </c>
      <c r="V21" s="346">
        <f t="shared" si="6"/>
        <v>1.996764305467158E-2</v>
      </c>
      <c r="X21" s="10" t="str">
        <f>name!B18</f>
        <v>Real estate</v>
      </c>
      <c r="Y21" s="11">
        <v>10.240000000000016</v>
      </c>
      <c r="Z21" s="11">
        <v>11.238000000000005</v>
      </c>
      <c r="AA21" s="345">
        <f t="shared" si="7"/>
        <v>0.99799999999998867</v>
      </c>
      <c r="AB21" s="11">
        <v>5.1219408907614294</v>
      </c>
      <c r="AC21" s="345">
        <f t="shared" si="8"/>
        <v>6.1199408907614181</v>
      </c>
      <c r="AD21" s="348">
        <f t="shared" si="9"/>
        <v>2.740831337330718E-2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17.473473402618136</v>
      </c>
      <c r="C22" s="11">
        <f t="shared" si="10"/>
        <v>14.401581227548824</v>
      </c>
      <c r="D22" s="11">
        <f t="shared" si="10"/>
        <v>-3.071892175069312</v>
      </c>
      <c r="E22" s="11">
        <f t="shared" si="10"/>
        <v>6.7757096321665671</v>
      </c>
      <c r="F22" s="11">
        <f t="shared" si="10"/>
        <v>3.7038174570972546</v>
      </c>
      <c r="G22" s="200">
        <f t="shared" si="3"/>
        <v>2.2086984447926783E-2</v>
      </c>
      <c r="H22" s="11"/>
      <c r="I22" s="11" t="str">
        <f t="shared" si="11"/>
        <v>Administrative and secretarial occupations</v>
      </c>
      <c r="J22" s="11">
        <v>0.29995564992565094</v>
      </c>
      <c r="K22" s="11">
        <v>0.69301122187727882</v>
      </c>
      <c r="L22" s="11">
        <v>0.39305557195162788</v>
      </c>
      <c r="M22" s="11">
        <v>0.24718081398055014</v>
      </c>
      <c r="N22" s="11">
        <v>0.64023638593217802</v>
      </c>
      <c r="O22" s="11"/>
      <c r="P22" s="10" t="str">
        <f>name!D19</f>
        <v>53 Skilled construction and building trades</v>
      </c>
      <c r="Q22" s="11">
        <v>17.18800702433489</v>
      </c>
      <c r="R22" s="11">
        <v>14.225624089851634</v>
      </c>
      <c r="S22" s="345">
        <f t="shared" si="4"/>
        <v>-2.9623829344832568</v>
      </c>
      <c r="T22" s="345">
        <v>6.6839103927580013</v>
      </c>
      <c r="U22" s="345">
        <f t="shared" si="5"/>
        <v>3.7215274582747444</v>
      </c>
      <c r="V22" s="346">
        <f t="shared" si="6"/>
        <v>2.214094442404213E-2</v>
      </c>
      <c r="X22" s="10" t="str">
        <f>name!B19</f>
        <v>Professional services</v>
      </c>
      <c r="Y22" s="11">
        <v>24.728999999999964</v>
      </c>
      <c r="Z22" s="11">
        <v>26.893000000000079</v>
      </c>
      <c r="AA22" s="345">
        <f t="shared" si="7"/>
        <v>2.1640000000001152</v>
      </c>
      <c r="AB22" s="11">
        <v>12.093793600835456</v>
      </c>
      <c r="AC22" s="345">
        <f t="shared" si="8"/>
        <v>14.257793600835571</v>
      </c>
      <c r="AD22" s="348">
        <f t="shared" si="9"/>
        <v>2.6898088080160809E-2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8.3294023293212938</v>
      </c>
      <c r="C23" s="11">
        <f t="shared" si="10"/>
        <v>7.9851910077103723</v>
      </c>
      <c r="D23" s="11">
        <f t="shared" si="10"/>
        <v>-0.34421132161092172</v>
      </c>
      <c r="E23" s="11">
        <f t="shared" si="10"/>
        <v>3.5018666383829524</v>
      </c>
      <c r="F23" s="11">
        <f t="shared" si="10"/>
        <v>3.15765531677203</v>
      </c>
      <c r="G23" s="200">
        <f t="shared" si="3"/>
        <v>2.3672804786869728E-2</v>
      </c>
      <c r="H23" s="11"/>
      <c r="I23" s="11" t="str">
        <f t="shared" si="11"/>
        <v>Skilled trades occupations</v>
      </c>
      <c r="J23" s="11">
        <v>5.2480588730161384E-2</v>
      </c>
      <c r="K23" s="11">
        <v>9.7209394709024843E-2</v>
      </c>
      <c r="L23" s="11">
        <v>4.4728805978863445E-2</v>
      </c>
      <c r="M23" s="11">
        <v>3.5906820431556956E-2</v>
      </c>
      <c r="N23" s="11">
        <v>8.0635626410420408E-2</v>
      </c>
      <c r="O23" s="11"/>
      <c r="P23" s="10" t="str">
        <f>name!D20</f>
        <v>54 Textiles, printing and other skilled trades</v>
      </c>
      <c r="Q23" s="11">
        <v>4.9540421002834485</v>
      </c>
      <c r="R23" s="11">
        <v>4.6900830934789584</v>
      </c>
      <c r="S23" s="345">
        <f t="shared" si="4"/>
        <v>-0.26395900680449014</v>
      </c>
      <c r="T23" s="345">
        <v>1.5748304160157058</v>
      </c>
      <c r="U23" s="345">
        <f t="shared" si="5"/>
        <v>1.3108714092112157</v>
      </c>
      <c r="V23" s="346">
        <f t="shared" si="6"/>
        <v>1.8572389859995875E-2</v>
      </c>
      <c r="X23" s="10" t="str">
        <f>name!B20</f>
        <v>Support services</v>
      </c>
      <c r="Y23" s="11">
        <v>32.168000000000021</v>
      </c>
      <c r="Z23" s="11">
        <v>35.682999999999957</v>
      </c>
      <c r="AA23" s="345">
        <f t="shared" si="7"/>
        <v>3.5149999999999366</v>
      </c>
      <c r="AB23" s="11">
        <v>15.982609175295689</v>
      </c>
      <c r="AC23" s="345">
        <f t="shared" si="8"/>
        <v>19.497609175295626</v>
      </c>
      <c r="AD23" s="348">
        <f t="shared" si="9"/>
        <v>2.725559431354907E-2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39.709013980070374</v>
      </c>
      <c r="C24" s="11">
        <f t="shared" si="10"/>
        <v>45.131434884626138</v>
      </c>
      <c r="D24" s="11">
        <f t="shared" si="10"/>
        <v>5.4224209045557696</v>
      </c>
      <c r="E24" s="11">
        <f t="shared" si="10"/>
        <v>24.118414425320019</v>
      </c>
      <c r="F24" s="11">
        <f t="shared" si="10"/>
        <v>29.54083532987579</v>
      </c>
      <c r="G24" s="200">
        <f t="shared" si="3"/>
        <v>3.2146195911036068E-2</v>
      </c>
      <c r="H24" s="11"/>
      <c r="I24" s="11" t="str">
        <f t="shared" si="11"/>
        <v>Caring, leisure and other service occupations</v>
      </c>
      <c r="J24" s="11">
        <v>4.5874008041012521E-2</v>
      </c>
      <c r="K24" s="11">
        <v>0.11172085738503694</v>
      </c>
      <c r="L24" s="11">
        <v>6.5846849344024419E-2</v>
      </c>
      <c r="M24" s="11">
        <v>4.1063924689261837E-2</v>
      </c>
      <c r="N24" s="11">
        <v>0.10691077403328626</v>
      </c>
      <c r="O24" s="11"/>
      <c r="P24" s="10" t="str">
        <f>name!D21</f>
        <v>61 Caring personal service occupations</v>
      </c>
      <c r="Q24" s="11">
        <v>4.2454959953934797</v>
      </c>
      <c r="R24" s="11">
        <v>5.7241065950610333</v>
      </c>
      <c r="S24" s="345">
        <f t="shared" si="4"/>
        <v>1.4786105996675536</v>
      </c>
      <c r="T24" s="345">
        <v>2.2713000587416849</v>
      </c>
      <c r="U24" s="345">
        <f t="shared" si="5"/>
        <v>3.7499106584092385</v>
      </c>
      <c r="V24" s="346">
        <f t="shared" si="6"/>
        <v>2.8980267018085426E-2</v>
      </c>
      <c r="X24" s="10" t="str">
        <f>name!B21</f>
        <v>Public admin. and defence</v>
      </c>
      <c r="Y24" s="11">
        <v>15.280999999999985</v>
      </c>
      <c r="Z24" s="11">
        <v>16.224999999999966</v>
      </c>
      <c r="AA24" s="345">
        <f t="shared" si="7"/>
        <v>0.9439999999999813</v>
      </c>
      <c r="AB24" s="11">
        <v>7.7490210623879223</v>
      </c>
      <c r="AC24" s="345">
        <f t="shared" si="8"/>
        <v>8.6930210623879027</v>
      </c>
      <c r="AD24" s="348">
        <f t="shared" si="9"/>
        <v>2.7723224024122528E-2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9.1820078898329704</v>
      </c>
      <c r="C25" s="11">
        <f t="shared" si="10"/>
        <v>8.4132106883947415</v>
      </c>
      <c r="D25" s="11">
        <f t="shared" si="10"/>
        <v>-0.76879720143823049</v>
      </c>
      <c r="E25" s="11">
        <f t="shared" si="10"/>
        <v>4.3570157519509625</v>
      </c>
      <c r="F25" s="11">
        <f t="shared" si="10"/>
        <v>3.5882185505127326</v>
      </c>
      <c r="G25" s="200">
        <f t="shared" si="3"/>
        <v>2.6226706020711976E-2</v>
      </c>
      <c r="H25" s="11"/>
      <c r="I25" s="11" t="str">
        <f t="shared" si="11"/>
        <v>Sales and customer service occupations</v>
      </c>
      <c r="J25" s="11">
        <v>8.5681588323921087E-2</v>
      </c>
      <c r="K25" s="11">
        <v>0.1945502268246089</v>
      </c>
      <c r="L25" s="11">
        <v>0.10886863850068781</v>
      </c>
      <c r="M25" s="11">
        <v>6.0424289716604497E-2</v>
      </c>
      <c r="N25" s="11">
        <v>0.1692929282172923</v>
      </c>
      <c r="O25" s="11"/>
      <c r="P25" s="10" t="str">
        <f>name!D22</f>
        <v>62 Leisure, travel and related personal service occupations</v>
      </c>
      <c r="Q25" s="11">
        <v>2.7586835265309717</v>
      </c>
      <c r="R25" s="11">
        <v>2.7097380111785139</v>
      </c>
      <c r="S25" s="345">
        <f t="shared" si="4"/>
        <v>-4.8945515352457836E-2</v>
      </c>
      <c r="T25" s="345">
        <v>1.1599384990454351</v>
      </c>
      <c r="U25" s="345">
        <f t="shared" si="5"/>
        <v>1.1109929836929773</v>
      </c>
      <c r="V25" s="346">
        <f t="shared" si="6"/>
        <v>2.3675005711881747E-2</v>
      </c>
      <c r="X25" s="10" t="str">
        <f>name!B22</f>
        <v>Education</v>
      </c>
      <c r="Y25" s="11">
        <v>45.063000000000045</v>
      </c>
      <c r="Z25" s="11">
        <v>49.163999999999959</v>
      </c>
      <c r="AA25" s="345">
        <f t="shared" si="7"/>
        <v>4.1009999999999138</v>
      </c>
      <c r="AB25" s="11">
        <v>24.931147358684481</v>
      </c>
      <c r="AC25" s="345">
        <f t="shared" si="8"/>
        <v>29.032147358684394</v>
      </c>
      <c r="AD25" s="348">
        <f t="shared" si="9"/>
        <v>2.9791829548386994E-2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0.44693455623107459</v>
      </c>
      <c r="C26" s="11">
        <f t="shared" si="10"/>
        <v>0.37504575772625609</v>
      </c>
      <c r="D26" s="11">
        <f t="shared" si="10"/>
        <v>-7.1888798504818413E-2</v>
      </c>
      <c r="E26" s="11">
        <f t="shared" si="10"/>
        <v>0.17975247429427885</v>
      </c>
      <c r="F26" s="11">
        <f t="shared" si="10"/>
        <v>0.10786367578946038</v>
      </c>
      <c r="G26" s="200">
        <f t="shared" si="3"/>
        <v>2.2791518866453142E-2</v>
      </c>
      <c r="H26" s="11"/>
      <c r="I26" s="11" t="str">
        <f t="shared" si="11"/>
        <v>Process, plant and machine operatives</v>
      </c>
      <c r="J26" s="11">
        <v>7.6031817905234444E-2</v>
      </c>
      <c r="K26" s="11">
        <v>0.24362692875390629</v>
      </c>
      <c r="L26" s="11">
        <v>0.16759511084867185</v>
      </c>
      <c r="M26" s="11">
        <v>8.9357295128726033E-2</v>
      </c>
      <c r="N26" s="11">
        <v>0.25695240597739788</v>
      </c>
      <c r="O26" s="11"/>
      <c r="P26" s="10" t="str">
        <f>name!D23</f>
        <v>63 Community and civil enforcement occupations</v>
      </c>
      <c r="Q26" s="11">
        <v>0.34512232129875436</v>
      </c>
      <c r="R26" s="11">
        <v>0.23596527829199901</v>
      </c>
      <c r="S26" s="345">
        <f t="shared" si="4"/>
        <v>-0.10915704300675536</v>
      </c>
      <c r="T26" s="345">
        <v>9.1710861213524161E-2</v>
      </c>
      <c r="U26" s="345">
        <f t="shared" si="5"/>
        <v>-1.7446181793231194E-2</v>
      </c>
      <c r="V26" s="346">
        <f t="shared" si="6"/>
        <v>1.5834218773109976E-2</v>
      </c>
      <c r="X26" s="10" t="str">
        <f>name!B23</f>
        <v>Health and social work</v>
      </c>
      <c r="Y26" s="11">
        <v>71.770000000000039</v>
      </c>
      <c r="Z26" s="11">
        <v>81.203000000000074</v>
      </c>
      <c r="AA26" s="345">
        <f t="shared" si="7"/>
        <v>9.4330000000000354</v>
      </c>
      <c r="AB26" s="11">
        <v>42.516792904311927</v>
      </c>
      <c r="AC26" s="345">
        <f t="shared" si="8"/>
        <v>51.949792904311963</v>
      </c>
      <c r="AD26" s="348">
        <f t="shared" si="9"/>
        <v>3.150231414542759E-2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30.250939134766355</v>
      </c>
      <c r="C27" s="11">
        <f t="shared" si="12"/>
        <v>27.81334895228423</v>
      </c>
      <c r="D27" s="11">
        <f t="shared" si="12"/>
        <v>-2.4375901824821269</v>
      </c>
      <c r="E27" s="11">
        <f t="shared" si="12"/>
        <v>13.114092206492909</v>
      </c>
      <c r="F27" s="11">
        <f t="shared" si="12"/>
        <v>10.676502024010782</v>
      </c>
      <c r="G27" s="200">
        <f t="shared" si="3"/>
        <v>2.4298932692945474E-2</v>
      </c>
      <c r="H27" s="11"/>
      <c r="I27" s="11" t="str">
        <f t="shared" si="11"/>
        <v>Elementary occupations</v>
      </c>
      <c r="J27" s="11">
        <v>3.0507158501374185E-2</v>
      </c>
      <c r="K27" s="11">
        <v>6.741489043305457E-2</v>
      </c>
      <c r="L27" s="11">
        <v>3.6907731931680378E-2</v>
      </c>
      <c r="M27" s="11">
        <v>2.5554910491864476E-2</v>
      </c>
      <c r="N27" s="11">
        <v>6.2462642423544858E-2</v>
      </c>
      <c r="O27" s="11"/>
      <c r="P27" s="10" t="str">
        <f>name!D24</f>
        <v>71 Sales occupations</v>
      </c>
      <c r="Q27" s="11">
        <v>13.001901321449159</v>
      </c>
      <c r="R27" s="11">
        <v>12.429160935553112</v>
      </c>
      <c r="S27" s="345">
        <f t="shared" si="4"/>
        <v>-0.57274038589604714</v>
      </c>
      <c r="T27" s="345">
        <v>4.1335378682670898</v>
      </c>
      <c r="U27" s="345">
        <f t="shared" si="5"/>
        <v>3.5607974823710427</v>
      </c>
      <c r="V27" s="346">
        <f t="shared" si="6"/>
        <v>1.8573934485609511E-2</v>
      </c>
      <c r="X27" s="10" t="str">
        <f>name!B24</f>
        <v>Arts and entertainment</v>
      </c>
      <c r="Y27" s="11">
        <v>11.910000000000011</v>
      </c>
      <c r="Z27" s="11">
        <v>11.952999999999991</v>
      </c>
      <c r="AA27" s="345">
        <f t="shared" si="7"/>
        <v>4.2999999999979721E-2</v>
      </c>
      <c r="AB27" s="11">
        <v>5.6124791551918642</v>
      </c>
      <c r="AC27" s="345">
        <f t="shared" si="8"/>
        <v>5.655479155191844</v>
      </c>
      <c r="AD27" s="348">
        <f t="shared" si="9"/>
        <v>2.6074558380135171E-2</v>
      </c>
    </row>
    <row r="28" spans="1:30" ht="12.5" x14ac:dyDescent="0.25">
      <c r="A28" s="10" t="str">
        <f>name!D25</f>
        <v>72 Customer service occupations</v>
      </c>
      <c r="B28" s="11">
        <f t="shared" si="12"/>
        <v>9.088846806026746</v>
      </c>
      <c r="C28" s="11">
        <f t="shared" si="12"/>
        <v>11.267733851765342</v>
      </c>
      <c r="D28" s="11">
        <f t="shared" si="12"/>
        <v>2.1788870457385943</v>
      </c>
      <c r="E28" s="11">
        <f t="shared" si="12"/>
        <v>4.6968025709030856</v>
      </c>
      <c r="F28" s="11">
        <f t="shared" si="12"/>
        <v>6.8756896166416794</v>
      </c>
      <c r="G28" s="200">
        <f t="shared" si="3"/>
        <v>2.8161244798928786E-2</v>
      </c>
      <c r="H28" s="11"/>
      <c r="O28" s="11"/>
      <c r="P28" s="10" t="str">
        <f>name!D25</f>
        <v>72 Customer service occupations</v>
      </c>
      <c r="Q28" s="11">
        <v>3.7194792469850886</v>
      </c>
      <c r="R28" s="11">
        <v>5.3492840253357752</v>
      </c>
      <c r="S28" s="345">
        <f t="shared" si="4"/>
        <v>1.6298047783506866</v>
      </c>
      <c r="T28" s="345">
        <v>1.6518113615420877</v>
      </c>
      <c r="U28" s="345">
        <f t="shared" si="5"/>
        <v>3.2816161398927743</v>
      </c>
      <c r="V28" s="346">
        <f t="shared" si="6"/>
        <v>2.4801535240766004E-2</v>
      </c>
      <c r="X28" s="10" t="str">
        <f>name!B25</f>
        <v>Other services</v>
      </c>
      <c r="Y28" s="11">
        <v>12.947000000000006</v>
      </c>
      <c r="Z28" s="11">
        <v>12.594999999999967</v>
      </c>
      <c r="AA28" s="345">
        <f t="shared" si="7"/>
        <v>-0.35200000000003939</v>
      </c>
      <c r="AB28" s="11">
        <v>6.3637936380196916</v>
      </c>
      <c r="AC28" s="345">
        <f t="shared" si="8"/>
        <v>6.0117936380196522</v>
      </c>
      <c r="AD28" s="348">
        <f t="shared" si="9"/>
        <v>2.7011716779052009E-2</v>
      </c>
    </row>
    <row r="29" spans="1:30" x14ac:dyDescent="0.3">
      <c r="A29" s="10" t="str">
        <f>name!D26</f>
        <v>81 Process, plant and machine operatives</v>
      </c>
      <c r="B29" s="11">
        <f t="shared" si="12"/>
        <v>18.382917992462495</v>
      </c>
      <c r="C29" s="11">
        <f t="shared" si="12"/>
        <v>17.514325366127899</v>
      </c>
      <c r="D29" s="11">
        <f t="shared" si="12"/>
        <v>-0.86859262633459</v>
      </c>
      <c r="E29" s="11">
        <f t="shared" si="12"/>
        <v>7.4375734958308177</v>
      </c>
      <c r="F29" s="11">
        <f t="shared" si="12"/>
        <v>6.5689808694962295</v>
      </c>
      <c r="G29" s="200">
        <f t="shared" si="3"/>
        <v>2.2908224133041166E-2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14.308197019339588</v>
      </c>
      <c r="R29" s="11">
        <v>12.805010245650058</v>
      </c>
      <c r="S29" s="345">
        <f t="shared" si="4"/>
        <v>-1.5031867736895297</v>
      </c>
      <c r="T29" s="345">
        <v>5.040098817483825</v>
      </c>
      <c r="U29" s="345">
        <f t="shared" si="5"/>
        <v>3.5369120437942954</v>
      </c>
      <c r="V29" s="346">
        <f t="shared" si="6"/>
        <v>2.0321850195674562E-2</v>
      </c>
      <c r="X29" s="231" t="str">
        <f>name!B3</f>
        <v>All industries</v>
      </c>
      <c r="Y29" s="34">
        <f>SUM(Y7:Y28)</f>
        <v>496.19400000000024</v>
      </c>
      <c r="Z29" s="34">
        <f>SUM(Z7:Z28)</f>
        <v>521.94399999999951</v>
      </c>
      <c r="AA29" s="349">
        <f t="shared" si="7"/>
        <v>25.749999999999261</v>
      </c>
      <c r="AB29" s="34">
        <f>SUM(AB7:AB28)</f>
        <v>245.71821360686721</v>
      </c>
      <c r="AC29" s="349">
        <f t="shared" si="8"/>
        <v>271.46821360686647</v>
      </c>
      <c r="AD29" s="350">
        <f t="shared" si="9"/>
        <v>2.7180424293477223E-2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21.975456313535574</v>
      </c>
      <c r="C30" s="11">
        <f t="shared" si="12"/>
        <v>22.685412366481458</v>
      </c>
      <c r="D30" s="11">
        <f t="shared" si="12"/>
        <v>0.70995605294588415</v>
      </c>
      <c r="E30" s="11">
        <f t="shared" si="12"/>
        <v>12.030849316983822</v>
      </c>
      <c r="F30" s="11">
        <f t="shared" si="12"/>
        <v>12.74080536992971</v>
      </c>
      <c r="G30" s="200">
        <f t="shared" si="3"/>
        <v>2.9535761770958402E-2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5.1112366327851504</v>
      </c>
      <c r="K30" s="11">
        <f t="array" ref="K30:K38">MMULT(aggregation!$B$13:$AA$21,C65:C90)</f>
        <v>9.1824859706475301</v>
      </c>
      <c r="L30" s="11">
        <f t="array" ref="L30:L38">MMULT(aggregation!$B$13:$AA$21,D65:D90)</f>
        <v>4.0712493378623797</v>
      </c>
      <c r="M30" s="11">
        <f t="array" ref="M30:M38">MMULT(aggregation!$B$13:$AA$21,E65:E90)</f>
        <v>3.679773400386547</v>
      </c>
      <c r="N30" s="11">
        <f t="array" ref="N30:N38">MMULT(aggregation!$B$13:$AA$21,F65:F90)</f>
        <v>7.7510227382489267</v>
      </c>
      <c r="O30" s="11"/>
      <c r="P30" s="10" t="str">
        <f>name!D27</f>
        <v>82 Transport and mobile machine drivers and operatives</v>
      </c>
      <c r="Q30" s="11">
        <v>21.000512062003565</v>
      </c>
      <c r="R30" s="11">
        <v>21.219555916449671</v>
      </c>
      <c r="S30" s="345">
        <f t="shared" si="4"/>
        <v>0.21904385444610597</v>
      </c>
      <c r="T30" s="345">
        <v>11.179594813782906</v>
      </c>
      <c r="U30" s="345">
        <f t="shared" si="5"/>
        <v>11.398638668229012</v>
      </c>
      <c r="V30" s="346">
        <f t="shared" si="6"/>
        <v>2.8862108740295378E-2</v>
      </c>
      <c r="X30" s="10"/>
      <c r="Y30" s="10"/>
      <c r="Z30" s="10"/>
      <c r="AA30" s="345"/>
      <c r="AB30" s="10"/>
      <c r="AC30" s="345"/>
      <c r="AD30" s="348"/>
    </row>
    <row r="31" spans="1:30" ht="12.5" x14ac:dyDescent="0.25">
      <c r="A31" s="10" t="str">
        <f>name!D28</f>
        <v>91 Elementary trades and related occupations</v>
      </c>
      <c r="B31" s="11">
        <f t="shared" si="12"/>
        <v>8.5978945244955725</v>
      </c>
      <c r="C31" s="11">
        <f t="shared" si="12"/>
        <v>16.496787208058883</v>
      </c>
      <c r="D31" s="11">
        <f t="shared" si="12"/>
        <v>7.89889268356331</v>
      </c>
      <c r="E31" s="11">
        <f t="shared" si="12"/>
        <v>7.0499608607004038</v>
      </c>
      <c r="F31" s="11">
        <f t="shared" si="12"/>
        <v>14.948853544263715</v>
      </c>
      <c r="G31" s="200">
        <f t="shared" si="3"/>
        <v>4.072865891566213E-2</v>
      </c>
      <c r="H31" s="11"/>
      <c r="I31" s="11" t="str">
        <f>I20</f>
        <v>Professional occupations</v>
      </c>
      <c r="J31" s="11">
        <v>26.883796985110784</v>
      </c>
      <c r="K31" s="11">
        <v>44.888363952047754</v>
      </c>
      <c r="L31" s="11">
        <v>18.00456696693697</v>
      </c>
      <c r="M31" s="11">
        <v>17.127509980611833</v>
      </c>
      <c r="N31" s="11">
        <v>35.132076947548804</v>
      </c>
      <c r="O31" s="11"/>
      <c r="P31" s="10" t="str">
        <f>name!D28</f>
        <v>91 Elementary trades and related occupations</v>
      </c>
      <c r="Q31" s="11">
        <v>6.6698630780719155</v>
      </c>
      <c r="R31" s="11">
        <v>9.4686811693405577</v>
      </c>
      <c r="S31" s="345">
        <f t="shared" si="4"/>
        <v>2.7988180912686422</v>
      </c>
      <c r="T31" s="345">
        <v>3.0608122110648264</v>
      </c>
      <c r="U31" s="345">
        <f t="shared" si="5"/>
        <v>5.8596303023334686</v>
      </c>
      <c r="V31" s="346">
        <f t="shared" si="6"/>
        <v>2.5498597590912553E-2</v>
      </c>
      <c r="X31" s="10"/>
      <c r="Y31" s="10"/>
      <c r="Z31" s="10"/>
      <c r="AA31" s="345"/>
      <c r="AB31" s="10"/>
      <c r="AC31" s="345"/>
      <c r="AD31" s="348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37.688938677596312</v>
      </c>
      <c r="C32" s="11">
        <f t="shared" si="12"/>
        <v>29.48116486327995</v>
      </c>
      <c r="D32" s="11">
        <f t="shared" si="12"/>
        <v>-8.2077738143163561</v>
      </c>
      <c r="E32" s="11">
        <f t="shared" si="12"/>
        <v>15.748027002635254</v>
      </c>
      <c r="F32" s="11">
        <f t="shared" si="12"/>
        <v>7.5402531883188999</v>
      </c>
      <c r="G32" s="200">
        <f t="shared" ref="G32" si="13">IF(B32&gt;0,(1+(E32/B32))^(1/($C$6-$B$6))-1,0)</f>
        <v>2.3548733970955027E-2</v>
      </c>
      <c r="H32" s="11"/>
      <c r="I32" s="11" t="str">
        <f>I21</f>
        <v>Associate professional occupations</v>
      </c>
      <c r="J32" s="11">
        <v>7.1715551210041575</v>
      </c>
      <c r="K32" s="11">
        <v>14.978726735205552</v>
      </c>
      <c r="L32" s="11">
        <v>7.807171614201394</v>
      </c>
      <c r="M32" s="11">
        <v>5.3620204942305492</v>
      </c>
      <c r="N32" s="11">
        <v>13.169192108431943</v>
      </c>
      <c r="O32" s="11"/>
      <c r="P32" s="10" t="str">
        <f>name!D29</f>
        <v>92 Elementary administration and service occupations</v>
      </c>
      <c r="Q32" s="11">
        <v>18.746991875777951</v>
      </c>
      <c r="R32" s="11">
        <v>16.657311828955478</v>
      </c>
      <c r="S32" s="345">
        <f t="shared" ref="S32" si="14">R32-Q32</f>
        <v>-2.0896800468224725</v>
      </c>
      <c r="T32" s="345">
        <v>7.1751543654780026</v>
      </c>
      <c r="U32" s="345">
        <f>SUM(S32:T32)</f>
        <v>5.08547431865553</v>
      </c>
      <c r="V32" s="346">
        <f t="shared" ref="V32" si="15">IF(Q32&gt;0,(1+(T32/Q32))^(1/($C$6-$B$6))-1,0)</f>
        <v>2.1839353382181015E-2</v>
      </c>
      <c r="X32" s="10"/>
      <c r="Y32" s="10"/>
      <c r="Z32" s="10"/>
      <c r="AA32" s="345"/>
      <c r="AB32" s="10"/>
      <c r="AC32" s="345"/>
      <c r="AD32" s="348"/>
    </row>
    <row r="33" spans="1:30" ht="12.5" x14ac:dyDescent="0.25">
      <c r="A33" t="str">
        <f>name!D3</f>
        <v>All occupations</v>
      </c>
      <c r="B33" s="11">
        <f t="shared" si="12"/>
        <v>496.19399999999996</v>
      </c>
      <c r="C33" s="11">
        <f>SUM(C62,C91,C120,C149,C178,C207,C236,C265,C294)</f>
        <v>521.94399999999962</v>
      </c>
      <c r="D33" s="11">
        <f t="shared" si="12"/>
        <v>25.74999999999968</v>
      </c>
      <c r="E33" s="11">
        <f t="shared" si="12"/>
        <v>245.71821360686721</v>
      </c>
      <c r="F33" s="11">
        <f t="shared" si="12"/>
        <v>271.46821360686687</v>
      </c>
      <c r="G33" s="200">
        <f t="shared" si="3"/>
        <v>2.7180424293477223E-2</v>
      </c>
      <c r="H33" s="11"/>
      <c r="I33" s="11" t="str">
        <f>I22</f>
        <v>Administrative and secretarial occupations</v>
      </c>
      <c r="J33" s="11">
        <v>3.3864749517445962</v>
      </c>
      <c r="K33" s="11">
        <v>6.3437694323814728</v>
      </c>
      <c r="L33" s="11">
        <v>2.9572944806368762</v>
      </c>
      <c r="M33" s="11">
        <v>2.5647356665600816</v>
      </c>
      <c r="N33" s="11">
        <v>5.5220301471969577</v>
      </c>
      <c r="O33" s="11"/>
      <c r="P33" s="10" t="str">
        <f>name!D3</f>
        <v>All occupations</v>
      </c>
      <c r="Q33" s="11">
        <f>SUM(Q7:Q32)</f>
        <v>265.0994044041413</v>
      </c>
      <c r="R33" s="11">
        <f>SUM(R7:R32)</f>
        <v>273.44446800613349</v>
      </c>
      <c r="S33" s="345">
        <f>R33-Q33</f>
        <v>8.3450636019921944</v>
      </c>
      <c r="T33" s="11">
        <f>SUM(T7:T32)</f>
        <v>108.3397982621365</v>
      </c>
      <c r="U33" s="345">
        <f>SUM(S33:T33)</f>
        <v>116.68486186412869</v>
      </c>
      <c r="V33" s="346">
        <f t="shared" si="6"/>
        <v>2.3106264040359648E-2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0.84091318727945419</v>
      </c>
      <c r="K34" s="11">
        <v>1.8574175637706478</v>
      </c>
      <c r="L34" s="11">
        <v>1.0165043764911936</v>
      </c>
      <c r="M34" s="11">
        <v>0.65360258030886564</v>
      </c>
      <c r="N34" s="11">
        <v>1.6701069568000593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25" x14ac:dyDescent="0.25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1.8959100167206917</v>
      </c>
      <c r="K35" s="11">
        <v>5.0361647543834014</v>
      </c>
      <c r="L35" s="11">
        <v>3.1402547376627092</v>
      </c>
      <c r="M35" s="11">
        <v>1.8404831072679528</v>
      </c>
      <c r="N35" s="11">
        <v>4.9807378449306619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5">
      <c r="A36" t="str">
        <f t="shared" ref="A36:A62" si="24">A7</f>
        <v>11 Corporate managers and directors</v>
      </c>
      <c r="B36" s="11">
        <v>0.40248138315331627</v>
      </c>
      <c r="C36" s="11">
        <v>0.72566654154476073</v>
      </c>
      <c r="D36" s="11">
        <f>C36-B36</f>
        <v>0.32318515839144446</v>
      </c>
      <c r="E36" s="11">
        <v>0.27787918007691015</v>
      </c>
      <c r="F36" s="11">
        <f>SUM(D36:E36)</f>
        <v>0.60106433846835461</v>
      </c>
      <c r="G36" s="200">
        <f>IF(B36&gt;0,(1+(E36/B36))^(1/($C$6-$B$6))-1,0)</f>
        <v>3.561791751968113E-2</v>
      </c>
      <c r="I36" s="11" t="str">
        <f t="shared" si="17"/>
        <v>Sales and customer service occupations</v>
      </c>
      <c r="J36" s="11">
        <v>1.3394876143691148</v>
      </c>
      <c r="K36" s="11">
        <v>3.268194332786079</v>
      </c>
      <c r="L36" s="11">
        <v>1.9287067184169644</v>
      </c>
      <c r="M36" s="11">
        <v>1.0204459773151067</v>
      </c>
      <c r="N36" s="11">
        <v>2.9491526957320708</v>
      </c>
      <c r="P36" s="10" t="str">
        <f>name!D4</f>
        <v>11 Corporate managers and directors</v>
      </c>
      <c r="Q36" s="11">
        <v>11.015297763742437</v>
      </c>
      <c r="R36" s="11">
        <v>12.622071960941076</v>
      </c>
      <c r="S36" s="345">
        <f>R36-Q36</f>
        <v>1.6067741971986393</v>
      </c>
      <c r="T36" s="345">
        <v>6.7255192892366518</v>
      </c>
      <c r="U36" s="345">
        <f>SUM(S36:T36)</f>
        <v>8.3322934864352902</v>
      </c>
      <c r="V36" s="346">
        <f>IF(Q36&gt;0,(1+(T36/Q36))^(1/($C$6-$B$6))-1,0)</f>
        <v>3.228232601387071E-2</v>
      </c>
      <c r="X36" s="10"/>
      <c r="Y36" s="10"/>
      <c r="Z36" s="10"/>
      <c r="AA36" s="345"/>
      <c r="AB36" s="10"/>
      <c r="AC36" s="345"/>
      <c r="AD36" s="348"/>
    </row>
    <row r="37" spans="1:30" ht="12.5" x14ac:dyDescent="0.25">
      <c r="A37" t="str">
        <f t="shared" si="24"/>
        <v>12 Other managers and proprietors</v>
      </c>
      <c r="B37" s="11">
        <v>0.13066544136148342</v>
      </c>
      <c r="C37" s="11">
        <v>0.29701842172908133</v>
      </c>
      <c r="D37" s="11">
        <f t="shared" ref="D37:D60" si="25">C37-B37</f>
        <v>0.16635298036759791</v>
      </c>
      <c r="E37" s="11">
        <v>0.12582060951872073</v>
      </c>
      <c r="F37" s="11">
        <f t="shared" ref="F37:F60" si="26">SUM(D37:E37)</f>
        <v>0.29217358988631864</v>
      </c>
      <c r="G37" s="200">
        <f t="shared" ref="G37:G62" si="27">IF(B37&gt;0,(1+(E37/B37))^(1/($C$6-$B$6))-1,0)</f>
        <v>4.5988397986800322E-2</v>
      </c>
      <c r="I37" s="11" t="str">
        <f t="shared" si="17"/>
        <v>Process, plant and machine operatives</v>
      </c>
      <c r="J37" s="11">
        <v>0.46531697832426244</v>
      </c>
      <c r="K37" s="11">
        <v>1.3516953912996905</v>
      </c>
      <c r="L37" s="11">
        <v>0.88637841297542808</v>
      </c>
      <c r="M37" s="11">
        <v>0.48004039532224618</v>
      </c>
      <c r="N37" s="11">
        <v>1.3664188082976743</v>
      </c>
      <c r="P37" s="10" t="str">
        <f>name!D5</f>
        <v>12 Other managers and proprietors</v>
      </c>
      <c r="Q37" s="11">
        <v>5.8568844128301869</v>
      </c>
      <c r="R37" s="11">
        <v>6.0331290968371736</v>
      </c>
      <c r="S37" s="345">
        <f t="shared" ref="S37:S60" si="28">R37-Q37</f>
        <v>0.17624468400698667</v>
      </c>
      <c r="T37" s="345">
        <v>3.7006962191608381</v>
      </c>
      <c r="U37" s="345">
        <f t="shared" ref="U37:U60" si="29">SUM(S37:T37)</f>
        <v>3.8769409031678248</v>
      </c>
      <c r="V37" s="346">
        <f t="shared" ref="V37:V62" si="30">IF(Q37&gt;0,(1+(T37/Q37))^(1/($C$6-$B$6))-1,0)</f>
        <v>3.3186575198731916E-2</v>
      </c>
      <c r="X37" s="10"/>
      <c r="Y37" s="10"/>
      <c r="Z37" s="10"/>
      <c r="AA37" s="345"/>
      <c r="AB37" s="10"/>
      <c r="AC37" s="345"/>
      <c r="AD37" s="348"/>
    </row>
    <row r="38" spans="1:30" ht="12.5" x14ac:dyDescent="0.25">
      <c r="A38" t="str">
        <f t="shared" si="24"/>
        <v>21 Science, research, engineering and technology professionals</v>
      </c>
      <c r="B38" s="11">
        <v>1.2276512560906556</v>
      </c>
      <c r="C38" s="11">
        <v>2.5621667941035926</v>
      </c>
      <c r="D38" s="11">
        <f t="shared" si="25"/>
        <v>1.334515538012937</v>
      </c>
      <c r="E38" s="11">
        <v>0.71304965448868407</v>
      </c>
      <c r="F38" s="11">
        <f t="shared" si="26"/>
        <v>2.0475651925016209</v>
      </c>
      <c r="G38" s="200">
        <f t="shared" si="27"/>
        <v>3.1000572578744334E-2</v>
      </c>
      <c r="I38" s="11" t="str">
        <f t="shared" si="17"/>
        <v>Elementary occupations</v>
      </c>
      <c r="J38" s="11">
        <v>0.81941943645374449</v>
      </c>
      <c r="K38" s="11">
        <v>2.3679642980194044</v>
      </c>
      <c r="L38" s="11">
        <v>1.5485448615656598</v>
      </c>
      <c r="M38" s="11">
        <v>0.8569269125646084</v>
      </c>
      <c r="N38" s="11">
        <v>2.4054717741302682</v>
      </c>
      <c r="P38" s="10" t="str">
        <f>name!D6</f>
        <v>21 Science, research, engineering and technology professionals</v>
      </c>
      <c r="Q38" s="11">
        <v>4.8675743673321961</v>
      </c>
      <c r="R38" s="11">
        <v>8.1593881141135594</v>
      </c>
      <c r="S38" s="345">
        <f t="shared" si="28"/>
        <v>3.2918137467813633</v>
      </c>
      <c r="T38" s="345">
        <v>3.5171021237996292</v>
      </c>
      <c r="U38" s="345">
        <f t="shared" si="29"/>
        <v>6.8089158705809929</v>
      </c>
      <c r="V38" s="346">
        <f t="shared" si="30"/>
        <v>3.6919195785664272E-2</v>
      </c>
      <c r="X38" s="10"/>
      <c r="Y38" s="10"/>
      <c r="Z38" s="10"/>
      <c r="AA38" s="345"/>
      <c r="AB38" s="10"/>
      <c r="AC38" s="345"/>
      <c r="AD38" s="348"/>
    </row>
    <row r="39" spans="1:30" ht="12.5" x14ac:dyDescent="0.25">
      <c r="A39" t="str">
        <f t="shared" si="24"/>
        <v>22 Health professionals</v>
      </c>
      <c r="B39" s="11">
        <v>1.7196263864843719</v>
      </c>
      <c r="C39" s="11">
        <v>3.387145550907722</v>
      </c>
      <c r="D39" s="11">
        <f t="shared" si="25"/>
        <v>1.66751916442335</v>
      </c>
      <c r="E39" s="11">
        <v>1.2203614097568625</v>
      </c>
      <c r="F39" s="11">
        <f t="shared" si="26"/>
        <v>2.8878805741802127</v>
      </c>
      <c r="G39" s="200">
        <f t="shared" si="27"/>
        <v>3.6400057675406217E-2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20.01271215751045</v>
      </c>
      <c r="R39" s="11">
        <v>21.371542838754806</v>
      </c>
      <c r="S39" s="345">
        <f t="shared" si="28"/>
        <v>1.3588306812443562</v>
      </c>
      <c r="T39" s="345">
        <v>11.72555408316542</v>
      </c>
      <c r="U39" s="345">
        <f t="shared" si="29"/>
        <v>13.084384764409776</v>
      </c>
      <c r="V39" s="346">
        <f t="shared" si="30"/>
        <v>3.1221161860760516E-2</v>
      </c>
      <c r="X39" s="10"/>
      <c r="Y39" s="10"/>
      <c r="Z39" s="10"/>
      <c r="AA39" s="345"/>
      <c r="AB39" s="10"/>
      <c r="AC39" s="345"/>
      <c r="AD39" s="348"/>
    </row>
    <row r="40" spans="1:30" x14ac:dyDescent="0.3">
      <c r="A40" t="str">
        <f t="shared" si="24"/>
        <v>23 Teaching and other educational professionals</v>
      </c>
      <c r="B40" s="11">
        <v>1.9642150179303035</v>
      </c>
      <c r="C40" s="11">
        <v>2.8432379603695352</v>
      </c>
      <c r="D40" s="11">
        <f>C40-B40</f>
        <v>0.87902294243923174</v>
      </c>
      <c r="E40" s="11">
        <v>1.1871877380213252</v>
      </c>
      <c r="F40" s="11">
        <f>SUM(D40:E40)</f>
        <v>2.0662106804605571</v>
      </c>
      <c r="G40" s="200">
        <f>IF(B40&gt;0,(1+(E40/B40))^(1/($C$6-$B$6))-1,0)</f>
        <v>3.2018919047414496E-2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14.881510499738123</v>
      </c>
      <c r="R40" s="11">
        <v>16.343114258621309</v>
      </c>
      <c r="S40" s="345">
        <f t="shared" si="28"/>
        <v>1.4616037588831858</v>
      </c>
      <c r="T40" s="345">
        <v>8.2919219362941554</v>
      </c>
      <c r="U40" s="345">
        <f t="shared" si="29"/>
        <v>9.7535256951773412</v>
      </c>
      <c r="V40" s="346">
        <f t="shared" si="30"/>
        <v>2.9966003619425807E-2</v>
      </c>
      <c r="X40" s="10"/>
      <c r="Y40" s="10"/>
      <c r="Z40" s="10"/>
      <c r="AA40" s="345"/>
      <c r="AB40" s="10"/>
      <c r="AC40" s="345"/>
      <c r="AD40" s="348"/>
    </row>
    <row r="41" spans="1:30" ht="12.5" x14ac:dyDescent="0.25">
      <c r="A41" t="str">
        <f t="shared" si="24"/>
        <v>24 Business, media and public service professionals</v>
      </c>
      <c r="B41" s="11">
        <v>0.45998809827771037</v>
      </c>
      <c r="C41" s="11">
        <v>0.93057591677832696</v>
      </c>
      <c r="D41" s="11">
        <f t="shared" si="25"/>
        <v>0.47058781850061659</v>
      </c>
      <c r="E41" s="11">
        <v>0.32878283549965354</v>
      </c>
      <c r="F41" s="11">
        <f t="shared" si="26"/>
        <v>0.79937065400027008</v>
      </c>
      <c r="G41" s="200">
        <f t="shared" si="27"/>
        <v>3.660576603504051E-2</v>
      </c>
      <c r="I41" s="11" t="str">
        <f>I30</f>
        <v>Managers, directors and senior officials</v>
      </c>
      <c r="J41" s="11">
        <f t="array" ref="J41:J49">MMULT(aggregation!$B$13:$AA$21,B94:B119)</f>
        <v>11.934290254809419</v>
      </c>
      <c r="K41" s="11">
        <f t="array" ref="K41:K49">MMULT(aggregation!$B$13:$AA$21,C94:C119)</f>
        <v>13.311565206295265</v>
      </c>
      <c r="L41" s="11">
        <f t="array" ref="L41:L49">MMULT(aggregation!$B$13:$AA$21,D94:D119)</f>
        <v>1.3772749514858456</v>
      </c>
      <c r="M41" s="11">
        <f t="array" ref="M41:M49">MMULT(aggregation!$B$13:$AA$21,E94:E119)</f>
        <v>7.3283357780143881</v>
      </c>
      <c r="N41" s="11">
        <f t="array" ref="N41:N49">MMULT(aggregation!$B$13:$AA$21,F94:F119)</f>
        <v>8.7056107295002327</v>
      </c>
      <c r="P41" s="10" t="str">
        <f>name!D9</f>
        <v>24 Business, media and public service professionals</v>
      </c>
      <c r="Q41" s="11">
        <v>11.742490185681445</v>
      </c>
      <c r="R41" s="11">
        <v>14.099328155504613</v>
      </c>
      <c r="S41" s="345">
        <f t="shared" si="28"/>
        <v>2.3568379698231681</v>
      </c>
      <c r="T41" s="345">
        <v>6.9087270448043849</v>
      </c>
      <c r="U41" s="345">
        <f t="shared" si="29"/>
        <v>9.265565014627553</v>
      </c>
      <c r="V41" s="346">
        <f t="shared" si="30"/>
        <v>3.1327183555329263E-2</v>
      </c>
      <c r="X41" s="10"/>
      <c r="Y41" s="10"/>
      <c r="Z41" s="10"/>
      <c r="AA41" s="345"/>
      <c r="AB41" s="10"/>
      <c r="AC41" s="345"/>
      <c r="AD41" s="348"/>
    </row>
    <row r="42" spans="1:30" ht="12.5" x14ac:dyDescent="0.25">
      <c r="A42" t="str">
        <f t="shared" si="24"/>
        <v>31 Science, engineering and technology associate professionals</v>
      </c>
      <c r="B42" s="11">
        <v>0.13320598431175687</v>
      </c>
      <c r="C42" s="11">
        <v>0.2774025258643471</v>
      </c>
      <c r="D42" s="11">
        <f t="shared" si="25"/>
        <v>0.14419654155259023</v>
      </c>
      <c r="E42" s="11">
        <v>8.7973987318718291E-2</v>
      </c>
      <c r="F42" s="11">
        <f t="shared" si="26"/>
        <v>0.23217052887130851</v>
      </c>
      <c r="G42" s="200">
        <f t="shared" si="27"/>
        <v>3.4383229745793997E-2</v>
      </c>
      <c r="I42" s="11" t="str">
        <f>I31</f>
        <v>Professional occupations</v>
      </c>
      <c r="J42" s="11">
        <v>33.659036722005396</v>
      </c>
      <c r="K42" s="11">
        <v>34.142453535262916</v>
      </c>
      <c r="L42" s="11">
        <v>0.48341681325752006</v>
      </c>
      <c r="M42" s="11">
        <v>17.136095996338959</v>
      </c>
      <c r="N42" s="11">
        <v>17.619512809596479</v>
      </c>
      <c r="P42" s="10" t="str">
        <f>name!D10</f>
        <v>31 Science, engineering and technology associate professionals</v>
      </c>
      <c r="Q42" s="11">
        <v>1.9910445740489724</v>
      </c>
      <c r="R42" s="11">
        <v>2.4589707307479522</v>
      </c>
      <c r="S42" s="345">
        <f t="shared" si="28"/>
        <v>0.46792615669897986</v>
      </c>
      <c r="T42" s="345">
        <v>1.1074325386326642</v>
      </c>
      <c r="U42" s="345">
        <f t="shared" si="29"/>
        <v>1.5753586953316441</v>
      </c>
      <c r="V42" s="346">
        <f t="shared" si="30"/>
        <v>2.9922360880029863E-2</v>
      </c>
      <c r="X42" s="10"/>
      <c r="Y42" s="10"/>
      <c r="Z42" s="10"/>
      <c r="AA42" s="345"/>
      <c r="AB42" s="10"/>
      <c r="AC42" s="345"/>
      <c r="AD42" s="348"/>
    </row>
    <row r="43" spans="1:30" ht="12.5" x14ac:dyDescent="0.25">
      <c r="A43" t="str">
        <f t="shared" si="24"/>
        <v>32 Health and social care associate professionals</v>
      </c>
      <c r="B43" s="11">
        <v>3.8733213013957192E-2</v>
      </c>
      <c r="C43" s="11">
        <v>0.17991598082202204</v>
      </c>
      <c r="D43" s="11">
        <f t="shared" si="25"/>
        <v>0.14118276780806485</v>
      </c>
      <c r="E43" s="11">
        <v>6.1385037719701913E-2</v>
      </c>
      <c r="F43" s="11">
        <f t="shared" si="26"/>
        <v>0.20256780552776676</v>
      </c>
      <c r="G43" s="200">
        <f t="shared" si="27"/>
        <v>6.5357371557322574E-2</v>
      </c>
      <c r="I43" s="11" t="str">
        <f>I32</f>
        <v>Associate professional occupations</v>
      </c>
      <c r="J43" s="11">
        <v>16.538653305368953</v>
      </c>
      <c r="K43" s="11">
        <v>21.517251742874596</v>
      </c>
      <c r="L43" s="11">
        <v>4.9785984375056485</v>
      </c>
      <c r="M43" s="11">
        <v>10.500980138895615</v>
      </c>
      <c r="N43" s="11">
        <v>15.479578576401266</v>
      </c>
      <c r="P43" s="10" t="str">
        <f>name!D11</f>
        <v>32 Health and social care associate professionals</v>
      </c>
      <c r="Q43" s="11">
        <v>8.5411023673706872</v>
      </c>
      <c r="R43" s="11">
        <v>17.400620944753129</v>
      </c>
      <c r="S43" s="345">
        <f t="shared" si="28"/>
        <v>8.8595185773824419</v>
      </c>
      <c r="T43" s="345">
        <v>8.8702288023545197</v>
      </c>
      <c r="U43" s="345">
        <f t="shared" si="29"/>
        <v>17.729747379736963</v>
      </c>
      <c r="V43" s="346">
        <f t="shared" si="30"/>
        <v>4.8627404559771215E-2</v>
      </c>
      <c r="X43" s="10"/>
      <c r="Y43" s="10"/>
      <c r="Z43" s="10"/>
      <c r="AA43" s="345"/>
      <c r="AB43" s="10"/>
      <c r="AC43" s="345"/>
      <c r="AD43" s="348"/>
    </row>
    <row r="44" spans="1:30" ht="12.5" x14ac:dyDescent="0.25">
      <c r="A44" t="str">
        <f t="shared" si="24"/>
        <v>33 Protective service occupations</v>
      </c>
      <c r="B44" s="11">
        <v>2.2432930127284478E-2</v>
      </c>
      <c r="C44" s="11">
        <v>4.7948951707330351E-2</v>
      </c>
      <c r="D44" s="11">
        <f t="shared" si="25"/>
        <v>2.5516021580045872E-2</v>
      </c>
      <c r="E44" s="11">
        <v>1.2652767762226538E-2</v>
      </c>
      <c r="F44" s="11">
        <f t="shared" si="26"/>
        <v>3.8168789342272413E-2</v>
      </c>
      <c r="G44" s="200">
        <f t="shared" si="27"/>
        <v>3.0266569097946228E-2</v>
      </c>
      <c r="I44" s="11" t="str">
        <f>I33</f>
        <v>Administrative and secretarial occupations</v>
      </c>
      <c r="J44" s="11">
        <v>10.567245201680025</v>
      </c>
      <c r="K44" s="11">
        <v>14.685942974415619</v>
      </c>
      <c r="L44" s="11">
        <v>4.1186977727355938</v>
      </c>
      <c r="M44" s="11">
        <v>7.4279971462163044</v>
      </c>
      <c r="N44" s="11">
        <v>11.546694918951898</v>
      </c>
      <c r="P44" s="10" t="str">
        <f>name!D12</f>
        <v>33 Protective service occupations</v>
      </c>
      <c r="Q44" s="11">
        <v>1.2724165885171148</v>
      </c>
      <c r="R44" s="11">
        <v>1.5112739368933152</v>
      </c>
      <c r="S44" s="345">
        <f t="shared" si="28"/>
        <v>0.23885734837620043</v>
      </c>
      <c r="T44" s="345">
        <v>0.61749199436029478</v>
      </c>
      <c r="U44" s="345">
        <f t="shared" si="29"/>
        <v>0.85634934273649521</v>
      </c>
      <c r="V44" s="346">
        <f t="shared" si="30"/>
        <v>2.6724908811912362E-2</v>
      </c>
      <c r="X44" s="10"/>
      <c r="Y44" s="10"/>
      <c r="Z44" s="10"/>
      <c r="AA44" s="345"/>
      <c r="AB44" s="10"/>
      <c r="AC44" s="345"/>
      <c r="AD44" s="348"/>
    </row>
    <row r="45" spans="1:30" ht="12.5" x14ac:dyDescent="0.25">
      <c r="A45" t="str">
        <f t="shared" si="24"/>
        <v>34 Culture, media and sports occupations</v>
      </c>
      <c r="B45" s="11">
        <v>7.6039895423084883E-2</v>
      </c>
      <c r="C45" s="11">
        <v>0.12720755046618773</v>
      </c>
      <c r="D45" s="11">
        <f t="shared" ref="D45:D46" si="31">C45-B45</f>
        <v>5.1167655043102847E-2</v>
      </c>
      <c r="E45" s="11">
        <v>4.975127201042237E-2</v>
      </c>
      <c r="F45" s="11">
        <f t="shared" ref="F45:F46" si="32">SUM(D45:E45)</f>
        <v>0.10091892705352522</v>
      </c>
      <c r="G45" s="200">
        <f t="shared" si="27"/>
        <v>3.4127075860955092E-2</v>
      </c>
      <c r="I45" s="11" t="str">
        <f t="shared" ref="I45:I49" si="33">I34</f>
        <v>Skilled trades occupations</v>
      </c>
      <c r="J45" s="11">
        <v>2.4332829361245967</v>
      </c>
      <c r="K45" s="11">
        <v>3.4786046990550288</v>
      </c>
      <c r="L45" s="11">
        <v>1.0453217629304317</v>
      </c>
      <c r="M45" s="11">
        <v>1.6076729456767929</v>
      </c>
      <c r="N45" s="11">
        <v>2.6529947086072245</v>
      </c>
      <c r="P45" s="10" t="str">
        <f>name!D13</f>
        <v>34 Culture, media and sports occupations</v>
      </c>
      <c r="Q45" s="11">
        <v>3.1518429128138599</v>
      </c>
      <c r="R45" s="11">
        <v>3.1045321629251275</v>
      </c>
      <c r="S45" s="345">
        <f t="shared" si="28"/>
        <v>-4.7310749888732406E-2</v>
      </c>
      <c r="T45" s="345">
        <v>1.5776561528281297</v>
      </c>
      <c r="U45" s="345">
        <f t="shared" si="29"/>
        <v>1.5303454029393972</v>
      </c>
      <c r="V45" s="346">
        <f t="shared" si="30"/>
        <v>2.7424786111483135E-2</v>
      </c>
      <c r="X45" s="10"/>
      <c r="Y45" s="10"/>
      <c r="Z45" s="10"/>
      <c r="AA45" s="345"/>
      <c r="AB45" s="10"/>
      <c r="AC45" s="345"/>
      <c r="AD45" s="348"/>
    </row>
    <row r="46" spans="1:30" ht="12.5" x14ac:dyDescent="0.25">
      <c r="A46" t="str">
        <f t="shared" si="24"/>
        <v>35 Business and public service associate professionals</v>
      </c>
      <c r="B46" s="11">
        <v>0.32599811584593136</v>
      </c>
      <c r="C46" s="11">
        <v>0.69076741328584046</v>
      </c>
      <c r="D46" s="11">
        <f t="shared" si="31"/>
        <v>0.3647692974399091</v>
      </c>
      <c r="E46" s="11">
        <v>0.23086147830108672</v>
      </c>
      <c r="F46" s="11">
        <f t="shared" si="32"/>
        <v>0.59563077574099577</v>
      </c>
      <c r="G46" s="200">
        <f t="shared" si="27"/>
        <v>3.63394750184729E-2</v>
      </c>
      <c r="I46" s="11" t="str">
        <f t="shared" si="33"/>
        <v>Caring, leisure and other service occupations</v>
      </c>
      <c r="J46" s="11">
        <v>6.0898823651585756</v>
      </c>
      <c r="K46" s="11">
        <v>9.170333181404418</v>
      </c>
      <c r="L46" s="11">
        <v>3.0804508162458433</v>
      </c>
      <c r="M46" s="11">
        <v>5.057674731592491</v>
      </c>
      <c r="N46" s="11">
        <v>8.1381255478383352</v>
      </c>
      <c r="P46" s="10" t="str">
        <f>name!D14</f>
        <v>35 Business and public service associate professionals</v>
      </c>
      <c r="Q46" s="11">
        <v>13.018113488948627</v>
      </c>
      <c r="R46" s="11">
        <v>14.578632487117588</v>
      </c>
      <c r="S46" s="345">
        <f t="shared" si="28"/>
        <v>1.5605189981689609</v>
      </c>
      <c r="T46" s="345">
        <v>7.364189542878889</v>
      </c>
      <c r="U46" s="345">
        <f t="shared" si="29"/>
        <v>8.9247085410478491</v>
      </c>
      <c r="V46" s="346">
        <f t="shared" si="30"/>
        <v>3.0339493077815805E-2</v>
      </c>
      <c r="X46" s="10"/>
      <c r="Y46" s="10"/>
      <c r="Z46" s="10"/>
      <c r="AA46" s="345"/>
      <c r="AB46" s="10"/>
      <c r="AC46" s="345"/>
      <c r="AD46" s="348"/>
    </row>
    <row r="47" spans="1:30" ht="12.5" x14ac:dyDescent="0.25">
      <c r="A47" t="str">
        <f t="shared" si="24"/>
        <v>41 Administrative occupations</v>
      </c>
      <c r="B47" s="11">
        <v>0.27930704803573281</v>
      </c>
      <c r="C47" s="11">
        <v>0.64590567538924892</v>
      </c>
      <c r="D47" s="11">
        <f t="shared" si="25"/>
        <v>0.36659862735351612</v>
      </c>
      <c r="E47" s="11">
        <v>0.2270332374664005</v>
      </c>
      <c r="F47" s="11">
        <f t="shared" si="26"/>
        <v>0.59363186481991659</v>
      </c>
      <c r="G47" s="200">
        <f t="shared" si="27"/>
        <v>4.0456767027446272E-2</v>
      </c>
      <c r="I47" s="11" t="str">
        <f t="shared" si="33"/>
        <v>Sales and customer service occupations</v>
      </c>
      <c r="J47" s="11">
        <v>5.3648499109410466</v>
      </c>
      <c r="K47" s="11">
        <v>7.8947348099243397</v>
      </c>
      <c r="L47" s="11">
        <v>2.5298848989832936</v>
      </c>
      <c r="M47" s="11">
        <v>3.5113132109873786</v>
      </c>
      <c r="N47" s="11">
        <v>6.0411981099706722</v>
      </c>
      <c r="P47" s="10" t="str">
        <f>name!D15</f>
        <v>41 Administrative occupations</v>
      </c>
      <c r="Q47" s="11">
        <v>30.967956206585573</v>
      </c>
      <c r="R47" s="11">
        <v>28.468091774549112</v>
      </c>
      <c r="S47" s="345">
        <f t="shared" si="28"/>
        <v>-2.4998644320364605</v>
      </c>
      <c r="T47" s="345">
        <v>17.336256876727532</v>
      </c>
      <c r="U47" s="345">
        <f t="shared" si="29"/>
        <v>14.836392444691072</v>
      </c>
      <c r="V47" s="346">
        <f t="shared" si="30"/>
        <v>3.0081287477458751E-2</v>
      </c>
      <c r="X47" s="10"/>
      <c r="Y47" s="10"/>
      <c r="Z47" s="10"/>
      <c r="AA47" s="345"/>
      <c r="AB47" s="10"/>
      <c r="AC47" s="345"/>
      <c r="AD47" s="348"/>
    </row>
    <row r="48" spans="1:30" ht="12.5" x14ac:dyDescent="0.25">
      <c r="A48" t="str">
        <f t="shared" si="24"/>
        <v>42 Secretarial and related occupations</v>
      </c>
      <c r="B48" s="11">
        <v>2.0648601889918135E-2</v>
      </c>
      <c r="C48" s="11">
        <v>4.710554648802992E-2</v>
      </c>
      <c r="D48" s="11">
        <f t="shared" si="25"/>
        <v>2.6456944598111785E-2</v>
      </c>
      <c r="E48" s="11">
        <v>2.0147576514149626E-2</v>
      </c>
      <c r="F48" s="11">
        <f t="shared" si="26"/>
        <v>4.6604521112261411E-2</v>
      </c>
      <c r="G48" s="200">
        <f t="shared" si="27"/>
        <v>4.6442224669738019E-2</v>
      </c>
      <c r="I48" s="11" t="str">
        <f t="shared" si="33"/>
        <v>Process, plant and machine operatives</v>
      </c>
      <c r="J48" s="11">
        <v>1.5141356037799771</v>
      </c>
      <c r="K48" s="11">
        <v>3.2013302892616569</v>
      </c>
      <c r="L48" s="11">
        <v>1.6871946854816793</v>
      </c>
      <c r="M48" s="11">
        <v>1.4539459222240763</v>
      </c>
      <c r="N48" s="11">
        <v>3.1411406077057555</v>
      </c>
      <c r="P48" s="10" t="str">
        <f>name!D16</f>
        <v>42 Secretarial and related occupations</v>
      </c>
      <c r="Q48" s="11">
        <v>8.5636019135472488</v>
      </c>
      <c r="R48" s="11">
        <v>4.6858683269458146</v>
      </c>
      <c r="S48" s="345">
        <f t="shared" si="28"/>
        <v>-3.8777335866014342</v>
      </c>
      <c r="T48" s="345">
        <v>3.7759765099623435</v>
      </c>
      <c r="U48" s="345">
        <f t="shared" si="29"/>
        <v>-0.10175707663909073</v>
      </c>
      <c r="V48" s="346">
        <f t="shared" si="30"/>
        <v>2.465168080879665E-2</v>
      </c>
      <c r="X48" s="10"/>
      <c r="Y48" s="10"/>
      <c r="Z48" s="10"/>
      <c r="AA48" s="345"/>
      <c r="AB48" s="10"/>
      <c r="AC48" s="345"/>
      <c r="AD48" s="348"/>
    </row>
    <row r="49" spans="1:30" ht="12.5" x14ac:dyDescent="0.25">
      <c r="A49" t="str">
        <f t="shared" si="24"/>
        <v>51 Skilled agricultural and related trades</v>
      </c>
      <c r="B49" s="11">
        <v>6.4874057331890146E-3</v>
      </c>
      <c r="C49" s="11">
        <v>1.572014713133163E-2</v>
      </c>
      <c r="D49" s="11">
        <f t="shared" si="25"/>
        <v>9.2327413981426153E-3</v>
      </c>
      <c r="E49" s="11">
        <v>6.3409754340996221E-3</v>
      </c>
      <c r="F49" s="11">
        <f t="shared" si="26"/>
        <v>1.5573716832242238E-2</v>
      </c>
      <c r="G49" s="200">
        <f t="shared" si="27"/>
        <v>4.65019767475503E-2</v>
      </c>
      <c r="I49" s="11" t="str">
        <f t="shared" si="33"/>
        <v>Elementary occupations</v>
      </c>
      <c r="J49" s="11">
        <v>2.9318055667865814</v>
      </c>
      <c r="K49" s="11">
        <v>4.8945639170735902</v>
      </c>
      <c r="L49" s="11">
        <v>1.9627583502870092</v>
      </c>
      <c r="M49" s="11">
        <v>2.7116992526103894</v>
      </c>
      <c r="N49" s="11">
        <v>4.6744576028973981</v>
      </c>
      <c r="P49" s="10" t="str">
        <f>name!D17</f>
        <v>51 Skilled agricultural and related trades</v>
      </c>
      <c r="Q49" s="11">
        <v>0.57319109986958328</v>
      </c>
      <c r="R49" s="11">
        <v>0.74085933110293289</v>
      </c>
      <c r="S49" s="345">
        <f t="shared" si="28"/>
        <v>0.16766823123334962</v>
      </c>
      <c r="T49" s="345">
        <v>0.44950013752322021</v>
      </c>
      <c r="U49" s="345">
        <f t="shared" si="29"/>
        <v>0.61716836875656989</v>
      </c>
      <c r="V49" s="346">
        <f t="shared" si="30"/>
        <v>3.935283843647186E-2</v>
      </c>
      <c r="X49" s="10"/>
      <c r="Y49" s="10"/>
      <c r="Z49" s="10"/>
      <c r="AA49" s="345"/>
      <c r="AB49" s="10"/>
      <c r="AC49" s="345"/>
      <c r="AD49" s="348"/>
    </row>
    <row r="50" spans="1:30" ht="12.5" x14ac:dyDescent="0.25">
      <c r="A50" t="str">
        <f t="shared" si="24"/>
        <v>52 Skilled metal, electrical and electronic trades</v>
      </c>
      <c r="B50" s="11">
        <v>1.1464323518649107E-2</v>
      </c>
      <c r="C50" s="11">
        <v>2.070960367488189E-2</v>
      </c>
      <c r="D50" s="11">
        <f t="shared" si="25"/>
        <v>9.2452801562327835E-3</v>
      </c>
      <c r="E50" s="11">
        <v>6.5510052622770026E-3</v>
      </c>
      <c r="F50" s="11">
        <f t="shared" si="26"/>
        <v>1.5796285418509786E-2</v>
      </c>
      <c r="G50" s="200">
        <f t="shared" si="27"/>
        <v>3.0590774812670363E-2</v>
      </c>
      <c r="O50" s="71"/>
      <c r="P50" s="10" t="str">
        <f>name!D18</f>
        <v>52 Skilled metal, electrical and electronic trades</v>
      </c>
      <c r="Q50" s="11">
        <v>0.45132702183413442</v>
      </c>
      <c r="R50" s="11">
        <v>0.8713928892013374</v>
      </c>
      <c r="S50" s="345">
        <f t="shared" si="28"/>
        <v>0.42006586736720297</v>
      </c>
      <c r="T50" s="345">
        <v>0.42279738273406742</v>
      </c>
      <c r="U50" s="345">
        <f t="shared" si="29"/>
        <v>0.84286325010127039</v>
      </c>
      <c r="V50" s="346">
        <f t="shared" si="30"/>
        <v>4.5054149332628635E-2</v>
      </c>
      <c r="X50" s="10"/>
      <c r="Y50" s="10"/>
      <c r="Z50" s="10"/>
      <c r="AA50" s="345"/>
      <c r="AB50" s="10"/>
      <c r="AC50" s="345"/>
      <c r="AD50" s="348"/>
    </row>
    <row r="51" spans="1:30" x14ac:dyDescent="0.3">
      <c r="A51" t="str">
        <f t="shared" si="24"/>
        <v>53 Skilled construction and building trades</v>
      </c>
      <c r="B51" s="11">
        <v>3.5356937275610512E-3</v>
      </c>
      <c r="C51" s="11">
        <v>5.1183749533666098E-3</v>
      </c>
      <c r="D51" s="11">
        <f t="shared" ref="D51" si="34">C51-B51</f>
        <v>1.5826812258055586E-3</v>
      </c>
      <c r="E51" s="11">
        <v>1.9416398422667657E-3</v>
      </c>
      <c r="F51" s="11">
        <f t="shared" ref="F51" si="35">SUM(D51:E51)</f>
        <v>3.5243210680723242E-3</v>
      </c>
      <c r="G51" s="200">
        <f t="shared" si="27"/>
        <v>2.9610517258678914E-2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0.28546637828323057</v>
      </c>
      <c r="R51" s="11">
        <v>0.17595713769719329</v>
      </c>
      <c r="S51" s="345">
        <f t="shared" si="28"/>
        <v>-0.10950924058603728</v>
      </c>
      <c r="T51" s="345">
        <v>9.1799239408565714E-2</v>
      </c>
      <c r="U51" s="345">
        <f t="shared" si="29"/>
        <v>-1.7710001177471568E-2</v>
      </c>
      <c r="V51" s="346">
        <f t="shared" si="30"/>
        <v>1.8762188000802205E-2</v>
      </c>
      <c r="X51" s="10"/>
      <c r="Y51" s="10"/>
      <c r="Z51" s="10"/>
      <c r="AA51" s="345"/>
      <c r="AB51" s="10"/>
      <c r="AC51" s="345"/>
      <c r="AD51" s="348"/>
    </row>
    <row r="52" spans="1:30" ht="12.5" x14ac:dyDescent="0.25">
      <c r="A52" t="str">
        <f t="shared" si="24"/>
        <v>54 Textiles, printing and other skilled trades</v>
      </c>
      <c r="B52" s="11">
        <v>3.0993165750762212E-2</v>
      </c>
      <c r="C52" s="11">
        <v>5.5661268949444703E-2</v>
      </c>
      <c r="D52" s="11">
        <f t="shared" si="25"/>
        <v>2.4668103198682491E-2</v>
      </c>
      <c r="E52" s="11">
        <v>2.1073199892913567E-2</v>
      </c>
      <c r="F52" s="11">
        <f t="shared" si="26"/>
        <v>4.5741303091596061E-2</v>
      </c>
      <c r="G52" s="200">
        <f t="shared" si="27"/>
        <v>3.5188459325830257E-2</v>
      </c>
      <c r="I52" s="11" t="str">
        <f>I41</f>
        <v>Managers, directors and senior officials</v>
      </c>
      <c r="J52" s="11">
        <f t="array" ref="J52:J60">MMULT(aggregation!$B$13:$AA$21,B123:B148)</f>
        <v>2.7627617087065151</v>
      </c>
      <c r="K52" s="11">
        <f t="array" ref="K52:K60">MMULT(aggregation!$B$13:$AA$21,C123:C148)</f>
        <v>2.8742882181858453</v>
      </c>
      <c r="L52" s="11">
        <f t="array" ref="L52:L60">MMULT(aggregation!$B$13:$AA$21,D123:D148)</f>
        <v>0.11152650947933029</v>
      </c>
      <c r="M52" s="11">
        <f t="array" ref="M52:M60">MMULT(aggregation!$B$13:$AA$21,E123:E148)</f>
        <v>1.5337321971413367</v>
      </c>
      <c r="N52" s="11">
        <f t="array" ref="N52:N60">MMULT(aggregation!$B$13:$AA$21,F123:F148)</f>
        <v>1.645258706620667</v>
      </c>
      <c r="P52" s="10" t="str">
        <f>name!D20</f>
        <v>54 Textiles, printing and other skilled trades</v>
      </c>
      <c r="Q52" s="11">
        <v>3.3753602290378462</v>
      </c>
      <c r="R52" s="11">
        <v>3.2951079142314197</v>
      </c>
      <c r="S52" s="345">
        <f t="shared" si="28"/>
        <v>-8.0252314806426472E-2</v>
      </c>
      <c r="T52" s="345">
        <v>1.9270362223672461</v>
      </c>
      <c r="U52" s="345">
        <f t="shared" si="29"/>
        <v>1.8467839075608197</v>
      </c>
      <c r="V52" s="346">
        <f t="shared" si="30"/>
        <v>3.0568359153503977E-2</v>
      </c>
      <c r="X52" s="10"/>
      <c r="Y52" s="10"/>
      <c r="Z52" s="10"/>
      <c r="AA52" s="345"/>
      <c r="AB52" s="10"/>
      <c r="AC52" s="345"/>
      <c r="AD52" s="348"/>
    </row>
    <row r="53" spans="1:30" ht="12.5" x14ac:dyDescent="0.25">
      <c r="A53" t="str">
        <f t="shared" si="24"/>
        <v>61 Caring personal service occupations</v>
      </c>
      <c r="B53" s="11">
        <v>2.7400915804108666E-2</v>
      </c>
      <c r="C53" s="11">
        <v>6.7065464722826443E-2</v>
      </c>
      <c r="D53" s="11">
        <f t="shared" si="25"/>
        <v>3.9664548918717776E-2</v>
      </c>
      <c r="E53" s="11">
        <v>2.3928765106065175E-2</v>
      </c>
      <c r="F53" s="11">
        <f t="shared" si="26"/>
        <v>6.3593314024782951E-2</v>
      </c>
      <c r="G53" s="200">
        <f t="shared" si="27"/>
        <v>4.2734074711584968E-2</v>
      </c>
      <c r="I53" s="11" t="str">
        <f>I42</f>
        <v>Professional occupations</v>
      </c>
      <c r="J53" s="11">
        <v>5.8205981774694173</v>
      </c>
      <c r="K53" s="11">
        <v>2.9979807781077508</v>
      </c>
      <c r="L53" s="11">
        <v>-2.8226173993616666</v>
      </c>
      <c r="M53" s="11">
        <v>1.4687599287316189</v>
      </c>
      <c r="N53" s="11">
        <v>-1.3538574706300475</v>
      </c>
      <c r="P53" s="10" t="str">
        <f>name!D21</f>
        <v>61 Caring personal service occupations</v>
      </c>
      <c r="Q53" s="11">
        <v>35.463517984676812</v>
      </c>
      <c r="R53" s="11">
        <v>39.407328289565072</v>
      </c>
      <c r="S53" s="345">
        <f t="shared" si="28"/>
        <v>3.9438103048882596</v>
      </c>
      <c r="T53" s="345">
        <v>21.847114366578332</v>
      </c>
      <c r="U53" s="345">
        <f t="shared" si="29"/>
        <v>25.790924671466591</v>
      </c>
      <c r="V53" s="346">
        <f t="shared" si="30"/>
        <v>3.2516242654331506E-2</v>
      </c>
      <c r="X53" s="10"/>
      <c r="Y53" s="10"/>
      <c r="Z53" s="10"/>
      <c r="AA53" s="345"/>
      <c r="AB53" s="10"/>
      <c r="AC53" s="345"/>
      <c r="AD53" s="348"/>
    </row>
    <row r="54" spans="1:30" ht="12.5" x14ac:dyDescent="0.25">
      <c r="A54" t="str">
        <f t="shared" si="24"/>
        <v>62 Leisure, travel and related personal service occupations</v>
      </c>
      <c r="B54" s="11">
        <v>1.7170951827122732E-2</v>
      </c>
      <c r="C54" s="11">
        <v>4.1563315723296947E-2</v>
      </c>
      <c r="D54" s="11">
        <f t="shared" ref="D54:D55" si="36">C54-B54</f>
        <v>2.4392363896174215E-2</v>
      </c>
      <c r="E54" s="11">
        <v>1.5903922695022374E-2</v>
      </c>
      <c r="F54" s="11">
        <f t="shared" ref="F54:F55" si="37">SUM(D54:E54)</f>
        <v>4.0296286591196592E-2</v>
      </c>
      <c r="G54" s="200">
        <f t="shared" si="27"/>
        <v>4.4672724248110862E-2</v>
      </c>
      <c r="I54" s="11" t="str">
        <f>I43</f>
        <v>Associate professional occupations</v>
      </c>
      <c r="J54" s="11">
        <v>5.1461363249057088</v>
      </c>
      <c r="K54" s="11">
        <v>5.1670326030842606</v>
      </c>
      <c r="L54" s="11">
        <v>2.0896278178551886E-2</v>
      </c>
      <c r="M54" s="11">
        <v>2.4705746891869005</v>
      </c>
      <c r="N54" s="11">
        <v>2.4914709673654523</v>
      </c>
      <c r="P54" s="10" t="str">
        <f>name!D22</f>
        <v>62 Leisure, travel and related personal service occupations</v>
      </c>
      <c r="Q54" s="11">
        <v>6.4233243633020036</v>
      </c>
      <c r="R54" s="11">
        <v>5.7034726772162196</v>
      </c>
      <c r="S54" s="345">
        <f t="shared" si="28"/>
        <v>-0.71985168608578398</v>
      </c>
      <c r="T54" s="345">
        <v>3.1970772529055282</v>
      </c>
      <c r="U54" s="345">
        <f t="shared" si="29"/>
        <v>2.4772255668197443</v>
      </c>
      <c r="V54" s="346">
        <f t="shared" si="30"/>
        <v>2.7295904229523105E-2</v>
      </c>
      <c r="X54" s="10"/>
      <c r="Y54" s="10"/>
      <c r="Z54" s="10"/>
      <c r="AA54" s="345"/>
      <c r="AB54" s="10"/>
      <c r="AC54" s="345"/>
      <c r="AD54" s="348"/>
    </row>
    <row r="55" spans="1:30" ht="12.5" x14ac:dyDescent="0.25">
      <c r="A55" t="str">
        <f t="shared" si="24"/>
        <v>63 Community and civil enforcement occupations</v>
      </c>
      <c r="B55" s="11">
        <v>1.3021404097811192E-3</v>
      </c>
      <c r="C55" s="11">
        <v>3.0920769389135498E-3</v>
      </c>
      <c r="D55" s="11">
        <f t="shared" si="36"/>
        <v>1.7899365291324306E-3</v>
      </c>
      <c r="E55" s="11">
        <v>1.2312368881742895E-3</v>
      </c>
      <c r="F55" s="11">
        <f t="shared" si="37"/>
        <v>3.0211734173067198E-3</v>
      </c>
      <c r="G55" s="200">
        <f t="shared" si="27"/>
        <v>4.5368647104734983E-2</v>
      </c>
      <c r="I55" s="11" t="str">
        <f>I44</f>
        <v>Administrative and secretarial occupations</v>
      </c>
      <c r="J55" s="11">
        <v>4.1342746836373365</v>
      </c>
      <c r="K55" s="11">
        <v>5.309478316903129</v>
      </c>
      <c r="L55" s="11">
        <v>1.1752036332657927</v>
      </c>
      <c r="M55" s="11">
        <v>2.8841706982875501</v>
      </c>
      <c r="N55" s="11">
        <v>4.059374331553343</v>
      </c>
      <c r="P55" s="10" t="str">
        <f>name!D23</f>
        <v>63 Community and civil enforcement occupations</v>
      </c>
      <c r="Q55" s="11">
        <v>0.10181223493232026</v>
      </c>
      <c r="R55" s="11">
        <v>0.1390804794342573</v>
      </c>
      <c r="S55" s="345">
        <f t="shared" si="28"/>
        <v>3.726824450193704E-2</v>
      </c>
      <c r="T55" s="345">
        <v>8.8041613080754672E-2</v>
      </c>
      <c r="U55" s="345">
        <f t="shared" si="29"/>
        <v>0.1253098575826917</v>
      </c>
      <c r="V55" s="346">
        <f t="shared" si="30"/>
        <v>4.2416544400583289E-2</v>
      </c>
      <c r="X55" s="10"/>
      <c r="Y55" s="10"/>
      <c r="Z55" s="10"/>
      <c r="AA55" s="345"/>
      <c r="AB55" s="10"/>
      <c r="AC55" s="345"/>
      <c r="AD55" s="348"/>
    </row>
    <row r="56" spans="1:30" ht="12.5" x14ac:dyDescent="0.25">
      <c r="A56" t="str">
        <f t="shared" si="24"/>
        <v>71 Sales occupations</v>
      </c>
      <c r="B56" s="11">
        <v>5.1521421466505117E-2</v>
      </c>
      <c r="C56" s="11">
        <v>9.5067951478678192E-2</v>
      </c>
      <c r="D56" s="11">
        <f t="shared" si="25"/>
        <v>4.3546530012173075E-2</v>
      </c>
      <c r="E56" s="11">
        <v>3.1876301012604608E-2</v>
      </c>
      <c r="F56" s="11">
        <f t="shared" si="26"/>
        <v>7.5422831024777676E-2</v>
      </c>
      <c r="G56" s="200">
        <f t="shared" si="27"/>
        <v>3.2629252364551053E-2</v>
      </c>
      <c r="I56" s="11" t="str">
        <f t="shared" ref="I56:I60" si="38">I45</f>
        <v>Skilled trades occupations</v>
      </c>
      <c r="J56" s="11">
        <v>1.1368674248024893</v>
      </c>
      <c r="K56" s="11">
        <v>1.5159837937321257</v>
      </c>
      <c r="L56" s="11">
        <v>0.37911636892963635</v>
      </c>
      <c r="M56" s="11">
        <v>0.70593567000945745</v>
      </c>
      <c r="N56" s="11">
        <v>1.0850520389390939</v>
      </c>
      <c r="P56" s="10" t="str">
        <f>name!D24</f>
        <v>71 Sales occupations</v>
      </c>
      <c r="Q56" s="11">
        <v>17.249037813317205</v>
      </c>
      <c r="R56" s="11">
        <v>15.384188016731123</v>
      </c>
      <c r="S56" s="345">
        <f t="shared" si="28"/>
        <v>-1.864849796586082</v>
      </c>
      <c r="T56" s="345">
        <v>8.9805543382258222</v>
      </c>
      <c r="U56" s="345">
        <f t="shared" si="29"/>
        <v>7.1157045416397402</v>
      </c>
      <c r="V56" s="346">
        <f t="shared" si="30"/>
        <v>2.8336168212629742E-2</v>
      </c>
      <c r="X56" s="10"/>
      <c r="Y56" s="10"/>
      <c r="Z56" s="10"/>
      <c r="AA56" s="345"/>
      <c r="AB56" s="10"/>
      <c r="AC56" s="345"/>
      <c r="AD56" s="348"/>
    </row>
    <row r="57" spans="1:30" ht="12.5" x14ac:dyDescent="0.25">
      <c r="A57" t="str">
        <f t="shared" si="24"/>
        <v>72 Customer service occupations</v>
      </c>
      <c r="B57" s="11">
        <v>3.416016685741597E-2</v>
      </c>
      <c r="C57" s="11">
        <v>9.948227534593071E-2</v>
      </c>
      <c r="D57" s="11">
        <f t="shared" si="25"/>
        <v>6.5322108488514746E-2</v>
      </c>
      <c r="E57" s="11">
        <v>2.8547988703999889E-2</v>
      </c>
      <c r="F57" s="11">
        <f t="shared" si="26"/>
        <v>9.3870097192514629E-2</v>
      </c>
      <c r="G57" s="200">
        <f t="shared" si="27"/>
        <v>4.1326537530648855E-2</v>
      </c>
      <c r="I57" s="11" t="str">
        <f t="shared" si="38"/>
        <v>Caring, leisure and other service occupations</v>
      </c>
      <c r="J57" s="11">
        <v>4.8476116953879034</v>
      </c>
      <c r="K57" s="11">
        <v>5.3076762227717236</v>
      </c>
      <c r="L57" s="11">
        <v>0.46006452738382003</v>
      </c>
      <c r="M57" s="11">
        <v>2.9603791092214453</v>
      </c>
      <c r="N57" s="11">
        <v>3.4204436366052651</v>
      </c>
      <c r="P57" s="10" t="str">
        <f>name!D25</f>
        <v>72 Customer service occupations</v>
      </c>
      <c r="Q57" s="11">
        <v>5.3693675590416552</v>
      </c>
      <c r="R57" s="11">
        <v>5.9184498264295753</v>
      </c>
      <c r="S57" s="345">
        <f t="shared" si="28"/>
        <v>0.5490822673879201</v>
      </c>
      <c r="T57" s="345">
        <v>3.0449912093609983</v>
      </c>
      <c r="U57" s="345">
        <f t="shared" si="29"/>
        <v>3.5940734767489184</v>
      </c>
      <c r="V57" s="346">
        <f t="shared" si="30"/>
        <v>3.0401603963363E-2</v>
      </c>
      <c r="X57" s="10"/>
      <c r="Y57" s="10"/>
      <c r="Z57" s="10"/>
      <c r="AA57" s="345"/>
      <c r="AB57" s="10"/>
      <c r="AC57" s="345"/>
      <c r="AD57" s="348"/>
    </row>
    <row r="58" spans="1:30" ht="12.5" x14ac:dyDescent="0.25">
      <c r="A58" t="str">
        <f t="shared" si="24"/>
        <v>81 Process, plant and machine operatives</v>
      </c>
      <c r="B58" s="11">
        <v>3.1135425553467398E-2</v>
      </c>
      <c r="C58" s="11">
        <v>0.10711885005811664</v>
      </c>
      <c r="D58" s="11">
        <f t="shared" ref="D58:D59" si="39">C58-B58</f>
        <v>7.5983424504649233E-2</v>
      </c>
      <c r="E58" s="11">
        <v>3.5477063816658376E-2</v>
      </c>
      <c r="F58" s="11">
        <f t="shared" ref="F58:F59" si="40">SUM(D58:E58)</f>
        <v>0.11146048832130762</v>
      </c>
      <c r="G58" s="200">
        <f t="shared" si="27"/>
        <v>5.2010458129306381E-2</v>
      </c>
      <c r="I58" s="11" t="str">
        <f t="shared" si="38"/>
        <v>Sales and customer service occupations</v>
      </c>
      <c r="J58" s="11">
        <v>1.7815931584141571</v>
      </c>
      <c r="K58" s="11">
        <v>2.4304582774908186</v>
      </c>
      <c r="L58" s="11">
        <v>0.64886511907666122</v>
      </c>
      <c r="M58" s="11">
        <v>1.1013408491889878</v>
      </c>
      <c r="N58" s="11">
        <v>1.7502059682656488</v>
      </c>
      <c r="P58" s="10" t="str">
        <f>name!D26</f>
        <v>81 Process, plant and machine operatives</v>
      </c>
      <c r="Q58" s="11">
        <v>4.0747209731229184</v>
      </c>
      <c r="R58" s="11">
        <v>4.7093151204778412</v>
      </c>
      <c r="S58" s="345">
        <f t="shared" si="28"/>
        <v>0.63459414735492281</v>
      </c>
      <c r="T58" s="345">
        <v>2.3974746783469936</v>
      </c>
      <c r="U58" s="345">
        <f t="shared" si="29"/>
        <v>3.0320688257019164</v>
      </c>
      <c r="V58" s="346">
        <f t="shared" si="30"/>
        <v>3.1328258224083028E-2</v>
      </c>
      <c r="X58" s="10"/>
      <c r="Y58" s="10"/>
      <c r="Z58" s="10"/>
      <c r="AA58" s="345"/>
      <c r="AB58" s="10"/>
      <c r="AC58" s="345"/>
      <c r="AD58" s="348"/>
    </row>
    <row r="59" spans="1:30" ht="12.5" x14ac:dyDescent="0.25">
      <c r="A59" t="str">
        <f t="shared" si="24"/>
        <v>82 Transport and mobile machine drivers and operatives</v>
      </c>
      <c r="B59" s="11">
        <v>4.4896392351767039E-2</v>
      </c>
      <c r="C59" s="11">
        <v>0.13650807869578965</v>
      </c>
      <c r="D59" s="11">
        <f t="shared" si="39"/>
        <v>9.1611686344022614E-2</v>
      </c>
      <c r="E59" s="11">
        <v>5.388023131206765E-2</v>
      </c>
      <c r="F59" s="11">
        <f t="shared" si="40"/>
        <v>0.14549191765609026</v>
      </c>
      <c r="G59" s="200">
        <f t="shared" si="27"/>
        <v>5.397307270781404E-2</v>
      </c>
      <c r="I59" s="11" t="str">
        <f t="shared" si="38"/>
        <v>Process, plant and machine operatives</v>
      </c>
      <c r="J59" s="11">
        <v>0.73893935557556789</v>
      </c>
      <c r="K59" s="11">
        <v>1.1748525067497022</v>
      </c>
      <c r="L59" s="11">
        <v>0.43591315117413421</v>
      </c>
      <c r="M59" s="11">
        <v>0.5594079778657739</v>
      </c>
      <c r="N59" s="11">
        <v>0.9953211290399081</v>
      </c>
      <c r="P59" s="10" t="str">
        <f>name!D27</f>
        <v>82 Transport and mobile machine drivers and operatives</v>
      </c>
      <c r="Q59" s="11">
        <v>0.9749442515319815</v>
      </c>
      <c r="R59" s="11">
        <v>1.4658564500317817</v>
      </c>
      <c r="S59" s="345">
        <f t="shared" si="28"/>
        <v>0.49091219849980017</v>
      </c>
      <c r="T59" s="345">
        <v>0.85125450320091711</v>
      </c>
      <c r="U59" s="345">
        <f t="shared" si="29"/>
        <v>1.3421667017007173</v>
      </c>
      <c r="V59" s="346">
        <f t="shared" si="30"/>
        <v>4.2728436112739798E-2</v>
      </c>
      <c r="X59" s="10"/>
      <c r="Y59" s="10"/>
      <c r="Z59" s="10"/>
      <c r="AA59" s="345"/>
      <c r="AB59" s="10"/>
      <c r="AC59" s="345"/>
      <c r="AD59" s="348"/>
    </row>
    <row r="60" spans="1:30" ht="12.5" x14ac:dyDescent="0.25">
      <c r="A60" t="str">
        <f t="shared" si="24"/>
        <v>91 Elementary trades and related occupations</v>
      </c>
      <c r="B60" s="11">
        <v>2.8813887556975441E-4</v>
      </c>
      <c r="C60" s="11">
        <v>4.3909057999789941E-3</v>
      </c>
      <c r="D60" s="11">
        <f t="shared" si="25"/>
        <v>4.10276692440924E-3</v>
      </c>
      <c r="E60" s="11">
        <v>1.6241935819812606E-3</v>
      </c>
      <c r="F60" s="11">
        <f t="shared" si="26"/>
        <v>5.7269605063905004E-3</v>
      </c>
      <c r="G60" s="200">
        <f t="shared" si="27"/>
        <v>0.13448154627105202</v>
      </c>
      <c r="I60" s="11" t="str">
        <f t="shared" si="38"/>
        <v>Elementary occupations</v>
      </c>
      <c r="J60" s="11">
        <v>1.4593319106441902</v>
      </c>
      <c r="K60" s="11">
        <v>2.5853747452416025</v>
      </c>
      <c r="L60" s="11">
        <v>1.1260428345974121</v>
      </c>
      <c r="M60" s="11">
        <v>1.3354407163724753</v>
      </c>
      <c r="N60" s="11">
        <v>2.4614835509698874</v>
      </c>
      <c r="P60" s="10" t="str">
        <f>name!D28</f>
        <v>91 Elementary trades and related occupations</v>
      </c>
      <c r="Q60" s="11">
        <v>1.9280314464236585</v>
      </c>
      <c r="R60" s="11">
        <v>7.0281060387183256</v>
      </c>
      <c r="S60" s="345">
        <f t="shared" si="28"/>
        <v>5.1000745922946669</v>
      </c>
      <c r="T60" s="345">
        <v>3.9891486496355784</v>
      </c>
      <c r="U60" s="345">
        <f t="shared" si="29"/>
        <v>9.0892232419302452</v>
      </c>
      <c r="V60" s="346">
        <f t="shared" si="30"/>
        <v>7.7622651543508558E-2</v>
      </c>
      <c r="X60" s="10"/>
      <c r="Y60" s="10"/>
      <c r="Z60" s="10"/>
      <c r="AA60" s="345"/>
      <c r="AB60" s="10"/>
      <c r="AC60" s="345"/>
      <c r="AD60" s="348"/>
    </row>
    <row r="61" spans="1:30" ht="12.5" x14ac:dyDescent="0.25">
      <c r="A61" t="str">
        <f t="shared" si="24"/>
        <v>92 Elementary administration and service occupations</v>
      </c>
      <c r="B61" s="11">
        <v>3.0219019625804429E-2</v>
      </c>
      <c r="C61" s="11">
        <v>6.3023984633075569E-2</v>
      </c>
      <c r="D61" s="11">
        <f t="shared" ref="D61" si="41">C61-B61</f>
        <v>3.280496500727114E-2</v>
      </c>
      <c r="E61" s="11">
        <v>2.3930716909883215E-2</v>
      </c>
      <c r="F61" s="11">
        <f t="shared" ref="F61" si="42">SUM(D61:E61)</f>
        <v>5.6735681917154356E-2</v>
      </c>
      <c r="G61" s="200">
        <f t="shared" ref="G61" si="43">IF(B61&gt;0,(1+(E61/B61))^(1/($C$6-$B$6))-1,0)</f>
        <v>3.9651373874203921E-2</v>
      </c>
      <c r="P61" s="10" t="str">
        <f>name!D29</f>
        <v>92 Elementary administration and service occupations</v>
      </c>
      <c r="Q61" s="11">
        <v>18.941946801818354</v>
      </c>
      <c r="R61" s="11">
        <v>12.823853034324475</v>
      </c>
      <c r="S61" s="345">
        <f t="shared" ref="S61" si="44">R61-Q61</f>
        <v>-6.1180937674938782</v>
      </c>
      <c r="T61" s="345">
        <v>8.5728726371572552</v>
      </c>
      <c r="U61" s="345">
        <f t="shared" ref="U61" si="45">SUM(S61:T61)</f>
        <v>2.454778869663377</v>
      </c>
      <c r="V61" s="346">
        <f t="shared" ref="V61" si="46">IF(Q61&gt;0,(1+(T61/Q61))^(1/($C$6-$B$6))-1,0)</f>
        <v>2.5202060331137366E-2</v>
      </c>
      <c r="X61" s="10"/>
      <c r="Y61" s="10"/>
      <c r="Z61" s="10"/>
      <c r="AA61" s="345"/>
      <c r="AB61" s="10"/>
      <c r="AC61" s="345"/>
      <c r="AD61" s="348"/>
    </row>
    <row r="62" spans="1:30" x14ac:dyDescent="0.3">
      <c r="A62" t="str">
        <f t="shared" si="24"/>
        <v>All occupations</v>
      </c>
      <c r="B62" s="11">
        <f>SUM(B36:B61)</f>
        <v>7.0915685334472123</v>
      </c>
      <c r="C62" s="11">
        <f t="shared" ref="C62:F62" si="47">SUM(C36:C61)</f>
        <v>13.476587127561658</v>
      </c>
      <c r="D62" s="11">
        <f t="shared" si="47"/>
        <v>6.3850185941144471</v>
      </c>
      <c r="E62" s="11">
        <f t="shared" si="47"/>
        <v>4.7951940249128757</v>
      </c>
      <c r="F62" s="11">
        <f t="shared" si="47"/>
        <v>11.180212619027319</v>
      </c>
      <c r="G62" s="200">
        <f t="shared" si="27"/>
        <v>3.5034324085416069E-2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231.09459559585864</v>
      </c>
      <c r="R62" s="11">
        <f>SUM(R36:R61)</f>
        <v>248.49953199386613</v>
      </c>
      <c r="S62" s="345">
        <f>R62-Q62</f>
        <v>17.404936398007493</v>
      </c>
      <c r="T62" s="11">
        <f>SUM(T36:T61)</f>
        <v>137.37841534473071</v>
      </c>
      <c r="U62" s="345">
        <f>SUM(S62:T62)</f>
        <v>154.7833517427382</v>
      </c>
      <c r="V62" s="346">
        <f t="shared" si="30"/>
        <v>3.15914316901722E-2</v>
      </c>
      <c r="X62" s="10"/>
      <c r="Y62" s="10"/>
      <c r="Z62" s="10"/>
      <c r="AA62" s="345"/>
      <c r="AB62" s="10"/>
      <c r="AC62" s="345"/>
      <c r="AD62" s="348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3.5976264055012788</v>
      </c>
      <c r="K63" s="11">
        <f t="array" ref="K63:K71">MMULT(aggregation!$B$13:$AA$21,C152:C177)</f>
        <v>3.57576698258341</v>
      </c>
      <c r="L63" s="11">
        <f t="array" ref="L63:L71">MMULT(aggregation!$B$13:$AA$21,D152:D177)</f>
        <v>-2.1859422917868687E-2</v>
      </c>
      <c r="M63" s="11">
        <f t="array" ref="M63:M71">MMULT(aggregation!$B$13:$AA$21,E152:E177)</f>
        <v>1.8934989299816054</v>
      </c>
      <c r="N63" s="11">
        <f t="array" ref="N63:N71">MMULT(aggregation!$B$13:$AA$21,F152:F177)</f>
        <v>1.8716395070637368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25.5" x14ac:dyDescent="0.3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5.050570642582727</v>
      </c>
      <c r="K64" s="11">
        <v>5.3045118808435161</v>
      </c>
      <c r="L64" s="11">
        <v>0.25394123826079018</v>
      </c>
      <c r="M64" s="11">
        <v>2.1740099751661499</v>
      </c>
      <c r="N64" s="11">
        <v>2.4279512134269399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3">
      <c r="A65" t="str">
        <f t="shared" ref="A65:A91" si="49">A7</f>
        <v>11 Corporate managers and directors</v>
      </c>
      <c r="B65" s="11">
        <v>3.8038285278720316</v>
      </c>
      <c r="C65" s="11">
        <v>6.3959460319249226</v>
      </c>
      <c r="D65" s="11">
        <f>C65-B65</f>
        <v>2.592117504052891</v>
      </c>
      <c r="E65" s="11">
        <v>2.5219523718987791</v>
      </c>
      <c r="F65" s="11">
        <f>SUM(D65:E65)</f>
        <v>5.1140698759516701</v>
      </c>
      <c r="G65" s="200">
        <f>IF(B65&gt;0,(1+(E65/B65))^(1/($C$6-$B$6))-1,0)</f>
        <v>3.4489803292928167E-2</v>
      </c>
      <c r="I65" s="11" t="str">
        <f>I54</f>
        <v>Associate professional occupations</v>
      </c>
      <c r="J65" s="11">
        <v>4.0339402376666484</v>
      </c>
      <c r="K65" s="11">
        <v>4.3620091830076717</v>
      </c>
      <c r="L65" s="11">
        <v>0.32806894534102388</v>
      </c>
      <c r="M65" s="11">
        <v>1.9359721371107883</v>
      </c>
      <c r="N65" s="11">
        <v>2.2640410824518122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3">
      <c r="A66" t="str">
        <f t="shared" si="49"/>
        <v>12 Other managers and proprietors</v>
      </c>
      <c r="B66" s="11">
        <v>1.3074081049131188</v>
      </c>
      <c r="C66" s="11">
        <v>2.7865399387226071</v>
      </c>
      <c r="D66" s="11">
        <f t="shared" ref="D66:D89" si="50">C66-B66</f>
        <v>1.4791318338094883</v>
      </c>
      <c r="E66" s="11">
        <v>1.1578210284877681</v>
      </c>
      <c r="F66" s="11">
        <f t="shared" ref="F66:F89" si="51">SUM(D66:E66)</f>
        <v>2.6369528622972567</v>
      </c>
      <c r="G66" s="200">
        <f t="shared" ref="G66:G89" si="52">IF(B66&gt;0,(1+(E66/B66))^(1/($C$6-$B$6))-1,0)</f>
        <v>4.3189181627668383E-2</v>
      </c>
      <c r="I66" s="11" t="str">
        <f>I55</f>
        <v>Administrative and secretarial occupations</v>
      </c>
      <c r="J66" s="11">
        <v>3.7438176247319559</v>
      </c>
      <c r="K66" s="11">
        <v>4.4812237587018098</v>
      </c>
      <c r="L66" s="11">
        <v>0.73740613396985355</v>
      </c>
      <c r="M66" s="11">
        <v>2.2961130060811392</v>
      </c>
      <c r="N66" s="11">
        <v>3.0335191400509927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3">
      <c r="A67" t="str">
        <f t="shared" si="49"/>
        <v>21 Science, research, engineering and technology professionals</v>
      </c>
      <c r="B67" s="11">
        <v>4.4636264902997853</v>
      </c>
      <c r="C67" s="11">
        <v>9.9240874227107234</v>
      </c>
      <c r="D67" s="11">
        <f t="shared" si="50"/>
        <v>5.4604609324109381</v>
      </c>
      <c r="E67" s="11">
        <v>2.8848472507252017</v>
      </c>
      <c r="F67" s="11">
        <f t="shared" si="51"/>
        <v>8.3453081831361402</v>
      </c>
      <c r="G67" s="200">
        <f t="shared" si="52"/>
        <v>3.3793871695303679E-2</v>
      </c>
      <c r="I67" s="11" t="str">
        <f t="shared" ref="I67:I71" si="53">I56</f>
        <v>Skilled trades occupations</v>
      </c>
      <c r="J67" s="11">
        <v>2.8869783145060648</v>
      </c>
      <c r="K67" s="11">
        <v>3.4845466235911662</v>
      </c>
      <c r="L67" s="11">
        <v>0.59756830908510106</v>
      </c>
      <c r="M67" s="11">
        <v>1.5141244787694699</v>
      </c>
      <c r="N67" s="11">
        <v>2.1116927878545706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3">
      <c r="A68" t="str">
        <f t="shared" si="49"/>
        <v>22 Health professionals</v>
      </c>
      <c r="B68" s="11">
        <v>5.2342624554481567</v>
      </c>
      <c r="C68" s="11">
        <v>8.9149275044580865</v>
      </c>
      <c r="D68" s="11">
        <f t="shared" si="50"/>
        <v>3.6806650490099297</v>
      </c>
      <c r="E68" s="11">
        <v>3.4989922613421278</v>
      </c>
      <c r="F68" s="11">
        <f t="shared" si="51"/>
        <v>7.1796573103520576</v>
      </c>
      <c r="G68" s="200">
        <f t="shared" si="52"/>
        <v>3.471650211677324E-2</v>
      </c>
      <c r="I68" s="11" t="str">
        <f t="shared" si="53"/>
        <v>Caring, leisure and other service occupations</v>
      </c>
      <c r="J68" s="11">
        <v>3.0839072202377098</v>
      </c>
      <c r="K68" s="11">
        <v>3.695846594688418</v>
      </c>
      <c r="L68" s="11">
        <v>0.61193937445070845</v>
      </c>
      <c r="M68" s="11">
        <v>2.0195623797202198</v>
      </c>
      <c r="N68" s="11">
        <v>2.6315017541709285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3">
      <c r="A69" t="str">
        <f t="shared" si="49"/>
        <v>23 Teaching and other educational professionals</v>
      </c>
      <c r="B69" s="11">
        <v>11.493151663559454</v>
      </c>
      <c r="C69" s="11">
        <v>16.306497208346084</v>
      </c>
      <c r="D69" s="11">
        <f t="shared" ref="D69" si="54">C69-B69</f>
        <v>4.81334554478663</v>
      </c>
      <c r="E69" s="11">
        <v>7.0697115829280497</v>
      </c>
      <c r="F69" s="11">
        <f t="shared" ref="F69" si="55">SUM(D69:E69)</f>
        <v>11.883057127714679</v>
      </c>
      <c r="G69" s="200">
        <f t="shared" si="52"/>
        <v>3.2477006270575481E-2</v>
      </c>
      <c r="I69" s="11" t="str">
        <f t="shared" si="53"/>
        <v>Sales and customer service occupations</v>
      </c>
      <c r="J69" s="11">
        <v>1.7856534024935498</v>
      </c>
      <c r="K69" s="11">
        <v>2.2650692075151229</v>
      </c>
      <c r="L69" s="11">
        <v>0.4794158050215731</v>
      </c>
      <c r="M69" s="11">
        <v>0.93395363520002972</v>
      </c>
      <c r="N69" s="11">
        <v>1.4133694402216026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3">
      <c r="A70" t="str">
        <f t="shared" si="49"/>
        <v>24 Business, media and public service professionals</v>
      </c>
      <c r="B70" s="11">
        <v>5.6927563758033912</v>
      </c>
      <c r="C70" s="11">
        <v>9.7428518165328644</v>
      </c>
      <c r="D70" s="11">
        <f t="shared" si="50"/>
        <v>4.0500954407294731</v>
      </c>
      <c r="E70" s="11">
        <v>3.6739588856164538</v>
      </c>
      <c r="F70" s="11">
        <f t="shared" si="51"/>
        <v>7.7240543263459269</v>
      </c>
      <c r="G70" s="200">
        <f t="shared" si="52"/>
        <v>3.3755059182196234E-2</v>
      </c>
      <c r="I70" s="11" t="str">
        <f t="shared" si="53"/>
        <v>Process, plant and machine operatives</v>
      </c>
      <c r="J70" s="11">
        <v>1.3445005088198221</v>
      </c>
      <c r="K70" s="11">
        <v>2.0249297209825028</v>
      </c>
      <c r="L70" s="11">
        <v>0.6804292121626806</v>
      </c>
      <c r="M70" s="11">
        <v>0.97354316184521728</v>
      </c>
      <c r="N70" s="11">
        <v>1.653972374007898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3">
      <c r="A71" t="str">
        <f t="shared" si="49"/>
        <v>31 Science, engineering and technology associate professionals</v>
      </c>
      <c r="B71" s="11">
        <v>0.89197339166385037</v>
      </c>
      <c r="C71" s="11">
        <v>1.4291071858717985</v>
      </c>
      <c r="D71" s="11">
        <f t="shared" si="50"/>
        <v>0.53713379420794816</v>
      </c>
      <c r="E71" s="11">
        <v>0.46460699920037746</v>
      </c>
      <c r="F71" s="11">
        <f t="shared" si="51"/>
        <v>1.0017407934083256</v>
      </c>
      <c r="G71" s="200">
        <f t="shared" si="52"/>
        <v>2.8346740233495593E-2</v>
      </c>
      <c r="I71" s="11" t="str">
        <f t="shared" si="53"/>
        <v>Elementary occupations</v>
      </c>
      <c r="J71" s="11">
        <v>1.4333105667994095</v>
      </c>
      <c r="K71" s="11">
        <v>2.5614782510757252</v>
      </c>
      <c r="L71" s="11">
        <v>1.1281676842763155</v>
      </c>
      <c r="M71" s="11">
        <v>1.3172981936057697</v>
      </c>
      <c r="N71" s="11">
        <v>2.4454658778820857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3">
      <c r="A72" t="str">
        <f t="shared" si="49"/>
        <v>32 Health and social care associate professionals</v>
      </c>
      <c r="B72" s="11">
        <v>1.2407969519020348</v>
      </c>
      <c r="C72" s="11">
        <v>4.9390747004282103</v>
      </c>
      <c r="D72" s="11">
        <f t="shared" si="50"/>
        <v>3.6982777485261753</v>
      </c>
      <c r="E72" s="11">
        <v>1.7399345749874491</v>
      </c>
      <c r="F72" s="11">
        <f t="shared" si="51"/>
        <v>5.4382123235136248</v>
      </c>
      <c r="G72" s="200">
        <f t="shared" si="52"/>
        <v>6.0168288430765937E-2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3">
      <c r="A73" t="str">
        <f t="shared" si="49"/>
        <v>33 Protective service occupations</v>
      </c>
      <c r="B73" s="11">
        <v>0.26295984207773249</v>
      </c>
      <c r="C73" s="11">
        <v>0.47477267646927285</v>
      </c>
      <c r="D73" s="11">
        <f t="shared" si="50"/>
        <v>0.21181283439154036</v>
      </c>
      <c r="E73" s="11">
        <v>0.11185815193075105</v>
      </c>
      <c r="F73" s="11">
        <f t="shared" si="51"/>
        <v>0.32367098632229141</v>
      </c>
      <c r="G73" s="200">
        <f t="shared" si="52"/>
        <v>2.3910665411640109E-2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3">
      <c r="A74" t="str">
        <f t="shared" si="49"/>
        <v>34 Culture, media and sports occupations</v>
      </c>
      <c r="B74" s="11">
        <v>1.3351642188410457</v>
      </c>
      <c r="C74" s="11">
        <v>1.8170052067832432</v>
      </c>
      <c r="D74" s="11">
        <f t="shared" ref="D74:D75" si="56">C74-B74</f>
        <v>0.48184098794219743</v>
      </c>
      <c r="E74" s="11">
        <v>0.74367698004453153</v>
      </c>
      <c r="F74" s="11">
        <f t="shared" ref="F74:F75" si="57">SUM(D74:E74)</f>
        <v>1.225517967986729</v>
      </c>
      <c r="G74" s="200">
        <f t="shared" si="52"/>
        <v>2.9957035769177409E-2</v>
      </c>
      <c r="I74" s="11" t="str">
        <f>I63</f>
        <v>Managers, directors and senior officials</v>
      </c>
      <c r="J74" s="11">
        <f t="array" ref="J74:J82">MMULT(aggregation!$B$13:$AA$21,B181:B206)</f>
        <v>8.9023897523099773</v>
      </c>
      <c r="K74" s="11">
        <f t="array" ref="K74:K82">MMULT(aggregation!$B$13:$AA$21,C181:C206)</f>
        <v>8.8049661027513402</v>
      </c>
      <c r="L74" s="11">
        <f t="array" ref="L74:L82">MMULT(aggregation!$B$13:$AA$21,D181:D206)</f>
        <v>-9.7423649558637582E-2</v>
      </c>
      <c r="M74" s="11">
        <f t="array" ref="M74:M82">MMULT(aggregation!$B$13:$AA$21,E181:E206)</f>
        <v>3.8078701978805061</v>
      </c>
      <c r="N74" s="11">
        <f t="array" ref="N74:N82">MMULT(aggregation!$B$13:$AA$21,F181:F206)</f>
        <v>3.7104465483218689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3">
      <c r="A75" t="str">
        <f t="shared" si="49"/>
        <v>35 Business and public service associate professionals</v>
      </c>
      <c r="B75" s="11">
        <v>3.4406607165194942</v>
      </c>
      <c r="C75" s="11">
        <v>6.318766965653027</v>
      </c>
      <c r="D75" s="11">
        <f t="shared" si="56"/>
        <v>2.8781062491335327</v>
      </c>
      <c r="E75" s="11">
        <v>2.3019437880674398</v>
      </c>
      <c r="F75" s="11">
        <f t="shared" si="57"/>
        <v>5.1800500372009726</v>
      </c>
      <c r="G75" s="200">
        <f t="shared" si="52"/>
        <v>3.4739759989775187E-2</v>
      </c>
      <c r="I75" s="11" t="str">
        <f>I64</f>
        <v>Professional occupations</v>
      </c>
      <c r="J75" s="11">
        <v>12.043434625561943</v>
      </c>
      <c r="K75" s="11">
        <v>13.522669087996602</v>
      </c>
      <c r="L75" s="11">
        <v>1.4792344624346589</v>
      </c>
      <c r="M75" s="11">
        <v>5.3455320930446728</v>
      </c>
      <c r="N75" s="11">
        <v>6.8247665554793313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3">
      <c r="A76" t="str">
        <f t="shared" si="49"/>
        <v>41 Administrative occupations</v>
      </c>
      <c r="B76" s="11">
        <v>2.913821387094532</v>
      </c>
      <c r="C76" s="11">
        <v>5.8517368396190221</v>
      </c>
      <c r="D76" s="11">
        <f t="shared" si="50"/>
        <v>2.9379154525244902</v>
      </c>
      <c r="E76" s="11">
        <v>2.2641214243771772</v>
      </c>
      <c r="F76" s="11">
        <f t="shared" si="51"/>
        <v>5.2020368769016674</v>
      </c>
      <c r="G76" s="200">
        <f t="shared" si="52"/>
        <v>3.907354606009239E-2</v>
      </c>
      <c r="I76" s="11" t="str">
        <f>I65</f>
        <v>Associate professional occupations</v>
      </c>
      <c r="J76" s="11">
        <v>11.511604881640389</v>
      </c>
      <c r="K76" s="11">
        <v>12.391868009337266</v>
      </c>
      <c r="L76" s="11">
        <v>0.8802631276968762</v>
      </c>
      <c r="M76" s="11">
        <v>5.3603996776443488</v>
      </c>
      <c r="N76" s="11">
        <v>6.2406628053412243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3">
      <c r="A77" t="str">
        <f t="shared" si="49"/>
        <v>42 Secretarial and related occupations</v>
      </c>
      <c r="B77" s="11">
        <v>0.47265356465006436</v>
      </c>
      <c r="C77" s="11">
        <v>0.49203259276245043</v>
      </c>
      <c r="D77" s="11">
        <f t="shared" si="50"/>
        <v>1.9379028112386065E-2</v>
      </c>
      <c r="E77" s="11">
        <v>0.30061424218290411</v>
      </c>
      <c r="F77" s="11">
        <f t="shared" si="51"/>
        <v>0.31999327029529018</v>
      </c>
      <c r="G77" s="200">
        <f t="shared" si="52"/>
        <v>3.3361950093569126E-2</v>
      </c>
      <c r="I77" s="11" t="str">
        <f>I66</f>
        <v>Administrative and secretarial occupations</v>
      </c>
      <c r="J77" s="11">
        <v>11.668258959509387</v>
      </c>
      <c r="K77" s="11">
        <v>9.8002187706488293</v>
      </c>
      <c r="L77" s="11">
        <v>-1.8680401888605571</v>
      </c>
      <c r="M77" s="11">
        <v>5.1807420668236643</v>
      </c>
      <c r="N77" s="11">
        <v>3.3127018779631072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3">
      <c r="A78" t="str">
        <f t="shared" si="49"/>
        <v>51 Skilled agricultural and related trades</v>
      </c>
      <c r="B78" s="11">
        <v>5.1388624470621397E-2</v>
      </c>
      <c r="C78" s="11">
        <v>8.2434257852241843E-2</v>
      </c>
      <c r="D78" s="11">
        <f t="shared" si="50"/>
        <v>3.1045633381620447E-2</v>
      </c>
      <c r="E78" s="11">
        <v>3.5089836438961658E-2</v>
      </c>
      <c r="F78" s="11">
        <f t="shared" si="51"/>
        <v>6.6135469820582105E-2</v>
      </c>
      <c r="G78" s="200">
        <f t="shared" si="52"/>
        <v>3.5307588437883286E-2</v>
      </c>
      <c r="I78" s="11" t="str">
        <f t="shared" ref="I78:I82" si="58">I67</f>
        <v>Skilled trades occupations</v>
      </c>
      <c r="J78" s="11">
        <v>17.936609314913081</v>
      </c>
      <c r="K78" s="11">
        <v>17.318331190686617</v>
      </c>
      <c r="L78" s="11">
        <v>-0.61827812422646322</v>
      </c>
      <c r="M78" s="11">
        <v>6.624281232440846</v>
      </c>
      <c r="N78" s="11">
        <v>6.0060031082143821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3">
      <c r="A79" t="str">
        <f t="shared" si="49"/>
        <v>52 Skilled metal, electrical and electronic trades</v>
      </c>
      <c r="B79" s="11">
        <v>0.34914786357303379</v>
      </c>
      <c r="C79" s="11">
        <v>0.88739307677282209</v>
      </c>
      <c r="D79" s="11">
        <f t="shared" si="50"/>
        <v>0.53824521319978835</v>
      </c>
      <c r="E79" s="11">
        <v>0.2873214448812586</v>
      </c>
      <c r="F79" s="11">
        <f t="shared" si="51"/>
        <v>0.82556665808104701</v>
      </c>
      <c r="G79" s="200">
        <f t="shared" si="52"/>
        <v>4.0841352778105078E-2</v>
      </c>
      <c r="I79" s="11" t="str">
        <f t="shared" si="58"/>
        <v>Caring, leisure and other service occupations</v>
      </c>
      <c r="J79" s="11">
        <v>16.702967886031875</v>
      </c>
      <c r="K79" s="11">
        <v>18.457155884369296</v>
      </c>
      <c r="L79" s="11">
        <v>1.7541879983374229</v>
      </c>
      <c r="M79" s="11">
        <v>9.6969528958433777</v>
      </c>
      <c r="N79" s="11">
        <v>11.451140894180799</v>
      </c>
      <c r="X79" s="10"/>
      <c r="Y79" s="10"/>
      <c r="Z79" s="10"/>
      <c r="AA79" s="345"/>
      <c r="AB79" s="10"/>
      <c r="AC79" s="345"/>
      <c r="AD79" s="348"/>
    </row>
    <row r="80" spans="1:30" x14ac:dyDescent="0.3">
      <c r="A80" t="str">
        <f t="shared" si="49"/>
        <v>53 Skilled construction and building trades</v>
      </c>
      <c r="B80" s="11">
        <v>0.14059944724793219</v>
      </c>
      <c r="C80" s="11">
        <v>0.27226960095809533</v>
      </c>
      <c r="D80" s="11">
        <f t="shared" ref="D80" si="59">C80-B80</f>
        <v>0.13167015371016313</v>
      </c>
      <c r="E80" s="11">
        <v>9.4898402814163743E-2</v>
      </c>
      <c r="F80" s="11">
        <f t="shared" ref="F80" si="60">SUM(D80:E80)</f>
        <v>0.22656855652432689</v>
      </c>
      <c r="G80" s="200">
        <f t="shared" si="52"/>
        <v>3.4983808270514505E-2</v>
      </c>
      <c r="I80" s="11" t="str">
        <f t="shared" si="58"/>
        <v>Sales and customer service occupations</v>
      </c>
      <c r="J80" s="11">
        <v>9.9707378775085012</v>
      </c>
      <c r="K80" s="11">
        <v>10.800350335851927</v>
      </c>
      <c r="L80" s="11">
        <v>0.82961245834342767</v>
      </c>
      <c r="M80" s="11">
        <v>4.5788771496583855</v>
      </c>
      <c r="N80" s="11">
        <v>5.4084896080018128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3">
      <c r="A81" t="str">
        <f t="shared" si="49"/>
        <v>54 Textiles, printing and other skilled trades</v>
      </c>
      <c r="B81" s="11">
        <v>0.29977725198786687</v>
      </c>
      <c r="C81" s="11">
        <v>0.61532062818748856</v>
      </c>
      <c r="D81" s="11">
        <f t="shared" si="50"/>
        <v>0.31554337619962169</v>
      </c>
      <c r="E81" s="11">
        <v>0.23629289617448163</v>
      </c>
      <c r="F81" s="11">
        <f t="shared" si="51"/>
        <v>0.55183627237410326</v>
      </c>
      <c r="G81" s="200">
        <f t="shared" si="52"/>
        <v>3.9508863210362399E-2</v>
      </c>
      <c r="I81" s="11" t="str">
        <f t="shared" si="58"/>
        <v>Process, plant and machine operatives</v>
      </c>
      <c r="J81" s="11">
        <v>8.3892040161210311</v>
      </c>
      <c r="K81" s="11">
        <v>11.384714796407366</v>
      </c>
      <c r="L81" s="11">
        <v>2.9955107802863346</v>
      </c>
      <c r="M81" s="11">
        <v>4.5381880854990335</v>
      </c>
      <c r="N81" s="11">
        <v>7.5336988657853681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3">
      <c r="A82" t="str">
        <f t="shared" si="49"/>
        <v>61 Caring personal service occupations</v>
      </c>
      <c r="B82" s="11">
        <v>1.648877940775634</v>
      </c>
      <c r="C82" s="11">
        <v>4.5459988221634502</v>
      </c>
      <c r="D82" s="11">
        <f t="shared" si="50"/>
        <v>2.8971208813878162</v>
      </c>
      <c r="E82" s="11">
        <v>1.6588512459301632</v>
      </c>
      <c r="F82" s="11">
        <f t="shared" si="51"/>
        <v>4.555972127317979</v>
      </c>
      <c r="G82" s="200">
        <f t="shared" si="52"/>
        <v>4.7504978760971595E-2</v>
      </c>
      <c r="I82" s="11" t="str">
        <f t="shared" si="58"/>
        <v>Elementary occupations</v>
      </c>
      <c r="J82" s="11">
        <v>7.3286928254801174</v>
      </c>
      <c r="K82" s="11">
        <v>7.8304276379029387</v>
      </c>
      <c r="L82" s="11">
        <v>0.50173481242282114</v>
      </c>
      <c r="M82" s="11">
        <v>3.6036940331379901</v>
      </c>
      <c r="N82" s="11">
        <v>4.1054288455608114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3">
      <c r="A83" t="str">
        <f t="shared" si="49"/>
        <v>62 Leisure, travel and related personal service occupations</v>
      </c>
      <c r="B83" s="11">
        <v>0.23088990393483855</v>
      </c>
      <c r="C83" s="11">
        <v>0.46079246792537998</v>
      </c>
      <c r="D83" s="11">
        <f t="shared" ref="D83:D84" si="61">C83-B83</f>
        <v>0.22990256399054143</v>
      </c>
      <c r="E83" s="11">
        <v>0.17025661725392877</v>
      </c>
      <c r="F83" s="11">
        <f t="shared" ref="F83:F84" si="62">SUM(D83:E83)</f>
        <v>0.4001591812444702</v>
      </c>
      <c r="G83" s="200">
        <f t="shared" si="52"/>
        <v>3.7512184655484893E-2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3">
      <c r="A84" t="str">
        <f t="shared" si="49"/>
        <v>63 Community and civil enforcement occupations</v>
      </c>
      <c r="B84" s="11">
        <v>1.6142172010219294E-2</v>
      </c>
      <c r="C84" s="11">
        <v>2.9373464294570953E-2</v>
      </c>
      <c r="D84" s="11">
        <f t="shared" si="61"/>
        <v>1.3231292284351659E-2</v>
      </c>
      <c r="E84" s="11">
        <v>1.1375244083860843E-2</v>
      </c>
      <c r="F84" s="11">
        <f t="shared" si="62"/>
        <v>2.46065363682125E-2</v>
      </c>
      <c r="G84" s="200">
        <f t="shared" si="52"/>
        <v>3.6198705361269123E-2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3">
      <c r="A85" t="str">
        <f t="shared" si="49"/>
        <v>71 Sales occupations</v>
      </c>
      <c r="B85" s="11">
        <v>0.98347173045997194</v>
      </c>
      <c r="C85" s="11">
        <v>2.3803573799034092</v>
      </c>
      <c r="D85" s="11">
        <f t="shared" si="50"/>
        <v>1.3968856494434374</v>
      </c>
      <c r="E85" s="11">
        <v>0.73978695790798821</v>
      </c>
      <c r="F85" s="11">
        <f t="shared" si="51"/>
        <v>2.1366726073514255</v>
      </c>
      <c r="G85" s="200">
        <f t="shared" si="52"/>
        <v>3.8100116387904226E-2</v>
      </c>
      <c r="I85" s="11" t="str">
        <f>I74</f>
        <v>Managers, directors and senior officials</v>
      </c>
      <c r="J85" s="11">
        <f t="array" ref="J85:J93">MMULT(aggregation!$B$13:$AA$21,B210:B235)</f>
        <v>7.6137044083628185</v>
      </c>
      <c r="K85" s="11">
        <f t="array" ref="K85:K93">MMULT(aggregation!$B$13:$AA$21,C210:C235)</f>
        <v>6.3946261263205653</v>
      </c>
      <c r="L85" s="11">
        <f t="array" ref="L85:L93">MMULT(aggregation!$B$13:$AA$21,D210:D235)</f>
        <v>-1.2190782820422537</v>
      </c>
      <c r="M85" s="11">
        <f t="array" ref="M85:M93">MMULT(aggregation!$B$13:$AA$21,E210:E235)</f>
        <v>3.6025802087132055</v>
      </c>
      <c r="N85" s="11">
        <f t="array" ref="N85:N93">MMULT(aggregation!$B$13:$AA$21,F210:F235)</f>
        <v>2.3835019266709518</v>
      </c>
      <c r="P85" s="11"/>
      <c r="Q85" s="11"/>
      <c r="R85" s="11"/>
      <c r="S85" s="341"/>
      <c r="T85" s="341"/>
      <c r="U85" s="341"/>
    </row>
    <row r="86" spans="1:30" x14ac:dyDescent="0.3">
      <c r="A86" t="str">
        <f t="shared" si="49"/>
        <v>72 Customer service occupations</v>
      </c>
      <c r="B86" s="11">
        <v>0.35601588390914296</v>
      </c>
      <c r="C86" s="11">
        <v>0.88783695288266995</v>
      </c>
      <c r="D86" s="11">
        <f t="shared" si="50"/>
        <v>0.53182106897352699</v>
      </c>
      <c r="E86" s="11">
        <v>0.28065901940711846</v>
      </c>
      <c r="F86" s="11">
        <f t="shared" si="51"/>
        <v>0.81248008838064545</v>
      </c>
      <c r="G86" s="200">
        <f t="shared" si="52"/>
        <v>3.9512917400458702E-2</v>
      </c>
      <c r="I86" s="11" t="str">
        <f>I75</f>
        <v>Professional occupations</v>
      </c>
      <c r="J86" s="11">
        <v>8.1918948714004873</v>
      </c>
      <c r="K86" s="11">
        <v>7.4204116250592449</v>
      </c>
      <c r="L86" s="11">
        <v>-0.77148324634124144</v>
      </c>
      <c r="M86" s="11">
        <v>3.5076150717557679</v>
      </c>
      <c r="N86" s="11">
        <v>2.7361318254145268</v>
      </c>
      <c r="P86" s="11"/>
      <c r="Q86" s="11"/>
      <c r="R86" s="11"/>
      <c r="S86" s="341"/>
      <c r="T86" s="341"/>
      <c r="U86" s="341"/>
    </row>
    <row r="87" spans="1:30" x14ac:dyDescent="0.3">
      <c r="A87" t="str">
        <f t="shared" si="49"/>
        <v>81 Process, plant and machine operatives</v>
      </c>
      <c r="B87" s="11">
        <v>0.21349522513418287</v>
      </c>
      <c r="C87" s="11">
        <v>0.66902668489123696</v>
      </c>
      <c r="D87" s="11">
        <f t="shared" ref="D87:D88" si="63">C87-B87</f>
        <v>0.45553145975705411</v>
      </c>
      <c r="E87" s="11">
        <v>0.2073566655285837</v>
      </c>
      <c r="F87" s="11">
        <f t="shared" ref="F87:F88" si="64">SUM(D87:E87)</f>
        <v>0.66288812528563779</v>
      </c>
      <c r="G87" s="200">
        <f t="shared" si="52"/>
        <v>4.6283575266395482E-2</v>
      </c>
      <c r="I87" s="11" t="str">
        <f>I76</f>
        <v>Associate professional occupations</v>
      </c>
      <c r="J87" s="11">
        <v>8.8501690265717592</v>
      </c>
      <c r="K87" s="11">
        <v>7.99497244332969</v>
      </c>
      <c r="L87" s="11">
        <v>-0.85519658324206937</v>
      </c>
      <c r="M87" s="11">
        <v>3.8081169775541319</v>
      </c>
      <c r="N87" s="11">
        <v>2.9529203943120632</v>
      </c>
      <c r="P87" s="11"/>
      <c r="Q87" s="11"/>
      <c r="R87" s="11"/>
      <c r="S87" s="341"/>
      <c r="T87" s="341"/>
      <c r="U87" s="341"/>
    </row>
    <row r="88" spans="1:30" x14ac:dyDescent="0.3">
      <c r="A88" t="str">
        <f t="shared" si="49"/>
        <v>82 Transport and mobile machine drivers and operatives</v>
      </c>
      <c r="B88" s="11">
        <v>0.2518217531900796</v>
      </c>
      <c r="C88" s="11">
        <v>0.68266870640845356</v>
      </c>
      <c r="D88" s="11">
        <f t="shared" si="63"/>
        <v>0.43084695321837396</v>
      </c>
      <c r="E88" s="11">
        <v>0.27268372979366251</v>
      </c>
      <c r="F88" s="11">
        <f t="shared" si="64"/>
        <v>0.70353068301203647</v>
      </c>
      <c r="G88" s="200">
        <f t="shared" si="52"/>
        <v>5.0131741988477918E-2</v>
      </c>
      <c r="I88" s="11" t="str">
        <f>I77</f>
        <v>Administrative and secretarial occupations</v>
      </c>
      <c r="J88" s="11">
        <v>13.411449004935948</v>
      </c>
      <c r="K88" s="11">
        <v>9.279378344723213</v>
      </c>
      <c r="L88" s="11">
        <v>-4.1320706602127348</v>
      </c>
      <c r="M88" s="11">
        <v>5.4614543742920088</v>
      </c>
      <c r="N88" s="11">
        <v>1.3293837140792739</v>
      </c>
      <c r="P88" s="11"/>
      <c r="Q88" s="11"/>
      <c r="R88" s="11"/>
      <c r="S88" s="341"/>
      <c r="T88" s="341"/>
      <c r="U88" s="341"/>
    </row>
    <row r="89" spans="1:30" x14ac:dyDescent="0.3">
      <c r="A89" t="str">
        <f t="shared" si="49"/>
        <v>91 Elementary trades and related occupations</v>
      </c>
      <c r="B89" s="11">
        <v>8.233820284885178E-2</v>
      </c>
      <c r="C89" s="11">
        <v>0.56150173500271827</v>
      </c>
      <c r="D89" s="11">
        <f t="shared" si="50"/>
        <v>0.47916353215386648</v>
      </c>
      <c r="E89" s="11">
        <v>0.19472164215280194</v>
      </c>
      <c r="F89" s="11">
        <f t="shared" si="51"/>
        <v>0.67388517430666839</v>
      </c>
      <c r="G89" s="200">
        <f t="shared" si="52"/>
        <v>8.4255116491377624E-2</v>
      </c>
      <c r="I89" s="11" t="str">
        <f t="shared" ref="I89:I93" si="65">I78</f>
        <v>Skilled trades occupations</v>
      </c>
      <c r="J89" s="11">
        <v>14.095223007379976</v>
      </c>
      <c r="K89" s="11">
        <v>13.276195704222012</v>
      </c>
      <c r="L89" s="11">
        <v>-0.81902730315796501</v>
      </c>
      <c r="M89" s="11">
        <v>6.0706056137489783</v>
      </c>
      <c r="N89" s="11">
        <v>5.2515783105910137</v>
      </c>
      <c r="P89" s="11"/>
      <c r="Q89" s="11"/>
      <c r="R89" s="11"/>
      <c r="S89" s="341"/>
      <c r="T89" s="341"/>
      <c r="U89" s="341"/>
    </row>
    <row r="90" spans="1:30" x14ac:dyDescent="0.3">
      <c r="A90" t="str">
        <f t="shared" si="49"/>
        <v>92 Elementary administration and service occupations</v>
      </c>
      <c r="B90" s="11">
        <v>0.73708123360489275</v>
      </c>
      <c r="C90" s="11">
        <v>1.8064625630166862</v>
      </c>
      <c r="D90" s="11">
        <f t="shared" ref="D90" si="66">C90-B90</f>
        <v>1.0693813294117933</v>
      </c>
      <c r="E90" s="11">
        <v>0.66220527041180643</v>
      </c>
      <c r="F90" s="11">
        <f t="shared" ref="F90" si="67">SUM(D90:E90)</f>
        <v>1.7315865998235997</v>
      </c>
      <c r="G90" s="200">
        <f t="shared" ref="G90:G91" si="68">IF(B90&gt;0,(1+(E90/B90))^(1/($C$6-$B$6))-1,0)</f>
        <v>4.3660914858740796E-2</v>
      </c>
      <c r="I90" s="11" t="str">
        <f t="shared" si="65"/>
        <v>Caring, leisure and other service occupations</v>
      </c>
      <c r="J90" s="11">
        <v>12.419693515844008</v>
      </c>
      <c r="K90" s="11">
        <v>10.084400621228195</v>
      </c>
      <c r="L90" s="11">
        <v>-2.3352928946158142</v>
      </c>
      <c r="M90" s="11">
        <v>5.9968399785450526</v>
      </c>
      <c r="N90" s="11">
        <v>3.6615470839292392</v>
      </c>
      <c r="P90" s="11"/>
      <c r="Q90" s="11"/>
      <c r="R90" s="11"/>
      <c r="S90" s="341"/>
      <c r="T90" s="341"/>
      <c r="U90" s="341"/>
    </row>
    <row r="91" spans="1:30" x14ac:dyDescent="0.3">
      <c r="A91" t="str">
        <f t="shared" si="49"/>
        <v>All occupations</v>
      </c>
      <c r="B91" s="11">
        <f>SUM(B65:B90)</f>
        <v>47.914110923791952</v>
      </c>
      <c r="C91" s="11">
        <f t="shared" ref="C91:F91" si="69">SUM(C65:C90)</f>
        <v>89.274782430541549</v>
      </c>
      <c r="D91" s="11">
        <f t="shared" si="69"/>
        <v>41.360671506749576</v>
      </c>
      <c r="E91" s="11">
        <f t="shared" si="69"/>
        <v>33.58553851456778</v>
      </c>
      <c r="F91" s="11">
        <f t="shared" si="69"/>
        <v>74.946210021317341</v>
      </c>
      <c r="G91" s="200">
        <f t="shared" si="68"/>
        <v>3.6047070621748167E-2</v>
      </c>
      <c r="I91" s="11" t="str">
        <f t="shared" si="65"/>
        <v>Sales and customer service occupations</v>
      </c>
      <c r="J91" s="11">
        <v>9.6695113460129694</v>
      </c>
      <c r="K91" s="11">
        <v>8.5683251197632924</v>
      </c>
      <c r="L91" s="11">
        <v>-1.101186226249677</v>
      </c>
      <c r="M91" s="11">
        <v>4.5497145563977028</v>
      </c>
      <c r="N91" s="11">
        <v>3.4485283301480258</v>
      </c>
      <c r="P91" s="11"/>
      <c r="Q91" s="11"/>
      <c r="R91" s="11"/>
      <c r="S91" s="341"/>
      <c r="T91" s="341"/>
      <c r="U91" s="34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11.986003490856444</v>
      </c>
      <c r="K92" s="11">
        <v>14.226702459219393</v>
      </c>
      <c r="L92" s="11">
        <v>2.2406989683629472</v>
      </c>
      <c r="M92" s="11">
        <v>7.102065748091146</v>
      </c>
      <c r="N92" s="11">
        <v>9.3427647164540932</v>
      </c>
      <c r="P92" s="11"/>
      <c r="Q92" s="11"/>
      <c r="R92" s="11"/>
      <c r="S92" s="341"/>
      <c r="T92" s="341"/>
      <c r="U92" s="341"/>
    </row>
    <row r="93" spans="1:30" ht="25.5" x14ac:dyDescent="0.3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12.860045513714716</v>
      </c>
      <c r="K93" s="11">
        <v>14.148979017448831</v>
      </c>
      <c r="L93" s="11">
        <v>1.2889335037341141</v>
      </c>
      <c r="M93" s="11">
        <v>6.9355937016244891</v>
      </c>
      <c r="N93" s="11">
        <v>8.2245272053586032</v>
      </c>
      <c r="P93" s="11"/>
      <c r="Q93" s="11"/>
      <c r="R93" s="11"/>
      <c r="S93" s="341"/>
      <c r="T93" s="341"/>
      <c r="U93" s="341"/>
    </row>
    <row r="94" spans="1:30" x14ac:dyDescent="0.3">
      <c r="A94" t="str">
        <f t="shared" ref="A94:A120" si="71">A7</f>
        <v>11 Corporate managers and directors</v>
      </c>
      <c r="B94" s="11">
        <v>9.0860895159996602</v>
      </c>
      <c r="C94" s="11">
        <v>9.5835726234253187</v>
      </c>
      <c r="D94" s="11">
        <f>C94-B94</f>
        <v>0.49748310742565849</v>
      </c>
      <c r="E94" s="11">
        <v>5.1696196509464221</v>
      </c>
      <c r="F94" s="11">
        <f>SUM(D94:E94)</f>
        <v>5.6671027583720806</v>
      </c>
      <c r="G94" s="200">
        <f>IF(B94&gt;0,(1+(E94/B94))^(1/($C$6-$B$6))-1,0)</f>
        <v>3.0482895915217689E-2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3">
      <c r="A95" t="str">
        <f t="shared" si="71"/>
        <v>12 Other managers and proprietors</v>
      </c>
      <c r="B95" s="11">
        <v>2.848200738809759</v>
      </c>
      <c r="C95" s="11">
        <v>3.7279925828699461</v>
      </c>
      <c r="D95" s="11">
        <f t="shared" ref="D95:D118" si="72">C95-B95</f>
        <v>0.87979184406018707</v>
      </c>
      <c r="E95" s="11">
        <v>2.1587161270679656</v>
      </c>
      <c r="F95" s="11">
        <f t="shared" ref="F95:F118" si="73">SUM(D95:E95)</f>
        <v>3.0385079711281526</v>
      </c>
      <c r="G95" s="200">
        <f t="shared" ref="G95:G120" si="74">IF(B95&gt;0,(1+(E95/B95))^(1/($C$6-$B$6))-1,0)</f>
        <v>3.8325019837426089E-2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3">
      <c r="A96" t="str">
        <f t="shared" si="71"/>
        <v>21 Science, research, engineering and technology professionals</v>
      </c>
      <c r="B96" s="11">
        <v>8.276537217990823</v>
      </c>
      <c r="C96" s="11">
        <v>10.303929765786842</v>
      </c>
      <c r="D96" s="11">
        <f t="shared" si="72"/>
        <v>2.0273925477960191</v>
      </c>
      <c r="E96" s="11">
        <v>3.852796819771847</v>
      </c>
      <c r="F96" s="11">
        <f t="shared" si="73"/>
        <v>5.8801893675678656</v>
      </c>
      <c r="G96" s="200">
        <f t="shared" si="74"/>
        <v>2.5807536870077197E-2</v>
      </c>
      <c r="I96" s="11" t="str">
        <f>I85</f>
        <v>Managers, directors and senior officials</v>
      </c>
      <c r="J96" s="11">
        <f t="array" ref="J96:J104">MMULT(aggregation!$B$13:$AA$21,B239:B264)</f>
        <v>5.4238218704798262</v>
      </c>
      <c r="K96" s="11">
        <f t="array" ref="K96:K104">MMULT(aggregation!$B$13:$AA$21,C239:C264)</f>
        <v>3.0843681056490233</v>
      </c>
      <c r="L96" s="11">
        <f t="array" ref="L96:L104">MMULT(aggregation!$B$13:$AA$21,D239:D264)</f>
        <v>-2.3394537648308029</v>
      </c>
      <c r="M96" s="11">
        <f t="array" ref="M96:M104">MMULT(aggregation!$B$13:$AA$21,E239:E264)</f>
        <v>1.8593056191992543</v>
      </c>
      <c r="N96" s="11">
        <f t="array" ref="N96:N104">MMULT(aggregation!$B$13:$AA$21,F239:F264)</f>
        <v>-0.48014814563154862</v>
      </c>
      <c r="P96" s="11"/>
      <c r="Q96" s="11"/>
      <c r="R96" s="11"/>
      <c r="S96" s="341"/>
      <c r="T96" s="341"/>
      <c r="U96" s="341"/>
    </row>
    <row r="97" spans="1:21" x14ac:dyDescent="0.3">
      <c r="A97" t="str">
        <f t="shared" si="71"/>
        <v>22 Health professionals</v>
      </c>
      <c r="B97" s="11">
        <v>9.8464871956844053</v>
      </c>
      <c r="C97" s="11">
        <v>10.035156209651593</v>
      </c>
      <c r="D97" s="11">
        <f t="shared" si="72"/>
        <v>0.18866901396718738</v>
      </c>
      <c r="E97" s="11">
        <v>5.7386606584578592</v>
      </c>
      <c r="F97" s="11">
        <f t="shared" si="73"/>
        <v>5.9273296724250466</v>
      </c>
      <c r="G97" s="200">
        <f t="shared" si="74"/>
        <v>3.1086990026799599E-2</v>
      </c>
      <c r="I97" s="11" t="str">
        <f>I86</f>
        <v>Professional occupations</v>
      </c>
      <c r="J97" s="11">
        <v>4.7524431669654739</v>
      </c>
      <c r="K97" s="11">
        <v>2.6644361539438712</v>
      </c>
      <c r="L97" s="11">
        <v>-2.0880070130216022</v>
      </c>
      <c r="M97" s="11">
        <v>1.4137096900146524</v>
      </c>
      <c r="N97" s="11">
        <v>-0.67429732300694956</v>
      </c>
      <c r="P97" s="11"/>
      <c r="Q97" s="11"/>
      <c r="R97" s="11"/>
      <c r="S97" s="341"/>
      <c r="T97" s="341"/>
      <c r="U97" s="341"/>
    </row>
    <row r="98" spans="1:21" x14ac:dyDescent="0.3">
      <c r="A98" t="str">
        <f t="shared" si="71"/>
        <v>23 Teaching and other educational professionals</v>
      </c>
      <c r="B98" s="11">
        <v>5.6772645357811591</v>
      </c>
      <c r="C98" s="11">
        <v>3.0729351363328146</v>
      </c>
      <c r="D98" s="11">
        <f t="shared" ref="D98" si="75">C98-B98</f>
        <v>-2.6043293994483445</v>
      </c>
      <c r="E98" s="11">
        <v>2.2063621188750591</v>
      </c>
      <c r="F98" s="11">
        <f t="shared" ref="F98" si="76">SUM(D98:E98)</f>
        <v>-0.39796728057328545</v>
      </c>
      <c r="G98" s="200">
        <f t="shared" si="74"/>
        <v>2.2129198212684997E-2</v>
      </c>
      <c r="I98" s="11" t="str">
        <f>I87</f>
        <v>Associate professional occupations</v>
      </c>
      <c r="J98" s="11">
        <v>5.1283040620878371</v>
      </c>
      <c r="K98" s="11">
        <v>2.6373422980643451</v>
      </c>
      <c r="L98" s="11">
        <v>-2.4909617640234929</v>
      </c>
      <c r="M98" s="11">
        <v>1.3991833657672235</v>
      </c>
      <c r="N98" s="11">
        <v>-1.0917783982562694</v>
      </c>
      <c r="P98" s="11"/>
      <c r="Q98" s="11"/>
      <c r="R98" s="11"/>
      <c r="S98" s="341"/>
      <c r="T98" s="341"/>
      <c r="U98" s="341"/>
    </row>
    <row r="99" spans="1:21" x14ac:dyDescent="0.3">
      <c r="A99" t="str">
        <f t="shared" si="71"/>
        <v>24 Business, media and public service professionals</v>
      </c>
      <c r="B99" s="11">
        <v>9.8587477725490071</v>
      </c>
      <c r="C99" s="11">
        <v>10.730432423491665</v>
      </c>
      <c r="D99" s="11">
        <f t="shared" si="72"/>
        <v>0.87168465094265812</v>
      </c>
      <c r="E99" s="11">
        <v>5.3382763992341946</v>
      </c>
      <c r="F99" s="11">
        <f t="shared" si="73"/>
        <v>6.2099610501768527</v>
      </c>
      <c r="G99" s="200">
        <f t="shared" si="74"/>
        <v>2.926953848631908E-2</v>
      </c>
      <c r="I99" s="11" t="str">
        <f>I88</f>
        <v>Administrative and secretarial occupations</v>
      </c>
      <c r="J99" s="11">
        <v>6.5830633731027106</v>
      </c>
      <c r="K99" s="11">
        <v>1.534968193295974</v>
      </c>
      <c r="L99" s="11">
        <v>-5.0480951798067366</v>
      </c>
      <c r="M99" s="11">
        <v>1.5240001912213961</v>
      </c>
      <c r="N99" s="11">
        <v>-3.524094988585341</v>
      </c>
      <c r="P99" s="11"/>
      <c r="Q99" s="11"/>
      <c r="R99" s="11"/>
      <c r="S99" s="341"/>
      <c r="T99" s="341"/>
      <c r="U99" s="341"/>
    </row>
    <row r="100" spans="1:21" x14ac:dyDescent="0.3">
      <c r="A100" t="str">
        <f t="shared" si="71"/>
        <v>31 Science, engineering and technology associate professionals</v>
      </c>
      <c r="B100" s="11">
        <v>1.9460628475140151</v>
      </c>
      <c r="C100" s="11">
        <v>2.0394363897983956</v>
      </c>
      <c r="D100" s="11">
        <f t="shared" si="72"/>
        <v>9.337354228438044E-2</v>
      </c>
      <c r="E100" s="11">
        <v>0.85002865579271547</v>
      </c>
      <c r="F100" s="11">
        <f t="shared" si="73"/>
        <v>0.94340219807709591</v>
      </c>
      <c r="G100" s="200">
        <f t="shared" si="74"/>
        <v>2.4455192143636895E-2</v>
      </c>
      <c r="I100" s="11" t="str">
        <f t="shared" ref="I100:I104" si="77">I89</f>
        <v>Skilled trades occupations</v>
      </c>
      <c r="J100" s="11">
        <v>7.7751008389280134</v>
      </c>
      <c r="K100" s="11">
        <v>4.4437179153205317</v>
      </c>
      <c r="L100" s="11">
        <v>-3.3313829236074826</v>
      </c>
      <c r="M100" s="11">
        <v>2.3173286070940042</v>
      </c>
      <c r="N100" s="11">
        <v>-1.0140543165134783</v>
      </c>
      <c r="P100" s="11"/>
      <c r="Q100" s="11"/>
      <c r="R100" s="11"/>
      <c r="S100" s="341"/>
      <c r="T100" s="341"/>
      <c r="U100" s="341"/>
    </row>
    <row r="101" spans="1:21" x14ac:dyDescent="0.3">
      <c r="A101" t="str">
        <f t="shared" si="71"/>
        <v>32 Health and social care associate professionals</v>
      </c>
      <c r="B101" s="11">
        <v>3.4708237795724934</v>
      </c>
      <c r="C101" s="11">
        <v>7.724786127820737</v>
      </c>
      <c r="D101" s="11">
        <f t="shared" si="72"/>
        <v>4.253962348248244</v>
      </c>
      <c r="E101" s="11">
        <v>4.1164988812151808</v>
      </c>
      <c r="F101" s="11">
        <f t="shared" si="73"/>
        <v>8.3704612294634249</v>
      </c>
      <c r="G101" s="200">
        <f t="shared" si="74"/>
        <v>5.3522299557808184E-2</v>
      </c>
      <c r="I101" s="11" t="str">
        <f t="shared" si="77"/>
        <v>Caring, leisure and other service occupations</v>
      </c>
      <c r="J101" s="11">
        <v>2.9522057152155199</v>
      </c>
      <c r="K101" s="11">
        <v>1.5274627932483029</v>
      </c>
      <c r="L101" s="11">
        <v>-1.4247429219672165</v>
      </c>
      <c r="M101" s="11">
        <v>0.8046332864417125</v>
      </c>
      <c r="N101" s="11">
        <v>-0.62010963552550413</v>
      </c>
      <c r="P101" s="11"/>
      <c r="Q101" s="11"/>
      <c r="R101" s="11"/>
      <c r="S101" s="341"/>
      <c r="T101" s="341"/>
      <c r="U101" s="341"/>
    </row>
    <row r="102" spans="1:21" x14ac:dyDescent="0.3">
      <c r="A102" t="str">
        <f t="shared" si="71"/>
        <v>33 Protective service occupations</v>
      </c>
      <c r="B102" s="11">
        <v>1.124342968392632</v>
      </c>
      <c r="C102" s="11">
        <v>1.4209995577161691</v>
      </c>
      <c r="D102" s="11">
        <f t="shared" si="72"/>
        <v>0.29665658932353711</v>
      </c>
      <c r="E102" s="11">
        <v>0.49098845519748668</v>
      </c>
      <c r="F102" s="11">
        <f t="shared" si="73"/>
        <v>0.7876450445210238</v>
      </c>
      <c r="G102" s="200">
        <f t="shared" si="74"/>
        <v>2.4450209421493563E-2</v>
      </c>
      <c r="I102" s="11" t="str">
        <f t="shared" si="77"/>
        <v>Sales and customer service occupations</v>
      </c>
      <c r="J102" s="11">
        <v>5.8345108631323903</v>
      </c>
      <c r="K102" s="11">
        <v>2.4111333932969967</v>
      </c>
      <c r="L102" s="11">
        <v>-3.423377469835394</v>
      </c>
      <c r="M102" s="11">
        <v>1.489389108415643</v>
      </c>
      <c r="N102" s="11">
        <v>-1.9339883614197508</v>
      </c>
      <c r="P102" s="11"/>
      <c r="Q102" s="11"/>
      <c r="R102" s="11"/>
      <c r="S102" s="341"/>
      <c r="T102" s="341"/>
      <c r="U102" s="341"/>
    </row>
    <row r="103" spans="1:21" x14ac:dyDescent="0.3">
      <c r="A103" t="str">
        <f t="shared" si="71"/>
        <v>34 Culture, media and sports occupations</v>
      </c>
      <c r="B103" s="11">
        <v>2.7855782609015396</v>
      </c>
      <c r="C103" s="11">
        <v>2.5815882750732961</v>
      </c>
      <c r="D103" s="11">
        <f t="shared" ref="D103:D104" si="78">C103-B103</f>
        <v>-0.20398998582824346</v>
      </c>
      <c r="E103" s="11">
        <v>1.2227604309911255</v>
      </c>
      <c r="F103" s="11">
        <f t="shared" ref="F103:F104" si="79">SUM(D103:E103)</f>
        <v>1.0187704451628821</v>
      </c>
      <c r="G103" s="200">
        <f t="shared" si="74"/>
        <v>2.4558128215294905E-2</v>
      </c>
      <c r="I103" s="11" t="str">
        <f t="shared" si="77"/>
        <v>Process, plant and machine operatives</v>
      </c>
      <c r="J103" s="11">
        <v>9.6767092905676488</v>
      </c>
      <c r="K103" s="11">
        <v>5.4052975633542504</v>
      </c>
      <c r="L103" s="11">
        <v>-4.2714117272133985</v>
      </c>
      <c r="M103" s="11">
        <v>3.2795915979830585</v>
      </c>
      <c r="N103" s="11">
        <v>-0.99182012923033991</v>
      </c>
      <c r="P103" s="11"/>
      <c r="Q103" s="11"/>
      <c r="R103" s="11"/>
      <c r="S103" s="341"/>
      <c r="T103" s="341"/>
      <c r="U103" s="341"/>
    </row>
    <row r="104" spans="1:21" x14ac:dyDescent="0.3">
      <c r="A104" t="str">
        <f t="shared" si="71"/>
        <v>35 Business and public service associate professionals</v>
      </c>
      <c r="B104" s="11">
        <v>7.2118454489882708</v>
      </c>
      <c r="C104" s="11">
        <v>7.7504413924660005</v>
      </c>
      <c r="D104" s="11">
        <f t="shared" si="78"/>
        <v>0.53859594347772966</v>
      </c>
      <c r="E104" s="11">
        <v>3.8207037156991071</v>
      </c>
      <c r="F104" s="11">
        <f t="shared" si="79"/>
        <v>4.3592996591768367</v>
      </c>
      <c r="G104" s="200">
        <f t="shared" si="74"/>
        <v>2.8747115934672163E-2</v>
      </c>
      <c r="I104" s="11" t="str">
        <f t="shared" si="77"/>
        <v>Elementary occupations</v>
      </c>
      <c r="J104" s="11">
        <v>11.898984307562326</v>
      </c>
      <c r="K104" s="11">
        <v>8.2140980903167176</v>
      </c>
      <c r="L104" s="11">
        <v>-3.6848862172456087</v>
      </c>
      <c r="M104" s="11">
        <v>4.4239499344014765</v>
      </c>
      <c r="N104" s="11">
        <v>0.73906371715586783</v>
      </c>
      <c r="P104" s="11"/>
      <c r="Q104" s="11"/>
      <c r="R104" s="11"/>
      <c r="S104" s="341"/>
      <c r="T104" s="341"/>
      <c r="U104" s="341"/>
    </row>
    <row r="105" spans="1:21" x14ac:dyDescent="0.3">
      <c r="A105" t="str">
        <f t="shared" si="71"/>
        <v>41 Administrative occupations</v>
      </c>
      <c r="B105" s="11">
        <v>9.1944183745609376</v>
      </c>
      <c r="C105" s="11">
        <v>12.661037788495385</v>
      </c>
      <c r="D105" s="11">
        <f t="shared" si="72"/>
        <v>3.4666194139344473</v>
      </c>
      <c r="E105" s="11">
        <v>6.3197486962822653</v>
      </c>
      <c r="F105" s="11">
        <f t="shared" si="73"/>
        <v>9.7863681102167135</v>
      </c>
      <c r="G105" s="200">
        <f t="shared" si="74"/>
        <v>3.5492474132336138E-2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3">
      <c r="A106" t="str">
        <f t="shared" si="71"/>
        <v>42 Secretarial and related occupations</v>
      </c>
      <c r="B106" s="11">
        <v>1.3728268271190882</v>
      </c>
      <c r="C106" s="11">
        <v>2.0249051859202343</v>
      </c>
      <c r="D106" s="11">
        <f t="shared" si="72"/>
        <v>0.65207835880114606</v>
      </c>
      <c r="E106" s="11">
        <v>1.1082484499340386</v>
      </c>
      <c r="F106" s="11">
        <f t="shared" si="73"/>
        <v>1.7603268087351847</v>
      </c>
      <c r="G106" s="200">
        <f t="shared" si="74"/>
        <v>4.0243343877087279E-2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3">
      <c r="A107" t="str">
        <f t="shared" si="71"/>
        <v>51 Skilled agricultural and related trades</v>
      </c>
      <c r="B107" s="11">
        <v>0.34538868902250341</v>
      </c>
      <c r="C107" s="11">
        <v>0.51289022932313466</v>
      </c>
      <c r="D107" s="11">
        <f t="shared" si="72"/>
        <v>0.16750154030063125</v>
      </c>
      <c r="E107" s="11">
        <v>0.284397615231885</v>
      </c>
      <c r="F107" s="11">
        <f t="shared" si="73"/>
        <v>0.45189915553251625</v>
      </c>
      <c r="G107" s="200">
        <f t="shared" si="74"/>
        <v>4.0860050431783534E-2</v>
      </c>
      <c r="I107" s="11" t="str">
        <f>I96</f>
        <v>Managers, directors and senior officials</v>
      </c>
      <c r="J107" s="11">
        <f t="array" ref="J107:J115">MMULT(aggregation!$B$13:$AA$21,B268:B293)</f>
        <v>1.9213896349060804</v>
      </c>
      <c r="K107" s="11">
        <f t="array" ref="K107:K115">MMULT(aggregation!$B$13:$AA$21,C268:C293)</f>
        <v>0.97542761082735652</v>
      </c>
      <c r="L107" s="11">
        <f t="array" ref="L107:L115">MMULT(aggregation!$B$13:$AA$21,D268:D293)</f>
        <v>-0.94596202407872387</v>
      </c>
      <c r="M107" s="11">
        <f t="array" ref="M107:M115">MMULT(aggregation!$B$13:$AA$21,E268:E293)</f>
        <v>0.45242958092431562</v>
      </c>
      <c r="N107" s="11">
        <f t="array" ref="N107:N115">MMULT(aggregation!$B$13:$AA$21,F268:F293)</f>
        <v>-0.49353244315440825</v>
      </c>
      <c r="P107" s="11"/>
      <c r="Q107" s="11"/>
      <c r="R107" s="11"/>
      <c r="S107" s="341"/>
      <c r="T107" s="341"/>
      <c r="U107" s="341"/>
    </row>
    <row r="108" spans="1:21" x14ac:dyDescent="0.3">
      <c r="A108" t="str">
        <f t="shared" si="71"/>
        <v>52 Skilled metal, electrical and electronic trades</v>
      </c>
      <c r="B108" s="11">
        <v>0.95692385548505654</v>
      </c>
      <c r="C108" s="11">
        <v>1.3678272250516175</v>
      </c>
      <c r="D108" s="11">
        <f t="shared" si="72"/>
        <v>0.41090336956656093</v>
      </c>
      <c r="E108" s="11">
        <v>0.57455591573930986</v>
      </c>
      <c r="F108" s="11">
        <f t="shared" si="73"/>
        <v>0.98545928530587079</v>
      </c>
      <c r="G108" s="200">
        <f t="shared" si="74"/>
        <v>3.1847680431465797E-2</v>
      </c>
      <c r="I108" s="11" t="str">
        <f>I97</f>
        <v>Professional occupations</v>
      </c>
      <c r="J108" s="11">
        <v>1.7705772898092134</v>
      </c>
      <c r="K108" s="11">
        <v>1.0752642631298253</v>
      </c>
      <c r="L108" s="11">
        <v>-0.69531302667938821</v>
      </c>
      <c r="M108" s="11">
        <v>0.47676885216039455</v>
      </c>
      <c r="N108" s="11">
        <v>-0.21854417451899355</v>
      </c>
      <c r="P108" s="85"/>
      <c r="Q108" s="74"/>
      <c r="R108" s="74"/>
      <c r="S108" s="342"/>
      <c r="T108" s="342"/>
      <c r="U108" s="342"/>
    </row>
    <row r="109" spans="1:21" x14ac:dyDescent="0.3">
      <c r="A109" t="str">
        <f t="shared" si="71"/>
        <v>53 Skilled construction and building trades</v>
      </c>
      <c r="B109" s="11">
        <v>0.4832356462723717</v>
      </c>
      <c r="C109" s="11">
        <v>0.61046135803375567</v>
      </c>
      <c r="D109" s="11">
        <f t="shared" ref="D109" si="80">C109-B109</f>
        <v>0.12722571176138397</v>
      </c>
      <c r="E109" s="11">
        <v>0.28024603997290937</v>
      </c>
      <c r="F109" s="11">
        <f t="shared" ref="F109" si="81">SUM(D109:E109)</f>
        <v>0.40747175173429334</v>
      </c>
      <c r="G109" s="200">
        <f t="shared" si="74"/>
        <v>3.0961966912807171E-2</v>
      </c>
      <c r="I109" s="11" t="str">
        <f>I98</f>
        <v>Associate professional occupations</v>
      </c>
      <c r="J109" s="11">
        <v>1.8388289126831112</v>
      </c>
      <c r="K109" s="11">
        <v>1.1374992153499952</v>
      </c>
      <c r="L109" s="11">
        <v>-0.70132969733311623</v>
      </c>
      <c r="M109" s="11">
        <v>0.45039326520473721</v>
      </c>
      <c r="N109" s="11">
        <v>-0.25093643212837902</v>
      </c>
      <c r="P109" s="11"/>
      <c r="Q109" s="11"/>
      <c r="R109" s="11"/>
      <c r="S109" s="341"/>
      <c r="T109" s="341"/>
      <c r="U109" s="341"/>
    </row>
    <row r="110" spans="1:21" x14ac:dyDescent="0.3">
      <c r="A110" t="str">
        <f t="shared" si="71"/>
        <v>54 Textiles, printing and other skilled trades</v>
      </c>
      <c r="B110" s="11">
        <v>0.64773474534466513</v>
      </c>
      <c r="C110" s="11">
        <v>0.98742588664652065</v>
      </c>
      <c r="D110" s="11">
        <f t="shared" si="72"/>
        <v>0.33969114130185551</v>
      </c>
      <c r="E110" s="11">
        <v>0.46847337473268869</v>
      </c>
      <c r="F110" s="11">
        <f t="shared" si="73"/>
        <v>0.8081645160345442</v>
      </c>
      <c r="G110" s="200">
        <f t="shared" si="74"/>
        <v>3.6946934986062718E-2</v>
      </c>
      <c r="I110" s="11" t="str">
        <f>I99</f>
        <v>Administrative and secretarial occupations</v>
      </c>
      <c r="J110" s="11">
        <v>2.6838608339469654</v>
      </c>
      <c r="K110" s="11">
        <v>1.3992798830698803</v>
      </c>
      <c r="L110" s="11">
        <v>-1.2845809508770849</v>
      </c>
      <c r="M110" s="11">
        <v>0.6468308144835504</v>
      </c>
      <c r="N110" s="11">
        <v>-0.63775013639353451</v>
      </c>
      <c r="P110" s="11"/>
      <c r="Q110" s="11"/>
      <c r="R110" s="11"/>
      <c r="S110" s="341"/>
      <c r="T110" s="341"/>
      <c r="U110" s="341"/>
    </row>
    <row r="111" spans="1:21" x14ac:dyDescent="0.3">
      <c r="A111" t="str">
        <f t="shared" si="71"/>
        <v>61 Caring personal service occupations</v>
      </c>
      <c r="B111" s="11">
        <v>5.0871228328913283</v>
      </c>
      <c r="C111" s="11">
        <v>7.5929014662941867</v>
      </c>
      <c r="D111" s="11">
        <f>C111-B111</f>
        <v>2.5057786334028584</v>
      </c>
      <c r="E111" s="11">
        <v>4.2640186348299292</v>
      </c>
      <c r="F111" s="11">
        <f>SUM(D111:E111)</f>
        <v>6.7697972682327876</v>
      </c>
      <c r="G111" s="200">
        <f t="shared" si="74"/>
        <v>4.142059074901594E-2</v>
      </c>
      <c r="I111" s="11" t="str">
        <f t="shared" ref="I111:I115" si="82">I100</f>
        <v>Skilled trades occupations</v>
      </c>
      <c r="J111" s="11">
        <v>5.0753914863891385</v>
      </c>
      <c r="K111" s="11">
        <v>1.2909168426664235</v>
      </c>
      <c r="L111" s="11">
        <v>-3.7844746437227155</v>
      </c>
      <c r="M111" s="11">
        <v>0.83216855919560406</v>
      </c>
      <c r="N111" s="11">
        <v>-2.9523060845271116</v>
      </c>
      <c r="P111" s="11"/>
      <c r="Q111" s="11"/>
      <c r="R111" s="11"/>
      <c r="S111" s="341"/>
      <c r="T111" s="341"/>
      <c r="U111" s="341"/>
    </row>
    <row r="112" spans="1:21" x14ac:dyDescent="0.3">
      <c r="A112" t="str">
        <f t="shared" si="71"/>
        <v>62 Leisure, travel and related personal service occupations</v>
      </c>
      <c r="B112" s="11">
        <v>0.93384356837798443</v>
      </c>
      <c r="C112" s="11">
        <v>1.4851133251436135</v>
      </c>
      <c r="D112" s="11">
        <f t="shared" ref="D112:D113" si="83">C112-B112</f>
        <v>0.55126975676562906</v>
      </c>
      <c r="E112" s="11">
        <v>0.74088515744118599</v>
      </c>
      <c r="F112" s="11">
        <f t="shared" ref="F112:F113" si="84">SUM(D112:E112)</f>
        <v>1.2921549142068152</v>
      </c>
      <c r="G112" s="200">
        <f t="shared" si="74"/>
        <v>3.9707928633863077E-2</v>
      </c>
      <c r="I112" s="11" t="str">
        <f t="shared" si="82"/>
        <v>Caring, leisure and other service occupations</v>
      </c>
      <c r="J112" s="11">
        <v>1.2999040034971308</v>
      </c>
      <c r="K112" s="11">
        <v>0.52893042126835366</v>
      </c>
      <c r="L112" s="11">
        <v>-0.77097358222877721</v>
      </c>
      <c r="M112" s="11">
        <v>0.23759323824374648</v>
      </c>
      <c r="N112" s="11">
        <v>-0.53338034398503076</v>
      </c>
      <c r="P112" s="11"/>
      <c r="Q112" s="11"/>
      <c r="R112" s="11"/>
      <c r="S112" s="341"/>
      <c r="T112" s="341"/>
      <c r="U112" s="341"/>
    </row>
    <row r="113" spans="1:21" x14ac:dyDescent="0.3">
      <c r="A113" t="str">
        <f t="shared" si="71"/>
        <v>63 Community and civil enforcement occupations</v>
      </c>
      <c r="B113" s="11">
        <v>6.8915963889262952E-2</v>
      </c>
      <c r="C113" s="11">
        <v>9.2318389966618508E-2</v>
      </c>
      <c r="D113" s="11">
        <f t="shared" si="83"/>
        <v>2.3402426077355556E-2</v>
      </c>
      <c r="E113" s="11">
        <v>5.2770939321376407E-2</v>
      </c>
      <c r="F113" s="11">
        <f t="shared" si="84"/>
        <v>7.6173365398731957E-2</v>
      </c>
      <c r="G113" s="200">
        <f t="shared" si="74"/>
        <v>3.8631763971014754E-2</v>
      </c>
      <c r="I113" s="11" t="str">
        <f t="shared" si="82"/>
        <v>Sales and customer service occupations</v>
      </c>
      <c r="J113" s="11">
        <v>3.5077601795974527</v>
      </c>
      <c r="K113" s="11">
        <v>1.2482671005963828</v>
      </c>
      <c r="L113" s="11">
        <v>-2.2594930790010697</v>
      </c>
      <c r="M113" s="11">
        <v>0.56543600051615805</v>
      </c>
      <c r="N113" s="11">
        <v>-1.6940570784849118</v>
      </c>
      <c r="P113" s="11"/>
      <c r="Q113" s="11"/>
      <c r="R113" s="11"/>
      <c r="S113" s="341"/>
      <c r="T113" s="341"/>
      <c r="U113" s="341"/>
    </row>
    <row r="114" spans="1:21" x14ac:dyDescent="0.3">
      <c r="A114" t="str">
        <f t="shared" si="71"/>
        <v>71 Sales occupations</v>
      </c>
      <c r="B114" s="11">
        <v>3.9468215236163324</v>
      </c>
      <c r="C114" s="11">
        <v>5.7259854878755334</v>
      </c>
      <c r="D114" s="11">
        <f t="shared" si="72"/>
        <v>1.779163964259201</v>
      </c>
      <c r="E114" s="11">
        <v>2.5626202952945922</v>
      </c>
      <c r="F114" s="11">
        <f t="shared" si="73"/>
        <v>4.3417842595537932</v>
      </c>
      <c r="G114" s="200">
        <f t="shared" si="74"/>
        <v>3.3918764687660419E-2</v>
      </c>
      <c r="I114" s="11" t="str">
        <f t="shared" si="82"/>
        <v>Process, plant and machine operatives</v>
      </c>
      <c r="J114" s="11">
        <v>6.1675332440480766</v>
      </c>
      <c r="K114" s="11">
        <v>1.1865880765808936</v>
      </c>
      <c r="L114" s="11">
        <v>-4.9809451674671834</v>
      </c>
      <c r="M114" s="11">
        <v>0.99228262885536567</v>
      </c>
      <c r="N114" s="11">
        <v>-3.9886625386118175</v>
      </c>
      <c r="P114" s="11"/>
      <c r="Q114" s="11"/>
      <c r="R114" s="11"/>
      <c r="S114" s="341"/>
      <c r="T114" s="341"/>
      <c r="U114" s="341"/>
    </row>
    <row r="115" spans="1:21" x14ac:dyDescent="0.3">
      <c r="A115" t="str">
        <f t="shared" si="71"/>
        <v>72 Customer service occupations</v>
      </c>
      <c r="B115" s="11">
        <v>1.4180283873247137</v>
      </c>
      <c r="C115" s="11">
        <v>2.1687493220488063</v>
      </c>
      <c r="D115" s="11">
        <f t="shared" si="72"/>
        <v>0.75072093472409263</v>
      </c>
      <c r="E115" s="11">
        <v>0.94869291569278635</v>
      </c>
      <c r="F115" s="11">
        <f t="shared" si="73"/>
        <v>1.699413850416879</v>
      </c>
      <c r="G115" s="200">
        <f t="shared" si="74"/>
        <v>3.4738987491299778E-2</v>
      </c>
      <c r="I115" s="11" t="str">
        <f t="shared" si="82"/>
        <v>Elementary occupations</v>
      </c>
      <c r="J115" s="11">
        <v>7.5247359161494209</v>
      </c>
      <c r="K115" s="11">
        <v>3.3076512238269711</v>
      </c>
      <c r="L115" s="11">
        <v>-4.2170846923224499</v>
      </c>
      <c r="M115" s="11">
        <v>1.5878302085265976</v>
      </c>
      <c r="N115" s="11">
        <v>-2.6292544837958522</v>
      </c>
      <c r="P115" s="11"/>
      <c r="Q115" s="11"/>
      <c r="R115" s="11"/>
      <c r="S115" s="341"/>
      <c r="T115" s="341"/>
      <c r="U115" s="341"/>
    </row>
    <row r="116" spans="1:21" x14ac:dyDescent="0.3">
      <c r="A116" t="str">
        <f t="shared" si="71"/>
        <v>81 Process, plant and machine operatives</v>
      </c>
      <c r="B116" s="11">
        <v>0.59962612406069482</v>
      </c>
      <c r="C116" s="11">
        <v>1.4950693176859413</v>
      </c>
      <c r="D116" s="11">
        <f t="shared" ref="D116:D117" si="85">C116-B116</f>
        <v>0.89544319362524649</v>
      </c>
      <c r="E116" s="11">
        <v>0.58490793450728595</v>
      </c>
      <c r="F116" s="11">
        <f t="shared" ref="F116:F117" si="86">SUM(D116:E116)</f>
        <v>1.4803511281325323</v>
      </c>
      <c r="G116" s="200">
        <f t="shared" si="74"/>
        <v>4.6432293552423065E-2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3">
      <c r="A117" t="str">
        <f t="shared" si="71"/>
        <v>82 Transport and mobile machine drivers and operatives</v>
      </c>
      <c r="B117" s="11">
        <v>0.91450947971928243</v>
      </c>
      <c r="C117" s="11">
        <v>1.7062609715757153</v>
      </c>
      <c r="D117" s="11">
        <f t="shared" si="85"/>
        <v>0.7917514918564329</v>
      </c>
      <c r="E117" s="11">
        <v>0.86903798771679042</v>
      </c>
      <c r="F117" s="11">
        <f t="shared" si="86"/>
        <v>1.6607894795732232</v>
      </c>
      <c r="G117" s="200">
        <f t="shared" si="74"/>
        <v>4.5537860827944199E-2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3">
      <c r="A118" t="str">
        <f t="shared" si="71"/>
        <v>91 Elementary trades and related occupations</v>
      </c>
      <c r="B118" s="11">
        <v>0.29048266008321377</v>
      </c>
      <c r="C118" s="11">
        <v>1.4307624812938422</v>
      </c>
      <c r="D118" s="11">
        <f t="shared" si="72"/>
        <v>1.1402798212106284</v>
      </c>
      <c r="E118" s="11">
        <v>0.74368921335253002</v>
      </c>
      <c r="F118" s="11">
        <f t="shared" si="73"/>
        <v>1.8839690345631586</v>
      </c>
      <c r="G118" s="200">
        <f t="shared" si="74"/>
        <v>8.8340608331583415E-2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3">
      <c r="A119" t="str">
        <f t="shared" si="71"/>
        <v>92 Elementary administration and service occupations</v>
      </c>
      <c r="B119" s="11">
        <v>2.6413229067033677</v>
      </c>
      <c r="C119" s="11">
        <v>3.4638014357797484</v>
      </c>
      <c r="D119" s="11">
        <f t="shared" ref="D119" si="87">C119-B119</f>
        <v>0.82247852907638075</v>
      </c>
      <c r="E119" s="11">
        <v>1.9680100392578594</v>
      </c>
      <c r="F119" s="11">
        <f t="shared" ref="F119" si="88">SUM(D119:E119)</f>
        <v>2.79048856833424</v>
      </c>
      <c r="G119" s="200">
        <f t="shared" si="74"/>
        <v>3.7817776794836444E-2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3">
      <c r="A120" t="str">
        <f t="shared" si="71"/>
        <v>All occupations</v>
      </c>
      <c r="B120" s="11">
        <f>SUM(B94:B119)</f>
        <v>91.033181866654544</v>
      </c>
      <c r="C120" s="11">
        <f t="shared" ref="C120:F120" si="89">SUM(C94:C119)</f>
        <v>112.29678035556742</v>
      </c>
      <c r="D120" s="11">
        <f t="shared" si="89"/>
        <v>21.263598488912866</v>
      </c>
      <c r="E120" s="11">
        <f t="shared" si="89"/>
        <v>56.735715122556407</v>
      </c>
      <c r="F120" s="11">
        <f t="shared" si="89"/>
        <v>77.999313611469233</v>
      </c>
      <c r="G120" s="200">
        <f t="shared" si="74"/>
        <v>3.2822175301435497E-2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26" x14ac:dyDescent="0.3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3">
      <c r="A123" t="str">
        <f t="shared" ref="A123:A149" si="91">A36</f>
        <v>11 Corporate managers and directors</v>
      </c>
      <c r="B123" s="11">
        <v>1.9094439541107</v>
      </c>
      <c r="C123" s="11">
        <v>1.8574307593287285</v>
      </c>
      <c r="D123" s="11">
        <f>C123-B123</f>
        <v>-5.2013194781971528E-2</v>
      </c>
      <c r="E123" s="11">
        <v>0.94987487233303081</v>
      </c>
      <c r="F123" s="11">
        <f>SUM(D123:E123)</f>
        <v>0.89786167755105928</v>
      </c>
      <c r="G123" s="200">
        <f>IF(B123&gt;0,(1+(E123/B123))^(1/($C$6-$B$6))-1,0)</f>
        <v>2.728365435698632E-2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3">
      <c r="A124" t="str">
        <f t="shared" si="91"/>
        <v>12 Other managers and proprietors</v>
      </c>
      <c r="B124" s="11">
        <v>0.85331775459581505</v>
      </c>
      <c r="C124" s="11">
        <v>1.0168574588571169</v>
      </c>
      <c r="D124" s="11">
        <f t="shared" ref="D124:D139" si="92">C124-B124</f>
        <v>0.16353970426130182</v>
      </c>
      <c r="E124" s="11">
        <v>0.58385732480830577</v>
      </c>
      <c r="F124" s="11">
        <f t="shared" ref="F124:F131" si="93">SUM(D124:E124)</f>
        <v>0.74739702906960759</v>
      </c>
      <c r="G124" s="200">
        <f t="shared" ref="G124:G147" si="94">IF(B124&gt;0,(1+(E124/B124))^(1/($C$6-$B$6))-1,0)</f>
        <v>3.5364475401279405E-2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3">
      <c r="A125" t="str">
        <f t="shared" si="91"/>
        <v>21 Science, research, engineering and technology professionals</v>
      </c>
      <c r="B125" s="11">
        <v>0.91795069522373196</v>
      </c>
      <c r="C125" s="11">
        <v>1.125634376725285</v>
      </c>
      <c r="D125" s="11">
        <f t="shared" si="92"/>
        <v>0.20768368150155303</v>
      </c>
      <c r="E125" s="11">
        <v>0.40705455461583162</v>
      </c>
      <c r="F125" s="11">
        <f t="shared" si="93"/>
        <v>0.61473823611738465</v>
      </c>
      <c r="G125" s="200">
        <f t="shared" si="94"/>
        <v>2.4770345878779576E-2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3">
      <c r="A126" t="str">
        <f t="shared" si="91"/>
        <v>22 Health professionals</v>
      </c>
      <c r="B126" s="11">
        <v>3.3799516135765466</v>
      </c>
      <c r="C126" s="11">
        <v>0.65737753387126818</v>
      </c>
      <c r="D126" s="11">
        <f t="shared" si="92"/>
        <v>-2.7225740797052786</v>
      </c>
      <c r="E126" s="11">
        <v>0.61091256457997767</v>
      </c>
      <c r="F126" s="11">
        <f t="shared" si="93"/>
        <v>-2.1116615151253009</v>
      </c>
      <c r="G126" s="200">
        <f t="shared" si="94"/>
        <v>1.1137997369577768E-2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3">
      <c r="A127" t="str">
        <f t="shared" si="91"/>
        <v>23 Teaching and other educational professionals</v>
      </c>
      <c r="B127" s="11">
        <v>0.42480829054441882</v>
      </c>
      <c r="C127" s="11">
        <v>0.21796390815271635</v>
      </c>
      <c r="D127" s="11">
        <f t="shared" si="92"/>
        <v>-0.20684438239170247</v>
      </c>
      <c r="E127" s="11">
        <v>7.0312866520571296E-2</v>
      </c>
      <c r="F127" s="11">
        <f t="shared" si="93"/>
        <v>-0.13653151587113116</v>
      </c>
      <c r="G127" s="200">
        <f>IF(B127&gt;0,(1+(E127/B127))^(1/($C$6-$B$6))-1,0)</f>
        <v>1.0263277037588781E-2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3">
      <c r="A128" t="str">
        <f t="shared" si="91"/>
        <v>24 Business, media and public service professionals</v>
      </c>
      <c r="B128" s="11">
        <v>1.0978875781247195</v>
      </c>
      <c r="C128" s="11">
        <v>0.99700495935848099</v>
      </c>
      <c r="D128" s="11">
        <f t="shared" si="92"/>
        <v>-0.1008826187662385</v>
      </c>
      <c r="E128" s="11">
        <v>0.38047994301523835</v>
      </c>
      <c r="F128" s="11">
        <f t="shared" si="93"/>
        <v>0.27959732424899986</v>
      </c>
      <c r="G128" s="200">
        <f t="shared" si="94"/>
        <v>2.0034754937488852E-2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3">
      <c r="A129" t="str">
        <f t="shared" si="91"/>
        <v>31 Science, engineering and technology associate professionals</v>
      </c>
      <c r="B129" s="11">
        <v>0.39588247104166968</v>
      </c>
      <c r="C129" s="11">
        <v>0.50723636153270435</v>
      </c>
      <c r="D129" s="11">
        <f t="shared" si="92"/>
        <v>0.11135389049103467</v>
      </c>
      <c r="E129" s="11">
        <v>0.19936866662614089</v>
      </c>
      <c r="F129" s="11">
        <f t="shared" si="93"/>
        <v>0.31072255711717556</v>
      </c>
      <c r="G129" s="200">
        <f t="shared" si="94"/>
        <v>2.7564118608802257E-2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3">
      <c r="A130" t="str">
        <f t="shared" si="91"/>
        <v>32 Health and social care associate professionals</v>
      </c>
      <c r="B130" s="11">
        <v>1.8312643023177801</v>
      </c>
      <c r="C130" s="11">
        <v>1.3089677811542919</v>
      </c>
      <c r="D130" s="11">
        <f t="shared" si="92"/>
        <v>-0.52229652116348824</v>
      </c>
      <c r="E130" s="11">
        <v>0.8100250462153985</v>
      </c>
      <c r="F130" s="11">
        <f t="shared" si="93"/>
        <v>0.28772852505191027</v>
      </c>
      <c r="G130" s="200">
        <f t="shared" si="94"/>
        <v>2.47179174655352E-2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3">
      <c r="A131" t="str">
        <f t="shared" si="91"/>
        <v>33 Protective service occupations</v>
      </c>
      <c r="B131" s="11">
        <v>0.33206457252668936</v>
      </c>
      <c r="C131" s="11">
        <v>0.42456479066631758</v>
      </c>
      <c r="D131" s="11">
        <f t="shared" si="92"/>
        <v>9.2500218139628221E-2</v>
      </c>
      <c r="E131" s="11">
        <v>0.12749148315581629</v>
      </c>
      <c r="F131" s="11">
        <f t="shared" si="93"/>
        <v>0.21999170129544451</v>
      </c>
      <c r="G131" s="200">
        <f t="shared" si="94"/>
        <v>2.1898425391477128E-2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3">
      <c r="A132" t="str">
        <f t="shared" si="91"/>
        <v>34 Culture, media and sports occupations</v>
      </c>
      <c r="B132" s="11">
        <v>0.40391274259369137</v>
      </c>
      <c r="C132" s="11">
        <v>0.46386653221143126</v>
      </c>
      <c r="D132" s="11">
        <f t="shared" si="92"/>
        <v>5.9953789617739894E-2</v>
      </c>
      <c r="E132" s="11">
        <v>0.20327750647640594</v>
      </c>
      <c r="F132" s="11">
        <f t="shared" ref="F132:F133" si="95">SUM(D132:E132)</f>
        <v>0.26323129609414586</v>
      </c>
      <c r="G132" s="200">
        <f t="shared" si="94"/>
        <v>2.7548861206872166E-2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3">
      <c r="A133" t="str">
        <f t="shared" si="91"/>
        <v>35 Business and public service associate professionals</v>
      </c>
      <c r="B133" s="11">
        <v>2.1830122364258782</v>
      </c>
      <c r="C133" s="11">
        <v>2.4623971375195155</v>
      </c>
      <c r="D133" s="11">
        <f t="shared" si="92"/>
        <v>0.27938490109363734</v>
      </c>
      <c r="E133" s="11">
        <v>1.130411986713139</v>
      </c>
      <c r="F133" s="11">
        <f t="shared" si="95"/>
        <v>1.4097968878067764</v>
      </c>
      <c r="G133" s="200">
        <f t="shared" si="94"/>
        <v>2.8208977643306099E-2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3">
      <c r="A134" t="str">
        <f t="shared" si="91"/>
        <v>41 Administrative occupations</v>
      </c>
      <c r="B134" s="11">
        <v>3.4275540596470844</v>
      </c>
      <c r="C134" s="11">
        <v>4.5935831268623337</v>
      </c>
      <c r="D134" s="11">
        <f t="shared" si="92"/>
        <v>1.1660290672152493</v>
      </c>
      <c r="E134" s="11">
        <v>2.4367032797402635</v>
      </c>
      <c r="F134" s="11">
        <f t="shared" ref="F134:F137" si="96">SUM(D134:E134)</f>
        <v>3.6027323469555128</v>
      </c>
      <c r="G134" s="200">
        <f t="shared" si="94"/>
        <v>3.645053595746317E-2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3">
      <c r="A135" t="str">
        <f t="shared" si="91"/>
        <v>42 Secretarial and related occupations</v>
      </c>
      <c r="B135" s="11">
        <v>0.70672062399025171</v>
      </c>
      <c r="C135" s="11">
        <v>0.71589519004079505</v>
      </c>
      <c r="D135" s="11">
        <f t="shared" si="92"/>
        <v>9.1745660505433424E-3</v>
      </c>
      <c r="E135" s="11">
        <v>0.44746741854728672</v>
      </c>
      <c r="F135" s="11">
        <f t="shared" si="96"/>
        <v>0.45664198459783006</v>
      </c>
      <c r="G135" s="200">
        <f t="shared" si="94"/>
        <v>3.324168824904139E-2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0.13700200541335261</v>
      </c>
      <c r="C136" s="11">
        <v>0.21410150036730022</v>
      </c>
      <c r="D136" s="11">
        <f t="shared" si="92"/>
        <v>7.7099494953947606E-2</v>
      </c>
      <c r="E136" s="11">
        <v>0.12240315043702536</v>
      </c>
      <c r="F136" s="11">
        <f t="shared" si="96"/>
        <v>0.19950264539097295</v>
      </c>
      <c r="G136" s="200">
        <f t="shared" si="94"/>
        <v>4.3478356013208819E-2</v>
      </c>
      <c r="I136" s="11"/>
      <c r="J136" s="11"/>
      <c r="K136" s="11"/>
      <c r="L136" s="11"/>
      <c r="M136" s="11"/>
      <c r="N136" s="11"/>
      <c r="O136" s="71"/>
    </row>
    <row r="137" spans="1:21" x14ac:dyDescent="0.3">
      <c r="A137" t="str">
        <f t="shared" si="91"/>
        <v>52 Skilled metal, electrical and electronic trades</v>
      </c>
      <c r="B137" s="11">
        <v>0.37271386732364625</v>
      </c>
      <c r="C137" s="11">
        <v>0.49183097322311375</v>
      </c>
      <c r="D137" s="11">
        <f t="shared" si="92"/>
        <v>0.1191171058994675</v>
      </c>
      <c r="E137" s="11">
        <v>0.18510255985581367</v>
      </c>
      <c r="F137" s="11">
        <f t="shared" si="96"/>
        <v>0.30421966575528114</v>
      </c>
      <c r="G137" s="200">
        <f t="shared" si="94"/>
        <v>2.7245821118112579E-2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0.36860761709271006</v>
      </c>
      <c r="C138" s="11">
        <v>0.48625893071102161</v>
      </c>
      <c r="D138" s="11">
        <f t="shared" si="92"/>
        <v>0.11765131361831155</v>
      </c>
      <c r="E138" s="11">
        <v>0.23154413736605528</v>
      </c>
      <c r="F138" s="11">
        <f t="shared" ref="F138" si="97">SUM(D138:E138)</f>
        <v>0.34919545098436683</v>
      </c>
      <c r="G138" s="200">
        <f t="shared" si="94"/>
        <v>3.3030438504201065E-2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3">
      <c r="A139" t="str">
        <f t="shared" si="91"/>
        <v>54 Textiles, printing and other skilled trades</v>
      </c>
      <c r="B139" s="11">
        <v>0.25854393497278039</v>
      </c>
      <c r="C139" s="11">
        <v>0.32379238943069005</v>
      </c>
      <c r="D139" s="11">
        <f t="shared" si="92"/>
        <v>6.5248454457909666E-2</v>
      </c>
      <c r="E139" s="11">
        <v>0.16688582235056312</v>
      </c>
      <c r="F139" s="11">
        <f t="shared" ref="F139" si="98">SUM(D139:E139)</f>
        <v>0.23213427680847279</v>
      </c>
      <c r="G139" s="200">
        <f t="shared" si="94"/>
        <v>3.3759627748740195E-2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3">
      <c r="A140" t="str">
        <f t="shared" si="91"/>
        <v>61 Caring personal service occupations</v>
      </c>
      <c r="B140" s="11">
        <v>4.2006331630226796</v>
      </c>
      <c r="C140" s="11">
        <v>4.432094981420267</v>
      </c>
      <c r="D140" s="11">
        <f>C140-B140</f>
        <v>0.23146181839758739</v>
      </c>
      <c r="E140" s="11">
        <v>2.5025205577013221</v>
      </c>
      <c r="F140" s="11">
        <f>SUM(D140:E140)</f>
        <v>2.7339823760989095</v>
      </c>
      <c r="G140" s="200">
        <f t="shared" si="94"/>
        <v>3.1646624410378132E-2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3">
      <c r="A141" t="str">
        <f t="shared" si="91"/>
        <v>62 Leisure, travel and related personal service occupations</v>
      </c>
      <c r="B141" s="11">
        <v>0.62586487366166454</v>
      </c>
      <c r="C141" s="11">
        <v>0.85244358778270313</v>
      </c>
      <c r="D141" s="11">
        <f t="shared" ref="D141:D147" si="99">C141-B141</f>
        <v>0.22657871412103858</v>
      </c>
      <c r="E141" s="11">
        <v>0.44613160352408021</v>
      </c>
      <c r="F141" s="11">
        <f t="shared" ref="F141:F142" si="100">SUM(D141:E141)</f>
        <v>0.67271031764511879</v>
      </c>
      <c r="G141" s="200">
        <f t="shared" si="94"/>
        <v>3.6527555441227877E-2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3">
      <c r="A142" t="str">
        <f t="shared" si="91"/>
        <v>63 Community and civil enforcement occupations</v>
      </c>
      <c r="B142" s="11">
        <v>2.1113658703558812E-2</v>
      </c>
      <c r="C142" s="11">
        <v>2.3137653568752872E-2</v>
      </c>
      <c r="D142" s="11">
        <f t="shared" si="99"/>
        <v>2.0239948651940599E-3</v>
      </c>
      <c r="E142" s="11">
        <v>1.1726947996042987E-2</v>
      </c>
      <c r="F142" s="11">
        <f t="shared" si="100"/>
        <v>1.3750942861237047E-2</v>
      </c>
      <c r="G142" s="200">
        <f t="shared" si="94"/>
        <v>2.9887637402001399E-2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3">
      <c r="A143" t="str">
        <f t="shared" si="91"/>
        <v>71 Sales occupations</v>
      </c>
      <c r="B143" s="11">
        <v>1.3101473766722389</v>
      </c>
      <c r="C143" s="11">
        <v>1.6573629935864123</v>
      </c>
      <c r="D143" s="11">
        <f t="shared" si="99"/>
        <v>0.34721561691417335</v>
      </c>
      <c r="E143" s="11">
        <v>0.77363420469422917</v>
      </c>
      <c r="F143" s="11">
        <f t="shared" ref="F143:F144" si="101">SUM(D143:E143)</f>
        <v>1.1208498216084024</v>
      </c>
      <c r="G143" s="200">
        <f t="shared" si="94"/>
        <v>3.1419812649255752E-2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3">
      <c r="A144" t="str">
        <f t="shared" si="91"/>
        <v>72 Customer service occupations</v>
      </c>
      <c r="B144" s="11">
        <v>0.47144578174191826</v>
      </c>
      <c r="C144" s="11">
        <v>0.77309528390440607</v>
      </c>
      <c r="D144" s="11">
        <f t="shared" si="99"/>
        <v>0.30164950216248781</v>
      </c>
      <c r="E144" s="11">
        <v>0.32770664449475867</v>
      </c>
      <c r="F144" s="11">
        <f t="shared" si="101"/>
        <v>0.62935614665724648</v>
      </c>
      <c r="G144" s="200">
        <f t="shared" si="94"/>
        <v>3.5809423700077225E-2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3">
      <c r="A145" t="str">
        <f t="shared" si="91"/>
        <v>81 Process, plant and machine operatives</v>
      </c>
      <c r="B145" s="11">
        <v>0.27664983738928806</v>
      </c>
      <c r="C145" s="11">
        <v>0.44036906790970776</v>
      </c>
      <c r="D145" s="11">
        <f t="shared" si="99"/>
        <v>0.1637192305204197</v>
      </c>
      <c r="E145" s="11">
        <v>0.17350269468195548</v>
      </c>
      <c r="F145" s="11">
        <f t="shared" ref="F145:F146" si="102">SUM(D145:E145)</f>
        <v>0.33722192520237515</v>
      </c>
      <c r="G145" s="200">
        <f t="shared" si="94"/>
        <v>3.298802084137753E-2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3">
      <c r="A146" t="str">
        <f t="shared" si="91"/>
        <v>82 Transport and mobile machine drivers and operatives</v>
      </c>
      <c r="B146" s="11">
        <v>0.46228951818627984</v>
      </c>
      <c r="C146" s="11">
        <v>0.73448343883999434</v>
      </c>
      <c r="D146" s="11">
        <f t="shared" si="99"/>
        <v>0.27219392065371451</v>
      </c>
      <c r="E146" s="11">
        <v>0.38590528318381845</v>
      </c>
      <c r="F146" s="11">
        <f t="shared" si="102"/>
        <v>0.65809920383753295</v>
      </c>
      <c r="G146" s="200">
        <f t="shared" si="94"/>
        <v>4.1290974199986952E-2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3">
      <c r="A147" t="str">
        <f t="shared" si="91"/>
        <v>91 Elementary trades and related occupations</v>
      </c>
      <c r="B147" s="11">
        <v>0.20495657990485608</v>
      </c>
      <c r="C147" s="11">
        <v>0.88279371516376515</v>
      </c>
      <c r="D147" s="11">
        <f t="shared" si="99"/>
        <v>0.6778371352589091</v>
      </c>
      <c r="E147" s="11">
        <v>0.46811204008986418</v>
      </c>
      <c r="F147" s="11">
        <f t="shared" ref="F147" si="103">SUM(D147:E147)</f>
        <v>1.1459491753487732</v>
      </c>
      <c r="G147" s="200">
        <f t="shared" si="94"/>
        <v>8.2496494223071259E-2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3">
      <c r="A148" t="str">
        <f t="shared" si="91"/>
        <v>92 Elementary administration and service occupations</v>
      </c>
      <c r="B148" s="11">
        <v>1.2543753307393342</v>
      </c>
      <c r="C148" s="11">
        <v>1.7025810300778372</v>
      </c>
      <c r="D148" s="11">
        <f t="shared" ref="D148" si="104">C148-B148</f>
        <v>0.44820569933850307</v>
      </c>
      <c r="E148" s="11">
        <v>0.86732867628261101</v>
      </c>
      <c r="F148" s="11">
        <f t="shared" ref="F148" si="105">SUM(D148:E148)</f>
        <v>1.3155343756211142</v>
      </c>
      <c r="G148" s="200">
        <f t="shared" ref="G148:G149" si="106">IF(B148&gt;0,(1+(E148/B148))^(1/($C$6-$B$6))-1,0)</f>
        <v>3.5659880472457051E-2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3">
      <c r="A149" t="str">
        <f t="shared" si="91"/>
        <v>All occupations</v>
      </c>
      <c r="B149" s="11">
        <f>SUM(B123:B148)</f>
        <v>27.828114439543285</v>
      </c>
      <c r="C149" s="11">
        <f t="shared" ref="C149:F149" si="107">SUM(C123:C148)</f>
        <v>29.363125462266954</v>
      </c>
      <c r="D149" s="11">
        <f t="shared" si="107"/>
        <v>1.5350110227236722</v>
      </c>
      <c r="E149" s="11">
        <f t="shared" si="107"/>
        <v>15.019741836005547</v>
      </c>
      <c r="F149" s="11">
        <f t="shared" si="107"/>
        <v>16.55475285872922</v>
      </c>
      <c r="G149" s="200">
        <f t="shared" si="106"/>
        <v>2.9191888110438269E-2</v>
      </c>
      <c r="P149" s="11"/>
      <c r="Q149" s="11"/>
      <c r="R149" s="11"/>
      <c r="S149" s="341"/>
      <c r="T149" s="341"/>
      <c r="U149" s="34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25.5" x14ac:dyDescent="0.3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3">
      <c r="A152" t="str">
        <f t="shared" ref="A152:A178" si="109">A65</f>
        <v>11 Corporate managers and directors</v>
      </c>
      <c r="B152" s="11">
        <v>2.6572479443795842</v>
      </c>
      <c r="C152" s="11">
        <v>2.4109149599121791</v>
      </c>
      <c r="D152" s="11">
        <f>C152-B152</f>
        <v>-0.24633298446740515</v>
      </c>
      <c r="E152" s="11">
        <v>1.2574346204155671</v>
      </c>
      <c r="F152" s="11">
        <f>SUM(D152:E152)</f>
        <v>1.0111016359481619</v>
      </c>
      <c r="G152" s="200">
        <f>IF(B152&gt;0,(1+(E152/B152))^(1/($C$6-$B$6))-1,0)</f>
        <v>2.616602456080086E-2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3">
      <c r="A153" t="str">
        <f t="shared" si="109"/>
        <v>12 Other managers and proprietors</v>
      </c>
      <c r="B153" s="11">
        <v>0.94037846112169443</v>
      </c>
      <c r="C153" s="11">
        <v>1.1648520226712309</v>
      </c>
      <c r="D153" s="11">
        <f t="shared" ref="D153:D168" si="110">C153-B153</f>
        <v>0.22447356154953646</v>
      </c>
      <c r="E153" s="11">
        <v>0.63606430956603832</v>
      </c>
      <c r="F153" s="11">
        <f t="shared" ref="F153:F160" si="111">SUM(D153:E153)</f>
        <v>0.86053787111557478</v>
      </c>
      <c r="G153" s="200">
        <f t="shared" ref="G153:G155" si="112">IF(B153&gt;0,(1+(E153/B153))^(1/($C$6-$B$6))-1,0)</f>
        <v>3.5042943980537533E-2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3">
      <c r="A154" t="str">
        <f t="shared" si="109"/>
        <v>21 Science, research, engineering and technology professionals</v>
      </c>
      <c r="B154" s="11">
        <v>2.5907172598473176</v>
      </c>
      <c r="C154" s="11">
        <v>2.7657882842073427</v>
      </c>
      <c r="D154" s="11">
        <f t="shared" si="110"/>
        <v>0.17507102436002508</v>
      </c>
      <c r="E154" s="11">
        <v>0.96863590356318841</v>
      </c>
      <c r="F154" s="11">
        <f t="shared" si="111"/>
        <v>1.1437069279232135</v>
      </c>
      <c r="G154" s="200">
        <f t="shared" si="112"/>
        <v>2.1402079064319901E-2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3">
      <c r="A155" t="str">
        <f t="shared" si="109"/>
        <v>22 Health professionals</v>
      </c>
      <c r="B155" s="11">
        <v>0.63783575488146127</v>
      </c>
      <c r="C155" s="11">
        <v>0.67897257245988762</v>
      </c>
      <c r="D155" s="11">
        <f t="shared" si="110"/>
        <v>4.1136817578426355E-2</v>
      </c>
      <c r="E155" s="11">
        <v>0.33299233549072688</v>
      </c>
      <c r="F155" s="11">
        <f t="shared" si="111"/>
        <v>0.37412915306915323</v>
      </c>
      <c r="G155" s="200">
        <f t="shared" si="112"/>
        <v>2.8400387354481804E-2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3">
      <c r="A156" t="str">
        <f t="shared" si="109"/>
        <v>23 Teaching and other educational professionals</v>
      </c>
      <c r="B156" s="11">
        <v>0.19372067322514883</v>
      </c>
      <c r="C156" s="11">
        <v>0.11557979834342831</v>
      </c>
      <c r="D156" s="11">
        <f t="shared" si="110"/>
        <v>-7.8140874881720515E-2</v>
      </c>
      <c r="E156" s="11">
        <v>6.8080610305129241E-2</v>
      </c>
      <c r="F156" s="11">
        <f t="shared" si="111"/>
        <v>-1.0060264576591274E-2</v>
      </c>
      <c r="G156" s="200">
        <f>IF(B156&gt;0,(1+(E156/B156))^(1/($C$6-$B$6))-1,0)</f>
        <v>2.0280814317191309E-2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3">
      <c r="A157" t="str">
        <f t="shared" si="109"/>
        <v>24 Business, media and public service professionals</v>
      </c>
      <c r="B157" s="11">
        <v>1.6282969546287989</v>
      </c>
      <c r="C157" s="11">
        <v>1.7441712258328581</v>
      </c>
      <c r="D157" s="11">
        <f t="shared" si="110"/>
        <v>0.11587427120405924</v>
      </c>
      <c r="E157" s="11">
        <v>0.80430112580710522</v>
      </c>
      <c r="F157" s="11">
        <f t="shared" si="111"/>
        <v>0.92017539701116446</v>
      </c>
      <c r="G157" s="200">
        <f t="shared" ref="G157:G178" si="113">IF(B157&gt;0,(1+(E157/B157))^(1/($C$6-$B$6))-1,0)</f>
        <v>2.712298961390891E-2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3">
      <c r="A158" t="str">
        <f t="shared" si="109"/>
        <v>31 Science, engineering and technology associate professionals</v>
      </c>
      <c r="B158" s="11">
        <v>0.92364501368193619</v>
      </c>
      <c r="C158" s="11">
        <v>0.75919562600292712</v>
      </c>
      <c r="D158" s="11">
        <f t="shared" si="110"/>
        <v>-0.16444938767900907</v>
      </c>
      <c r="E158" s="11">
        <v>0.29367876171319174</v>
      </c>
      <c r="F158" s="11">
        <f t="shared" si="111"/>
        <v>0.12922937403418266</v>
      </c>
      <c r="G158" s="200">
        <f t="shared" si="113"/>
        <v>1.85759107992991E-2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3">
      <c r="A159" t="str">
        <f t="shared" si="109"/>
        <v>32 Health and social care associate professionals</v>
      </c>
      <c r="B159" s="11">
        <v>0.4868168356526329</v>
      </c>
      <c r="C159" s="11">
        <v>0.84120850129761737</v>
      </c>
      <c r="D159" s="11">
        <f t="shared" si="110"/>
        <v>0.35439166564498448</v>
      </c>
      <c r="E159" s="11">
        <v>0.42133084571719853</v>
      </c>
      <c r="F159" s="11">
        <f t="shared" si="111"/>
        <v>0.77572251136218306</v>
      </c>
      <c r="G159" s="200">
        <f t="shared" si="113"/>
        <v>4.2443980672053128E-2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3">
      <c r="A160" t="str">
        <f t="shared" si="109"/>
        <v>33 Protective service occupations</v>
      </c>
      <c r="B160" s="11">
        <v>0.26767528822835562</v>
      </c>
      <c r="C160" s="11">
        <v>0.25639241955941589</v>
      </c>
      <c r="D160" s="11">
        <f t="shared" si="110"/>
        <v>-1.1282868668939738E-2</v>
      </c>
      <c r="E160" s="11">
        <v>8.8558037479151572E-2</v>
      </c>
      <c r="F160" s="11">
        <f t="shared" si="111"/>
        <v>7.7275168810211833E-2</v>
      </c>
      <c r="G160" s="200">
        <f t="shared" si="113"/>
        <v>1.9236773609418112E-2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3">
      <c r="A161" t="str">
        <f t="shared" si="109"/>
        <v>34 Culture, media and sports occupations</v>
      </c>
      <c r="B161" s="11">
        <v>0.44941487694805166</v>
      </c>
      <c r="C161" s="11">
        <v>0.37875592591330393</v>
      </c>
      <c r="D161" s="11">
        <f t="shared" si="110"/>
        <v>-7.065895103474773E-2</v>
      </c>
      <c r="E161" s="11">
        <v>0.18006279794574451</v>
      </c>
      <c r="F161" s="11">
        <f t="shared" ref="F161:F162" si="114">SUM(D161:E161)</f>
        <v>0.10940384691099678</v>
      </c>
      <c r="G161" s="200">
        <f t="shared" si="113"/>
        <v>2.2717119620275339E-2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3">
      <c r="A162" t="str">
        <f t="shared" si="109"/>
        <v>35 Business and public service associate professionals</v>
      </c>
      <c r="B162" s="11">
        <v>1.9063882231556719</v>
      </c>
      <c r="C162" s="11">
        <v>2.1264567102344079</v>
      </c>
      <c r="D162" s="11">
        <f t="shared" si="110"/>
        <v>0.22006848707873594</v>
      </c>
      <c r="E162" s="11">
        <v>0.95234169425550197</v>
      </c>
      <c r="F162" s="11">
        <f t="shared" si="114"/>
        <v>1.172410181334238</v>
      </c>
      <c r="G162" s="200">
        <f t="shared" si="113"/>
        <v>2.7379238946009021E-2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3">
      <c r="A163" t="str">
        <f t="shared" si="109"/>
        <v>41 Administrative occupations</v>
      </c>
      <c r="B163" s="11">
        <v>3.1883325092039434</v>
      </c>
      <c r="C163" s="11">
        <v>3.8878374636270778</v>
      </c>
      <c r="D163" s="11">
        <f t="shared" si="110"/>
        <v>0.69950495442313443</v>
      </c>
      <c r="E163" s="11">
        <v>1.9632355389815779</v>
      </c>
      <c r="F163" s="11">
        <f t="shared" ref="F163:F166" si="115">SUM(D163:E163)</f>
        <v>2.6627404934047121</v>
      </c>
      <c r="G163" s="200">
        <f t="shared" si="113"/>
        <v>3.2503951052679891E-2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3">
      <c r="A164" t="str">
        <f t="shared" si="109"/>
        <v>42 Secretarial and related occupations</v>
      </c>
      <c r="B164" s="11">
        <v>0.55548511552801272</v>
      </c>
      <c r="C164" s="11">
        <v>0.59338629507473184</v>
      </c>
      <c r="D164" s="11">
        <f t="shared" si="110"/>
        <v>3.7901179546719121E-2</v>
      </c>
      <c r="E164" s="11">
        <v>0.33287746709956156</v>
      </c>
      <c r="F164" s="11">
        <f t="shared" si="115"/>
        <v>0.37077864664628069</v>
      </c>
      <c r="G164" s="200">
        <f t="shared" si="113"/>
        <v>3.1797620809980165E-2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3">
      <c r="A165" t="str">
        <f t="shared" si="109"/>
        <v>51 Skilled agricultural and related trades</v>
      </c>
      <c r="B165" s="11">
        <v>0.27409151494287032</v>
      </c>
      <c r="C165" s="11">
        <v>0.46477818039310625</v>
      </c>
      <c r="D165" s="11">
        <f t="shared" si="110"/>
        <v>0.19068666545023594</v>
      </c>
      <c r="E165" s="11">
        <v>0.22113316916484793</v>
      </c>
      <c r="F165" s="11">
        <f t="shared" si="115"/>
        <v>0.41181983461508387</v>
      </c>
      <c r="G165" s="200">
        <f t="shared" si="113"/>
        <v>4.0224582626551708E-2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3">
      <c r="A166" t="str">
        <f t="shared" si="109"/>
        <v>52 Skilled metal, electrical and electronic trades</v>
      </c>
      <c r="B166" s="11">
        <v>1.7895018474807844</v>
      </c>
      <c r="C166" s="11">
        <v>2.0330796559656514</v>
      </c>
      <c r="D166" s="11">
        <f t="shared" si="110"/>
        <v>0.24357780848486699</v>
      </c>
      <c r="E166" s="11">
        <v>0.81702595460087923</v>
      </c>
      <c r="F166" s="11">
        <f t="shared" si="115"/>
        <v>1.0606037630857461</v>
      </c>
      <c r="G166" s="200">
        <f t="shared" si="113"/>
        <v>2.5389062627554138E-2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3">
      <c r="A167" t="str">
        <f t="shared" si="109"/>
        <v>53 Skilled construction and building trades</v>
      </c>
      <c r="B167" s="11">
        <v>0.53358704843977633</v>
      </c>
      <c r="C167" s="11">
        <v>0.61209229997091263</v>
      </c>
      <c r="D167" s="11">
        <f t="shared" si="110"/>
        <v>7.85052515311363E-2</v>
      </c>
      <c r="E167" s="11">
        <v>0.29680826063665228</v>
      </c>
      <c r="F167" s="11">
        <f t="shared" ref="F167" si="116">SUM(D167:E167)</f>
        <v>0.37531351216778858</v>
      </c>
      <c r="G167" s="200">
        <f t="shared" si="113"/>
        <v>2.9924305164060527E-2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3">
      <c r="A168" t="str">
        <f t="shared" si="109"/>
        <v>54 Textiles, printing and other skilled trades</v>
      </c>
      <c r="B168" s="11">
        <v>0.28979790364263391</v>
      </c>
      <c r="C168" s="11">
        <v>0.37459648726149575</v>
      </c>
      <c r="D168" s="11">
        <f t="shared" si="110"/>
        <v>8.4798583618861834E-2</v>
      </c>
      <c r="E168" s="11">
        <v>0.17915709436709035</v>
      </c>
      <c r="F168" s="11">
        <f t="shared" ref="F168" si="117">SUM(D168:E168)</f>
        <v>0.26395567798595221</v>
      </c>
      <c r="G168" s="200">
        <f t="shared" si="113"/>
        <v>3.2608578378532149E-2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3">
      <c r="A169" t="str">
        <f t="shared" si="109"/>
        <v>61 Caring personal service occupations</v>
      </c>
      <c r="B169" s="11">
        <v>2.3387631540885168</v>
      </c>
      <c r="C169" s="11">
        <v>2.6553114034887897</v>
      </c>
      <c r="D169" s="11">
        <f>C169-B169</f>
        <v>0.31654824940027293</v>
      </c>
      <c r="E169" s="11">
        <v>1.478122160770349</v>
      </c>
      <c r="F169" s="11">
        <f>SUM(D169:E169)</f>
        <v>1.7946704101706219</v>
      </c>
      <c r="G169" s="200">
        <f t="shared" si="113"/>
        <v>3.3193165117639145E-2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3">
      <c r="A170" t="str">
        <f t="shared" si="109"/>
        <v>62 Leisure, travel and related personal service occupations</v>
      </c>
      <c r="B170" s="11">
        <v>0.72455408037163693</v>
      </c>
      <c r="C170" s="11">
        <v>1.0224081237166951</v>
      </c>
      <c r="D170" s="11">
        <f t="shared" ref="D170:D176" si="118">C170-B170</f>
        <v>0.29785404334505816</v>
      </c>
      <c r="E170" s="11">
        <v>0.52981251382272898</v>
      </c>
      <c r="F170" s="11">
        <f t="shared" ref="F170:F171" si="119">SUM(D170:E170)</f>
        <v>0.82766655716778714</v>
      </c>
      <c r="G170" s="200">
        <f t="shared" si="113"/>
        <v>3.7266244209352983E-2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3">
      <c r="A171" t="str">
        <f t="shared" si="109"/>
        <v>63 Community and civil enforcement occupations</v>
      </c>
      <c r="B171" s="11">
        <v>2.058998577755608E-2</v>
      </c>
      <c r="C171" s="11">
        <v>1.8127067482933423E-2</v>
      </c>
      <c r="D171" s="11">
        <f t="shared" si="118"/>
        <v>-2.4629182946226576E-3</v>
      </c>
      <c r="E171" s="11">
        <v>1.1627705127141829E-2</v>
      </c>
      <c r="F171" s="11">
        <f t="shared" si="119"/>
        <v>9.1647868325191711E-3</v>
      </c>
      <c r="G171" s="200">
        <f t="shared" si="113"/>
        <v>3.0297290234356344E-2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3">
      <c r="A172" t="str">
        <f t="shared" si="109"/>
        <v>71 Sales occupations</v>
      </c>
      <c r="B172" s="11">
        <v>1.0877926018386168</v>
      </c>
      <c r="C172" s="11">
        <v>1.2845101864718134</v>
      </c>
      <c r="D172" s="11">
        <f t="shared" si="118"/>
        <v>0.19671758463319655</v>
      </c>
      <c r="E172" s="11">
        <v>0.53341634133115001</v>
      </c>
      <c r="F172" s="11">
        <f t="shared" ref="F172:F173" si="120">SUM(D172:E172)</f>
        <v>0.73013392596434656</v>
      </c>
      <c r="G172" s="200">
        <f t="shared" si="113"/>
        <v>2.6958418364718684E-2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3">
      <c r="A173" t="str">
        <f t="shared" si="109"/>
        <v>72 Customer service occupations</v>
      </c>
      <c r="B173" s="11">
        <v>0.69786080065493294</v>
      </c>
      <c r="C173" s="11">
        <v>0.9805590210433095</v>
      </c>
      <c r="D173" s="11">
        <f t="shared" si="118"/>
        <v>0.28269822038837655</v>
      </c>
      <c r="E173" s="11">
        <v>0.40053729386887965</v>
      </c>
      <c r="F173" s="11">
        <f t="shared" si="120"/>
        <v>0.68323551425725615</v>
      </c>
      <c r="G173" s="200">
        <f t="shared" si="113"/>
        <v>3.0701079960477884E-2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3">
      <c r="A174" t="str">
        <f t="shared" si="109"/>
        <v>81 Process, plant and machine operatives</v>
      </c>
      <c r="B174" s="11">
        <v>0.62767027926463737</v>
      </c>
      <c r="C174" s="11">
        <v>0.99054743126400624</v>
      </c>
      <c r="D174" s="11">
        <f t="shared" si="118"/>
        <v>0.36287715199936887</v>
      </c>
      <c r="E174" s="11">
        <v>0.40026117289270557</v>
      </c>
      <c r="F174" s="11">
        <f t="shared" ref="F174:F175" si="121">SUM(D174:E174)</f>
        <v>0.76313832489207445</v>
      </c>
      <c r="G174" s="200">
        <f t="shared" si="113"/>
        <v>3.3432636277670236E-2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3">
      <c r="A175" t="str">
        <f t="shared" si="109"/>
        <v>82 Transport and mobile machine drivers and operatives</v>
      </c>
      <c r="B175" s="11">
        <v>0.71683022955518472</v>
      </c>
      <c r="C175" s="11">
        <v>1.0343822897184964</v>
      </c>
      <c r="D175" s="11">
        <f t="shared" si="118"/>
        <v>0.31755206016331172</v>
      </c>
      <c r="E175" s="11">
        <v>0.5732819889525117</v>
      </c>
      <c r="F175" s="11">
        <f t="shared" si="121"/>
        <v>0.89083404911582342</v>
      </c>
      <c r="G175" s="200">
        <f t="shared" si="113"/>
        <v>3.9953877276825311E-2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3">
      <c r="A176" t="str">
        <f t="shared" si="109"/>
        <v>91 Elementary trades and related occupations</v>
      </c>
      <c r="B176" s="11">
        <v>0.23917310083157725</v>
      </c>
      <c r="C176" s="11">
        <v>1.0117713863292546</v>
      </c>
      <c r="D176" s="11">
        <f t="shared" si="118"/>
        <v>0.77259828549767728</v>
      </c>
      <c r="E176" s="11">
        <v>0.49678495259092781</v>
      </c>
      <c r="F176" s="11">
        <f t="shared" ref="F176" si="122">SUM(D176:E176)</f>
        <v>1.2693832380886052</v>
      </c>
      <c r="G176" s="200">
        <f t="shared" si="113"/>
        <v>7.7811257009961832E-2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3">
      <c r="A177" t="str">
        <f t="shared" si="109"/>
        <v>92 Elementary administration and service occupations</v>
      </c>
      <c r="B177" s="11">
        <v>1.1941374659678323</v>
      </c>
      <c r="C177" s="11">
        <v>1.5497068647464707</v>
      </c>
      <c r="D177" s="11">
        <f t="shared" ref="D177" si="123">C177-B177</f>
        <v>0.35556939877863836</v>
      </c>
      <c r="E177" s="11">
        <v>0.82051324101484202</v>
      </c>
      <c r="F177" s="11">
        <f t="shared" ref="F177" si="124">SUM(D177:E177)</f>
        <v>1.1760826397934805</v>
      </c>
      <c r="G177" s="200">
        <f t="shared" si="113"/>
        <v>3.5483133029027281E-2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3">
      <c r="A178" t="str">
        <f t="shared" si="109"/>
        <v>All occupations</v>
      </c>
      <c r="B178" s="11">
        <f>SUM(B152:B177)</f>
        <v>26.960304923339166</v>
      </c>
      <c r="C178" s="11">
        <f t="shared" ref="C178:F178" si="125">SUM(C152:C177)</f>
        <v>31.755382202989345</v>
      </c>
      <c r="D178" s="11">
        <f t="shared" si="125"/>
        <v>4.7950772796501777</v>
      </c>
      <c r="E178" s="11">
        <f t="shared" si="125"/>
        <v>15.058075897480387</v>
      </c>
      <c r="F178" s="11">
        <f t="shared" si="125"/>
        <v>19.853153177130572</v>
      </c>
      <c r="G178" s="200">
        <f t="shared" si="113"/>
        <v>3.0024688113333919E-2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25.5" x14ac:dyDescent="0.3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3">
      <c r="A181" t="str">
        <f t="shared" ref="A181:A207" si="127">A94</f>
        <v>11 Corporate managers and directors</v>
      </c>
      <c r="B181" s="11">
        <v>6.6115979009734014</v>
      </c>
      <c r="C181" s="11">
        <v>6.3573571749324245</v>
      </c>
      <c r="D181" s="11">
        <f>C181-B181</f>
        <v>-0.25424072604097692</v>
      </c>
      <c r="E181" s="11">
        <v>2.7226179474130774</v>
      </c>
      <c r="F181" s="11">
        <f>SUM(D181:E181)</f>
        <v>2.4683772213721005</v>
      </c>
      <c r="G181" s="200">
        <f>IF(B181&gt;0,(1+(E181/B181))^(1/($C$6-$B$6))-1,0)</f>
        <v>2.3257085129023247E-2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3">
      <c r="A182" t="str">
        <f t="shared" si="127"/>
        <v>12 Other managers and proprietors</v>
      </c>
      <c r="B182" s="11">
        <v>2.2907918513365759</v>
      </c>
      <c r="C182" s="11">
        <v>2.4476089278189153</v>
      </c>
      <c r="D182" s="11">
        <f t="shared" ref="D182:D197" si="128">C182-B182</f>
        <v>0.15681707648233933</v>
      </c>
      <c r="E182" s="11">
        <v>1.0852522504674289</v>
      </c>
      <c r="F182" s="11">
        <f t="shared" ref="F182:F189" si="129">SUM(D182:E182)</f>
        <v>1.2420693269497682</v>
      </c>
      <c r="G182" s="200">
        <f t="shared" ref="G182:G184" si="130">IF(B182&gt;0,(1+(E182/B182))^(1/($C$6-$B$6))-1,0)</f>
        <v>2.6190914933406528E-2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4.1254865509646281</v>
      </c>
      <c r="C183" s="11">
        <v>5.1015064905764831</v>
      </c>
      <c r="D183" s="11">
        <f t="shared" si="128"/>
        <v>0.97601993961185496</v>
      </c>
      <c r="E183" s="11">
        <v>1.4564788465396696</v>
      </c>
      <c r="F183" s="11">
        <f t="shared" si="129"/>
        <v>2.4324987861515246</v>
      </c>
      <c r="G183" s="200">
        <f t="shared" si="130"/>
        <v>2.036165832574488E-2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2.8003145404171743</v>
      </c>
      <c r="C184" s="11">
        <v>2.7258105429585204</v>
      </c>
      <c r="D184" s="11">
        <f t="shared" si="128"/>
        <v>-7.4503997458653881E-2</v>
      </c>
      <c r="E184" s="11">
        <v>1.5922746650213426</v>
      </c>
      <c r="F184" s="11">
        <f t="shared" si="129"/>
        <v>1.5177706675626887</v>
      </c>
      <c r="G184" s="200">
        <f t="shared" si="130"/>
        <v>3.0467387423276371E-2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0.89400952067018624</v>
      </c>
      <c r="C185" s="11">
        <v>0.81146323820016131</v>
      </c>
      <c r="D185" s="11">
        <f t="shared" si="128"/>
        <v>-8.2546282470024934E-2</v>
      </c>
      <c r="E185" s="11">
        <v>0.35864327857051337</v>
      </c>
      <c r="F185" s="11">
        <f t="shared" si="129"/>
        <v>0.27609699610048843</v>
      </c>
      <c r="G185" s="200">
        <f>IF(B185&gt;0,(1+(E185/B185))^(1/($C$6-$B$6))-1,0)</f>
        <v>2.2741560906831548E-2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4.223624013509955</v>
      </c>
      <c r="C186" s="11">
        <v>4.8838888162614378</v>
      </c>
      <c r="D186" s="11">
        <f t="shared" si="128"/>
        <v>0.6602648027514828</v>
      </c>
      <c r="E186" s="11">
        <v>1.9381353029131472</v>
      </c>
      <c r="F186" s="11">
        <f t="shared" si="129"/>
        <v>2.5984001056646298</v>
      </c>
      <c r="G186" s="200">
        <f t="shared" ref="G186:G205" si="131">IF(B186&gt;0,(1+(E186/B186))^(1/($C$6-$B$6))-1,0)</f>
        <v>2.5497561476055086E-2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1.6765339298795463</v>
      </c>
      <c r="C187" s="11">
        <v>1.2478088203153364</v>
      </c>
      <c r="D187" s="11">
        <f t="shared" si="128"/>
        <v>-0.42872510956420995</v>
      </c>
      <c r="E187" s="11">
        <v>0.47412904048591015</v>
      </c>
      <c r="F187" s="11">
        <f t="shared" si="129"/>
        <v>4.5403930921700197E-2</v>
      </c>
      <c r="G187" s="200">
        <f t="shared" si="131"/>
        <v>1.6741773888524047E-2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1.9732219188287832</v>
      </c>
      <c r="C188" s="11">
        <v>3.7010743102005836</v>
      </c>
      <c r="D188" s="11">
        <f t="shared" si="128"/>
        <v>1.7278523913718005</v>
      </c>
      <c r="E188" s="11">
        <v>1.9232227755700901</v>
      </c>
      <c r="F188" s="11">
        <f t="shared" si="129"/>
        <v>3.6510751669418906</v>
      </c>
      <c r="G188" s="200">
        <f t="shared" si="131"/>
        <v>4.6404276027925517E-2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0.88226416705534028</v>
      </c>
      <c r="C189" s="11">
        <v>0.70580031290285949</v>
      </c>
      <c r="D189" s="11">
        <f t="shared" si="128"/>
        <v>-0.17646385415248078</v>
      </c>
      <c r="E189" s="11">
        <v>0.19060101214731184</v>
      </c>
      <c r="F189" s="11">
        <f t="shared" si="129"/>
        <v>1.4137157994831062E-2</v>
      </c>
      <c r="G189" s="200">
        <f t="shared" si="131"/>
        <v>1.3125159625522853E-2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1.3412787689100634</v>
      </c>
      <c r="C190" s="11">
        <v>1.2749236706254128</v>
      </c>
      <c r="D190" s="11">
        <f t="shared" si="128"/>
        <v>-6.6355098284650582E-2</v>
      </c>
      <c r="E190" s="11">
        <v>0.47639873224359763</v>
      </c>
      <c r="F190" s="11">
        <f t="shared" ref="F190:F191" si="132">SUM(D190:E190)</f>
        <v>0.41004363395894705</v>
      </c>
      <c r="G190" s="200">
        <f t="shared" si="131"/>
        <v>2.0469084409802774E-2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5.6383060969666561</v>
      </c>
      <c r="C191" s="11">
        <v>5.4622608952930731</v>
      </c>
      <c r="D191" s="11">
        <f t="shared" si="128"/>
        <v>-0.17604520167358295</v>
      </c>
      <c r="E191" s="11">
        <v>2.2960481171974392</v>
      </c>
      <c r="F191" s="11">
        <f t="shared" si="132"/>
        <v>2.1200029155238562</v>
      </c>
      <c r="G191" s="200">
        <f t="shared" si="131"/>
        <v>2.3035872373774691E-2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9.8895340020557221</v>
      </c>
      <c r="C192" s="11">
        <v>9.2729182447320646</v>
      </c>
      <c r="D192" s="11">
        <f t="shared" si="128"/>
        <v>-0.61661575732365748</v>
      </c>
      <c r="E192" s="11">
        <v>4.5405000874965644</v>
      </c>
      <c r="F192" s="11">
        <f t="shared" ref="F192:F195" si="133">SUM(D192:E192)</f>
        <v>3.9238843301729069</v>
      </c>
      <c r="G192" s="200">
        <f t="shared" si="131"/>
        <v>2.5508903484738665E-2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1.7787249574536648</v>
      </c>
      <c r="C193" s="11">
        <v>0.52730052591676513</v>
      </c>
      <c r="D193" s="11">
        <f t="shared" si="128"/>
        <v>-1.2514244315368996</v>
      </c>
      <c r="E193" s="11">
        <v>0.64024197932709992</v>
      </c>
      <c r="F193" s="11">
        <f t="shared" si="133"/>
        <v>-0.61118245220979972</v>
      </c>
      <c r="G193" s="200">
        <f t="shared" si="131"/>
        <v>2.0707742066057078E-2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0.42892089512295456</v>
      </c>
      <c r="C194" s="11">
        <v>0.48508317450502386</v>
      </c>
      <c r="D194" s="11">
        <f t="shared" si="128"/>
        <v>5.6162279382069302E-2</v>
      </c>
      <c r="E194" s="11">
        <v>0.23537274147863266</v>
      </c>
      <c r="F194" s="11">
        <f t="shared" si="133"/>
        <v>0.29153502086070193</v>
      </c>
      <c r="G194" s="200">
        <f t="shared" si="131"/>
        <v>2.9592868860830679E-2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9.8300659100997692</v>
      </c>
      <c r="C195" s="11">
        <v>9.471497820139442</v>
      </c>
      <c r="D195" s="11">
        <f t="shared" si="128"/>
        <v>-0.35856808996032719</v>
      </c>
      <c r="E195" s="11">
        <v>3.3996014634412308</v>
      </c>
      <c r="F195" s="11">
        <f t="shared" si="133"/>
        <v>3.0410333734809036</v>
      </c>
      <c r="G195" s="200">
        <f t="shared" si="131"/>
        <v>1.9998421544624279E-2</v>
      </c>
      <c r="I195" s="82"/>
      <c r="J195" s="73"/>
    </row>
    <row r="196" spans="1:14" x14ac:dyDescent="0.3">
      <c r="A196" t="str">
        <f t="shared" si="127"/>
        <v>53 Skilled construction and building trades</v>
      </c>
      <c r="B196" s="11">
        <v>5.6734510206812061</v>
      </c>
      <c r="C196" s="11">
        <v>4.9652544046416445</v>
      </c>
      <c r="D196" s="11">
        <f t="shared" si="128"/>
        <v>-0.70819661603956163</v>
      </c>
      <c r="E196" s="11">
        <v>2.0687667621130728</v>
      </c>
      <c r="F196" s="11">
        <f t="shared" ref="F196" si="134">SUM(D196:E196)</f>
        <v>1.3605701460735111</v>
      </c>
      <c r="G196" s="200">
        <f t="shared" si="131"/>
        <v>2.0942316208561129E-2</v>
      </c>
    </row>
    <row r="197" spans="1:14" x14ac:dyDescent="0.3">
      <c r="A197" t="str">
        <f t="shared" si="127"/>
        <v>54 Textiles, printing and other skilled trades</v>
      </c>
      <c r="B197" s="11">
        <v>2.0041714890091522</v>
      </c>
      <c r="C197" s="11">
        <v>2.3964957914005085</v>
      </c>
      <c r="D197" s="11">
        <f t="shared" si="128"/>
        <v>0.39232430239135629</v>
      </c>
      <c r="E197" s="11">
        <v>0.92054026540790956</v>
      </c>
      <c r="F197" s="11">
        <f t="shared" ref="F197" si="135">SUM(D197:E197)</f>
        <v>1.3128645677992659</v>
      </c>
      <c r="G197" s="200">
        <f t="shared" si="131"/>
        <v>2.5517823307671161E-2</v>
      </c>
    </row>
    <row r="198" spans="1:14" x14ac:dyDescent="0.3">
      <c r="A198" t="str">
        <f t="shared" si="127"/>
        <v>61 Caring personal service occupations</v>
      </c>
      <c r="B198" s="11">
        <v>14.43868890488992</v>
      </c>
      <c r="C198" s="11">
        <v>16.559878886886544</v>
      </c>
      <c r="D198" s="11">
        <f>C198-B198</f>
        <v>2.1211899819966238</v>
      </c>
      <c r="E198" s="11">
        <v>8.7924972970959185</v>
      </c>
      <c r="F198" s="11">
        <f>SUM(D198:E198)</f>
        <v>10.913687279092542</v>
      </c>
      <c r="G198" s="200">
        <f t="shared" si="131"/>
        <v>3.2213595854613253E-2</v>
      </c>
    </row>
    <row r="199" spans="1:14" x14ac:dyDescent="0.3">
      <c r="A199" t="str">
        <f t="shared" si="127"/>
        <v>62 Leisure, travel and related personal service occupations</v>
      </c>
      <c r="B199" s="11">
        <v>2.1936744287136394</v>
      </c>
      <c r="C199" s="11">
        <v>1.8407814733969885</v>
      </c>
      <c r="D199" s="11">
        <f t="shared" ref="D199:D205" si="136">C199-B199</f>
        <v>-0.35289295531665088</v>
      </c>
      <c r="E199" s="11">
        <v>0.88475572644498446</v>
      </c>
      <c r="F199" s="11">
        <f t="shared" ref="F199:F200" si="137">SUM(D199:E199)</f>
        <v>0.53186277112833358</v>
      </c>
      <c r="G199" s="200">
        <f t="shared" si="131"/>
        <v>2.2846528329383942E-2</v>
      </c>
    </row>
    <row r="200" spans="1:14" x14ac:dyDescent="0.3">
      <c r="A200" t="str">
        <f t="shared" si="127"/>
        <v>63 Community and civil enforcement occupations</v>
      </c>
      <c r="B200" s="11">
        <v>7.0604552428313538E-2</v>
      </c>
      <c r="C200" s="11">
        <v>5.6495524085763582E-2</v>
      </c>
      <c r="D200" s="11">
        <f t="shared" si="136"/>
        <v>-1.4109028342549956E-2</v>
      </c>
      <c r="E200" s="11">
        <v>1.969987230247456E-2</v>
      </c>
      <c r="F200" s="11">
        <f t="shared" si="137"/>
        <v>5.5908439599246032E-3</v>
      </c>
      <c r="G200" s="200">
        <f t="shared" si="131"/>
        <v>1.6541441778442412E-2</v>
      </c>
    </row>
    <row r="201" spans="1:14" x14ac:dyDescent="0.3">
      <c r="A201" t="str">
        <f t="shared" si="127"/>
        <v>71 Sales occupations</v>
      </c>
      <c r="B201" s="11">
        <v>7.7582300601532053</v>
      </c>
      <c r="C201" s="11">
        <v>8.0438953356319178</v>
      </c>
      <c r="D201" s="11">
        <f t="shared" si="136"/>
        <v>0.28566527547871257</v>
      </c>
      <c r="E201" s="11">
        <v>3.5149738057665374</v>
      </c>
      <c r="F201" s="11">
        <f t="shared" ref="F201:F202" si="138">SUM(D201:E201)</f>
        <v>3.80063908124525</v>
      </c>
      <c r="G201" s="200">
        <f t="shared" si="131"/>
        <v>2.5224510403924594E-2</v>
      </c>
    </row>
    <row r="202" spans="1:14" x14ac:dyDescent="0.3">
      <c r="A202" t="str">
        <f t="shared" si="127"/>
        <v>72 Customer service occupations</v>
      </c>
      <c r="B202" s="11">
        <v>2.2125078173552954</v>
      </c>
      <c r="C202" s="11">
        <v>2.7564550002200106</v>
      </c>
      <c r="D202" s="11">
        <f t="shared" si="136"/>
        <v>0.54394718286471511</v>
      </c>
      <c r="E202" s="11">
        <v>1.0639033438918477</v>
      </c>
      <c r="F202" s="11">
        <f t="shared" si="138"/>
        <v>1.6078505267565628</v>
      </c>
      <c r="G202" s="200">
        <f t="shared" si="131"/>
        <v>2.6520370882296529E-2</v>
      </c>
    </row>
    <row r="203" spans="1:14" x14ac:dyDescent="0.3">
      <c r="A203" t="str">
        <f t="shared" si="127"/>
        <v>81 Process, plant and machine operatives</v>
      </c>
      <c r="B203" s="11">
        <v>4.3286852143399912</v>
      </c>
      <c r="C203" s="11">
        <v>5.6850084765648949</v>
      </c>
      <c r="D203" s="11">
        <f t="shared" si="136"/>
        <v>1.3563232622249037</v>
      </c>
      <c r="E203" s="11">
        <v>1.9699326752325603</v>
      </c>
      <c r="F203" s="11">
        <f t="shared" ref="F203:F204" si="139">SUM(D203:E203)</f>
        <v>3.3262559374574643</v>
      </c>
      <c r="G203" s="200">
        <f t="shared" si="131"/>
        <v>2.5319657654104377E-2</v>
      </c>
    </row>
    <row r="204" spans="1:14" x14ac:dyDescent="0.3">
      <c r="A204" t="str">
        <f t="shared" si="127"/>
        <v>82 Transport and mobile machine drivers and operatives</v>
      </c>
      <c r="B204" s="11">
        <v>4.060518801781039</v>
      </c>
      <c r="C204" s="11">
        <v>5.6997063198424698</v>
      </c>
      <c r="D204" s="11">
        <f t="shared" si="136"/>
        <v>1.6391875180614308</v>
      </c>
      <c r="E204" s="11">
        <v>2.568255410266473</v>
      </c>
      <c r="F204" s="11">
        <f t="shared" si="139"/>
        <v>4.2074429283279038</v>
      </c>
      <c r="G204" s="200">
        <f t="shared" si="131"/>
        <v>3.3213598331597982E-2</v>
      </c>
    </row>
    <row r="205" spans="1:14" x14ac:dyDescent="0.3">
      <c r="A205" t="str">
        <f t="shared" si="127"/>
        <v>91 Elementary trades and related occupations</v>
      </c>
      <c r="B205" s="11">
        <v>1.1374593936486852</v>
      </c>
      <c r="C205" s="11">
        <v>2.8843962065397593</v>
      </c>
      <c r="D205" s="11">
        <f t="shared" si="136"/>
        <v>1.7469368128910741</v>
      </c>
      <c r="E205" s="11">
        <v>1.0204838624944956</v>
      </c>
      <c r="F205" s="11">
        <f t="shared" ref="F205" si="140">SUM(D205:E205)</f>
        <v>2.7674206753855697</v>
      </c>
      <c r="G205" s="200">
        <f t="shared" si="131"/>
        <v>4.3614908580786205E-2</v>
      </c>
    </row>
    <row r="206" spans="1:14" x14ac:dyDescent="0.3">
      <c r="A206" t="str">
        <f t="shared" si="127"/>
        <v>92 Elementary administration and service occupations</v>
      </c>
      <c r="B206" s="11">
        <v>6.1912334318314324</v>
      </c>
      <c r="C206" s="11">
        <v>4.9460314313631795</v>
      </c>
      <c r="D206" s="11">
        <f t="shared" ref="D206" si="141">C206-B206</f>
        <v>-1.2452020004682529</v>
      </c>
      <c r="E206" s="11">
        <v>2.5832101706434947</v>
      </c>
      <c r="F206" s="11">
        <f t="shared" ref="F206" si="142">SUM(D206:E206)</f>
        <v>1.3380081701752418</v>
      </c>
      <c r="G206" s="200">
        <f t="shared" ref="G206:G207" si="143">IF(B206&gt;0,(1+(E206/B206))^(1/($C$6-$B$6))-1,0)</f>
        <v>2.3519592677749834E-2</v>
      </c>
    </row>
    <row r="207" spans="1:14" x14ac:dyDescent="0.3">
      <c r="A207" t="str">
        <f t="shared" si="127"/>
        <v>All occupations</v>
      </c>
      <c r="B207" s="11">
        <f>SUM(B181:B206)</f>
        <v>104.45390013907631</v>
      </c>
      <c r="C207" s="11">
        <f t="shared" ref="C207:F207" si="144">SUM(C181:C206)</f>
        <v>110.31070181595217</v>
      </c>
      <c r="D207" s="11">
        <f t="shared" si="144"/>
        <v>5.8568016768758842</v>
      </c>
      <c r="E207" s="11">
        <f t="shared" si="144"/>
        <v>48.736537431972828</v>
      </c>
      <c r="F207" s="11">
        <f t="shared" si="144"/>
        <v>54.593339108848717</v>
      </c>
      <c r="G207" s="200">
        <f t="shared" si="143"/>
        <v>2.5857724808655558E-2</v>
      </c>
    </row>
    <row r="209" spans="1:7" ht="25.5" x14ac:dyDescent="0.3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5.086022668189452</v>
      </c>
      <c r="C210" s="11">
        <v>3.8961023255819129</v>
      </c>
      <c r="D210" s="11">
        <f>C210-B210</f>
        <v>-1.1899203426075391</v>
      </c>
      <c r="E210" s="11">
        <v>2.1026754299904944</v>
      </c>
      <c r="F210" s="11">
        <f>SUM(D210:E210)</f>
        <v>0.9127550873829553</v>
      </c>
      <c r="G210" s="200">
        <f>IF(B210&gt;0,(1+(E210/B210))^(1/($C$6-$B$6))-1,0)</f>
        <v>2.3335711987092722E-2</v>
      </c>
    </row>
    <row r="211" spans="1:7" x14ac:dyDescent="0.3">
      <c r="A211" t="str">
        <f t="shared" si="146"/>
        <v>12 Other managers and proprietors</v>
      </c>
      <c r="B211" s="11">
        <v>2.5276817401733664</v>
      </c>
      <c r="C211" s="11">
        <v>2.4985238007386519</v>
      </c>
      <c r="D211" s="11">
        <f t="shared" ref="D211:D226" si="147">C211-B211</f>
        <v>-2.9157939434714564E-2</v>
      </c>
      <c r="E211" s="11">
        <v>1.4999047787227111</v>
      </c>
      <c r="F211" s="11">
        <f t="shared" ref="F211:F218" si="148">SUM(D211:E211)</f>
        <v>1.4707468392879965</v>
      </c>
      <c r="G211" s="200">
        <f t="shared" ref="G211:G213" si="149">IF(B211&gt;0,(1+(E211/B211))^(1/($C$6-$B$6))-1,0)</f>
        <v>3.1544970288309271E-2</v>
      </c>
    </row>
    <row r="212" spans="1:7" x14ac:dyDescent="0.3">
      <c r="A212" t="str">
        <f t="shared" si="146"/>
        <v>21 Science, research, engineering and technology professionals</v>
      </c>
      <c r="B212" s="11">
        <v>2.8180475615815084</v>
      </c>
      <c r="C212" s="11">
        <v>3.0553176144291125</v>
      </c>
      <c r="D212" s="11">
        <f t="shared" si="147"/>
        <v>0.23727005284760416</v>
      </c>
      <c r="E212" s="11">
        <v>1.1087166102005974</v>
      </c>
      <c r="F212" s="11">
        <f t="shared" si="148"/>
        <v>1.3459866630482016</v>
      </c>
      <c r="G212" s="200">
        <f t="shared" si="149"/>
        <v>2.2364513796203633E-2</v>
      </c>
    </row>
    <row r="213" spans="1:7" x14ac:dyDescent="0.3">
      <c r="A213" t="str">
        <f t="shared" si="146"/>
        <v>22 Health professionals</v>
      </c>
      <c r="B213" s="11">
        <v>2.0151374752681206</v>
      </c>
      <c r="C213" s="11">
        <v>1.6427525060377486</v>
      </c>
      <c r="D213" s="11">
        <f t="shared" si="147"/>
        <v>-0.37238496923037201</v>
      </c>
      <c r="E213" s="11">
        <v>1.0060912578450756</v>
      </c>
      <c r="F213" s="11">
        <f t="shared" si="148"/>
        <v>0.63370628861470357</v>
      </c>
      <c r="G213" s="200">
        <f t="shared" si="149"/>
        <v>2.7366172325090199E-2</v>
      </c>
    </row>
    <row r="214" spans="1:7" x14ac:dyDescent="0.3">
      <c r="A214" t="str">
        <f t="shared" si="146"/>
        <v>23 Teaching and other educational professionals</v>
      </c>
      <c r="B214" s="11">
        <v>0.69805215083667727</v>
      </c>
      <c r="C214" s="11">
        <v>0.47229824367642792</v>
      </c>
      <c r="D214" s="11">
        <f t="shared" si="147"/>
        <v>-0.22575390716024935</v>
      </c>
      <c r="E214" s="11">
        <v>0.30339685185447846</v>
      </c>
      <c r="F214" s="11">
        <f t="shared" si="148"/>
        <v>7.764294469422911E-2</v>
      </c>
      <c r="G214" s="200">
        <f>IF(B214&gt;0,(1+(E214/B214))^(1/($C$6-$B$6))-1,0)</f>
        <v>2.4352420326710034E-2</v>
      </c>
    </row>
    <row r="215" spans="1:7" x14ac:dyDescent="0.3">
      <c r="A215" t="str">
        <f t="shared" si="146"/>
        <v>24 Business, media and public service professionals</v>
      </c>
      <c r="B215" s="11">
        <v>2.6606576837141809</v>
      </c>
      <c r="C215" s="11">
        <v>2.2500432609159566</v>
      </c>
      <c r="D215" s="11">
        <f t="shared" si="147"/>
        <v>-0.41061442279822424</v>
      </c>
      <c r="E215" s="11">
        <v>1.0894103518556166</v>
      </c>
      <c r="F215" s="11">
        <f t="shared" si="148"/>
        <v>0.67879592905739239</v>
      </c>
      <c r="G215" s="200">
        <f t="shared" ref="G215:G234" si="150">IF(B215&gt;0,(1+(E215/B215))^(1/($C$6-$B$6))-1,0)</f>
        <v>2.3143798644350344E-2</v>
      </c>
    </row>
    <row r="216" spans="1:7" x14ac:dyDescent="0.3">
      <c r="A216" t="str">
        <f t="shared" si="146"/>
        <v>31 Science, engineering and technology associate professionals</v>
      </c>
      <c r="B216" s="11">
        <v>1.3631230461952171</v>
      </c>
      <c r="C216" s="11">
        <v>1.2449711446457814</v>
      </c>
      <c r="D216" s="11">
        <f t="shared" si="147"/>
        <v>-0.11815190154943567</v>
      </c>
      <c r="E216" s="11">
        <v>0.49232322600211781</v>
      </c>
      <c r="F216" s="11">
        <f t="shared" si="148"/>
        <v>0.37417132445268214</v>
      </c>
      <c r="G216" s="200">
        <f t="shared" si="150"/>
        <v>2.0769193834082156E-2</v>
      </c>
    </row>
    <row r="217" spans="1:7" x14ac:dyDescent="0.3">
      <c r="A217" t="str">
        <f t="shared" si="146"/>
        <v>32 Health and social care associate professionals</v>
      </c>
      <c r="B217" s="11">
        <v>1.394629924351392</v>
      </c>
      <c r="C217" s="11">
        <v>1.9425773289129584</v>
      </c>
      <c r="D217" s="11">
        <f t="shared" si="147"/>
        <v>0.54794740456156643</v>
      </c>
      <c r="E217" s="11">
        <v>1.1497815306246291</v>
      </c>
      <c r="F217" s="11">
        <f t="shared" si="148"/>
        <v>1.6977289351861955</v>
      </c>
      <c r="G217" s="200">
        <f t="shared" si="150"/>
        <v>4.0898918983041765E-2</v>
      </c>
    </row>
    <row r="218" spans="1:7" x14ac:dyDescent="0.3">
      <c r="A218" t="str">
        <f t="shared" si="146"/>
        <v>33 Protective service occupations</v>
      </c>
      <c r="B218" s="11">
        <v>1.0800754169133155</v>
      </c>
      <c r="C218" s="11">
        <v>0.75792641204205791</v>
      </c>
      <c r="D218" s="11">
        <f t="shared" si="147"/>
        <v>-0.32214900487125764</v>
      </c>
      <c r="E218" s="11">
        <v>0.26986703903965986</v>
      </c>
      <c r="F218" s="11">
        <f t="shared" si="148"/>
        <v>-5.2281965831597776E-2</v>
      </c>
      <c r="G218" s="200">
        <f t="shared" si="150"/>
        <v>1.497982942631082E-2</v>
      </c>
    </row>
    <row r="219" spans="1:7" x14ac:dyDescent="0.3">
      <c r="A219" t="str">
        <f t="shared" si="146"/>
        <v>34 Culture, media and sports occupations</v>
      </c>
      <c r="B219" s="11">
        <v>0.57269757331096904</v>
      </c>
      <c r="C219" s="11">
        <v>0.31415562195635427</v>
      </c>
      <c r="D219" s="11">
        <f t="shared" si="147"/>
        <v>-0.25854195135461477</v>
      </c>
      <c r="E219" s="11">
        <v>0.15925074723303353</v>
      </c>
      <c r="F219" s="11">
        <f t="shared" ref="F219:F220" si="151">SUM(D219:E219)</f>
        <v>-9.9291204121581239E-2</v>
      </c>
      <c r="G219" s="200">
        <f t="shared" si="150"/>
        <v>1.6491313550753839E-2</v>
      </c>
    </row>
    <row r="220" spans="1:7" x14ac:dyDescent="0.3">
      <c r="A220" t="str">
        <f t="shared" si="146"/>
        <v>35 Business and public service associate professionals</v>
      </c>
      <c r="B220" s="11">
        <v>4.4396430658008654</v>
      </c>
      <c r="C220" s="11">
        <v>3.7353419357725377</v>
      </c>
      <c r="D220" s="11">
        <f t="shared" si="147"/>
        <v>-0.70430113002832773</v>
      </c>
      <c r="E220" s="11">
        <v>1.736894434654692</v>
      </c>
      <c r="F220" s="11">
        <f t="shared" si="151"/>
        <v>1.0325933046263642</v>
      </c>
      <c r="G220" s="200">
        <f t="shared" si="150"/>
        <v>2.225631431349484E-2</v>
      </c>
    </row>
    <row r="221" spans="1:7" x14ac:dyDescent="0.3">
      <c r="A221" t="str">
        <f t="shared" si="146"/>
        <v>41 Administrative occupations</v>
      </c>
      <c r="B221" s="11">
        <v>11.379675569731608</v>
      </c>
      <c r="C221" s="11">
        <v>8.9098255276334495</v>
      </c>
      <c r="D221" s="11">
        <f t="shared" si="147"/>
        <v>-2.4698500420981588</v>
      </c>
      <c r="E221" s="11">
        <v>4.912968490426822</v>
      </c>
      <c r="F221" s="11">
        <f t="shared" ref="F221:F224" si="152">SUM(D221:E221)</f>
        <v>2.4431184483286632</v>
      </c>
      <c r="G221" s="200">
        <f t="shared" si="150"/>
        <v>2.4214168274794279E-2</v>
      </c>
    </row>
    <row r="222" spans="1:7" x14ac:dyDescent="0.3">
      <c r="A222" t="str">
        <f t="shared" si="146"/>
        <v>42 Secretarial and related occupations</v>
      </c>
      <c r="B222" s="11">
        <v>2.0317734352043391</v>
      </c>
      <c r="C222" s="11">
        <v>0.36955281708976262</v>
      </c>
      <c r="D222" s="11">
        <f t="shared" si="147"/>
        <v>-1.6622206181145764</v>
      </c>
      <c r="E222" s="11">
        <v>0.54848588386518704</v>
      </c>
      <c r="F222" s="11">
        <f t="shared" si="152"/>
        <v>-1.1137347342493893</v>
      </c>
      <c r="G222" s="200">
        <f t="shared" si="150"/>
        <v>1.6059650618506227E-2</v>
      </c>
    </row>
    <row r="223" spans="1:7" x14ac:dyDescent="0.3">
      <c r="A223" t="str">
        <f t="shared" si="146"/>
        <v>51 Skilled agricultural and related trades</v>
      </c>
      <c r="B223" s="11">
        <v>0.76508482743752015</v>
      </c>
      <c r="C223" s="11">
        <v>0.72362573499846994</v>
      </c>
      <c r="D223" s="11">
        <f t="shared" si="147"/>
        <v>-4.1459092439050216E-2</v>
      </c>
      <c r="E223" s="11">
        <v>0.42491520909017838</v>
      </c>
      <c r="F223" s="11">
        <f t="shared" si="152"/>
        <v>0.38345611665112816</v>
      </c>
      <c r="G223" s="200">
        <f t="shared" si="150"/>
        <v>2.9886010711904998E-2</v>
      </c>
    </row>
    <row r="224" spans="1:7" x14ac:dyDescent="0.3">
      <c r="A224" t="str">
        <f t="shared" si="146"/>
        <v>52 Skilled metal, electrical and electronic trades</v>
      </c>
      <c r="B224" s="11">
        <v>5.6803137930496961</v>
      </c>
      <c r="C224" s="11">
        <v>4.912081672506333</v>
      </c>
      <c r="D224" s="11">
        <f t="shared" si="147"/>
        <v>-0.7682321205433631</v>
      </c>
      <c r="E224" s="11">
        <v>2.0698358394472107</v>
      </c>
      <c r="F224" s="11">
        <f t="shared" si="152"/>
        <v>1.3016037189038476</v>
      </c>
      <c r="G224" s="200">
        <f t="shared" si="150"/>
        <v>2.0929729465764435E-2</v>
      </c>
    </row>
    <row r="225" spans="1:7" x14ac:dyDescent="0.3">
      <c r="A225" t="str">
        <f t="shared" si="146"/>
        <v>53 Skilled construction and building trades</v>
      </c>
      <c r="B225" s="11">
        <v>5.5984203141260878</v>
      </c>
      <c r="C225" s="11">
        <v>5.7182742401770454</v>
      </c>
      <c r="D225" s="11">
        <f t="shared" si="147"/>
        <v>0.11985392605095768</v>
      </c>
      <c r="E225" s="11">
        <v>2.7455715251184549</v>
      </c>
      <c r="F225" s="11">
        <f t="shared" ref="F225" si="153">SUM(D225:E225)</f>
        <v>2.8654254511694126</v>
      </c>
      <c r="G225" s="200">
        <f t="shared" si="150"/>
        <v>2.6960858645535657E-2</v>
      </c>
    </row>
    <row r="226" spans="1:7" x14ac:dyDescent="0.3">
      <c r="A226" t="str">
        <f t="shared" si="146"/>
        <v>54 Textiles, printing and other skilled trades</v>
      </c>
      <c r="B226" s="11">
        <v>2.0514040727666725</v>
      </c>
      <c r="C226" s="11">
        <v>1.9222140565401631</v>
      </c>
      <c r="D226" s="11">
        <f t="shared" si="147"/>
        <v>-0.12919001622650939</v>
      </c>
      <c r="E226" s="11">
        <v>0.83028304009313447</v>
      </c>
      <c r="F226" s="11">
        <f t="shared" ref="F226" si="154">SUM(D226:E226)</f>
        <v>0.70109302386662509</v>
      </c>
      <c r="G226" s="200">
        <f t="shared" si="150"/>
        <v>2.2915377456347086E-2</v>
      </c>
    </row>
    <row r="227" spans="1:7" x14ac:dyDescent="0.3">
      <c r="A227" t="str">
        <f t="shared" si="146"/>
        <v>61 Caring personal service occupations</v>
      </c>
      <c r="B227" s="11">
        <v>9.9779947209940332</v>
      </c>
      <c r="C227" s="11">
        <v>8.2363985955210968</v>
      </c>
      <c r="D227" s="11">
        <f>C227-B227</f>
        <v>-1.7415961254729364</v>
      </c>
      <c r="E227" s="11">
        <v>4.9502908172507514</v>
      </c>
      <c r="F227" s="11">
        <f>SUM(D227:E227)</f>
        <v>3.208694691777815</v>
      </c>
      <c r="G227" s="200">
        <f t="shared" si="150"/>
        <v>2.7222312528809356E-2</v>
      </c>
    </row>
    <row r="228" spans="1:7" x14ac:dyDescent="0.3">
      <c r="A228" t="str">
        <f t="shared" si="146"/>
        <v>62 Leisure, travel and related personal service occupations</v>
      </c>
      <c r="B228" s="11">
        <v>2.3295230642823586</v>
      </c>
      <c r="C228" s="11">
        <v>1.756090402243478</v>
      </c>
      <c r="D228" s="11">
        <f t="shared" ref="D228:D234" si="155">C228-B228</f>
        <v>-0.57343266203888055</v>
      </c>
      <c r="E228" s="11">
        <v>1.0050288316101279</v>
      </c>
      <c r="F228" s="11">
        <f t="shared" ref="F228:F229" si="156">SUM(D228:E228)</f>
        <v>0.43159616957124736</v>
      </c>
      <c r="G228" s="200">
        <f t="shared" si="150"/>
        <v>2.4199826050638418E-2</v>
      </c>
    </row>
    <row r="229" spans="1:7" x14ac:dyDescent="0.3">
      <c r="A229" t="str">
        <f t="shared" si="146"/>
        <v>63 Community and civil enforcement occupations</v>
      </c>
      <c r="B229" s="11">
        <v>0.11217573056761668</v>
      </c>
      <c r="C229" s="11">
        <v>9.1911623463619543E-2</v>
      </c>
      <c r="D229" s="11">
        <f t="shared" si="155"/>
        <v>-2.0264107103997134E-2</v>
      </c>
      <c r="E229" s="11">
        <v>4.1520329684173789E-2</v>
      </c>
      <c r="F229" s="11">
        <f t="shared" si="156"/>
        <v>2.1256222580176655E-2</v>
      </c>
      <c r="G229" s="200">
        <f t="shared" si="150"/>
        <v>2.1215948350209013E-2</v>
      </c>
    </row>
    <row r="230" spans="1:7" x14ac:dyDescent="0.3">
      <c r="A230" t="str">
        <f t="shared" si="146"/>
        <v>71 Sales occupations</v>
      </c>
      <c r="B230" s="11">
        <v>7.4616688498586594</v>
      </c>
      <c r="C230" s="11">
        <v>6.2216050636152662</v>
      </c>
      <c r="D230" s="11">
        <f t="shared" si="155"/>
        <v>-1.2400637862433932</v>
      </c>
      <c r="E230" s="11">
        <v>3.3889686413744493</v>
      </c>
      <c r="F230" s="11">
        <f t="shared" ref="F230:F231" si="157">SUM(D230:E230)</f>
        <v>2.1489048551310561</v>
      </c>
      <c r="G230" s="200">
        <f t="shared" si="150"/>
        <v>2.5277166631296311E-2</v>
      </c>
    </row>
    <row r="231" spans="1:7" x14ac:dyDescent="0.3">
      <c r="A231" t="str">
        <f t="shared" si="146"/>
        <v>72 Customer service occupations</v>
      </c>
      <c r="B231" s="11">
        <v>2.2078424961543099</v>
      </c>
      <c r="C231" s="11">
        <v>2.3467200561480261</v>
      </c>
      <c r="D231" s="11">
        <f t="shared" si="155"/>
        <v>0.1388775599937162</v>
      </c>
      <c r="E231" s="11">
        <v>1.1607459150232537</v>
      </c>
      <c r="F231" s="11">
        <f t="shared" si="157"/>
        <v>1.29962347501697</v>
      </c>
      <c r="G231" s="200">
        <f t="shared" si="150"/>
        <v>2.8565589073935804E-2</v>
      </c>
    </row>
    <row r="232" spans="1:7" x14ac:dyDescent="0.3">
      <c r="A232" t="str">
        <f t="shared" si="146"/>
        <v>81 Process, plant and machine operatives</v>
      </c>
      <c r="B232" s="11">
        <v>5.4435191254591624</v>
      </c>
      <c r="C232" s="11">
        <v>5.9830134080268929</v>
      </c>
      <c r="D232" s="11">
        <f t="shared" si="155"/>
        <v>0.53949428256773047</v>
      </c>
      <c r="E232" s="11">
        <v>2.6192257480163064</v>
      </c>
      <c r="F232" s="11">
        <f t="shared" ref="F232:F233" si="158">SUM(D232:E232)</f>
        <v>3.1587200305840368</v>
      </c>
      <c r="G232" s="200">
        <f t="shared" si="150"/>
        <v>2.6534486984857386E-2</v>
      </c>
    </row>
    <row r="233" spans="1:7" x14ac:dyDescent="0.3">
      <c r="A233" t="str">
        <f t="shared" si="146"/>
        <v>82 Transport and mobile machine drivers and operatives</v>
      </c>
      <c r="B233" s="11">
        <v>6.5424843653972822</v>
      </c>
      <c r="C233" s="11">
        <v>8.243689051192499</v>
      </c>
      <c r="D233" s="11">
        <f t="shared" si="155"/>
        <v>1.7012046857952168</v>
      </c>
      <c r="E233" s="11">
        <v>4.4828400000748392</v>
      </c>
      <c r="F233" s="11">
        <f t="shared" si="158"/>
        <v>6.184044685870056</v>
      </c>
      <c r="G233" s="200">
        <f t="shared" si="150"/>
        <v>3.5404175693712236E-2</v>
      </c>
    </row>
    <row r="234" spans="1:7" x14ac:dyDescent="0.3">
      <c r="A234" t="str">
        <f t="shared" si="146"/>
        <v>91 Elementary trades and related occupations</v>
      </c>
      <c r="B234" s="11">
        <v>2.0590194278196883</v>
      </c>
      <c r="C234" s="11">
        <v>4.4182415888379172</v>
      </c>
      <c r="D234" s="11">
        <f t="shared" si="155"/>
        <v>2.3592221610182289</v>
      </c>
      <c r="E234" s="11">
        <v>1.6759981580794405</v>
      </c>
      <c r="F234" s="11">
        <f t="shared" ref="F234" si="159">SUM(D234:E234)</f>
        <v>4.0352203190976699</v>
      </c>
      <c r="G234" s="200">
        <f t="shared" si="150"/>
        <v>4.0500149876766534E-2</v>
      </c>
    </row>
    <row r="235" spans="1:7" x14ac:dyDescent="0.3">
      <c r="A235" t="str">
        <f t="shared" si="146"/>
        <v>92 Elementary administration and service occupations</v>
      </c>
      <c r="B235" s="11">
        <v>10.801026085895028</v>
      </c>
      <c r="C235" s="11">
        <v>9.7307374286109134</v>
      </c>
      <c r="D235" s="11">
        <f t="shared" ref="D235" si="160">C235-B235</f>
        <v>-1.0702886572841148</v>
      </c>
      <c r="E235" s="11">
        <v>5.2595955435450481</v>
      </c>
      <c r="F235" s="11">
        <f t="shared" ref="F235" si="161">SUM(D235:E235)</f>
        <v>4.1893068862609333</v>
      </c>
      <c r="G235" s="200">
        <f t="shared" ref="G235:G236" si="162">IF(B235&gt;0,(1+(E235/B235))^(1/($C$6-$B$6))-1,0)</f>
        <v>2.6801487263806045E-2</v>
      </c>
    </row>
    <row r="236" spans="1:7" x14ac:dyDescent="0.3">
      <c r="A236" t="str">
        <f t="shared" si="146"/>
        <v>All occupations</v>
      </c>
      <c r="B236" s="11">
        <f>SUM(B210:B235)</f>
        <v>99.097694185079135</v>
      </c>
      <c r="C236" s="11">
        <f t="shared" ref="C236:F236" si="163">SUM(C210:C235)</f>
        <v>91.393991461314428</v>
      </c>
      <c r="D236" s="11">
        <f t="shared" si="163"/>
        <v>-7.703702723764696</v>
      </c>
      <c r="E236" s="11">
        <f t="shared" si="163"/>
        <v>47.034586230722482</v>
      </c>
      <c r="F236" s="11">
        <f t="shared" si="163"/>
        <v>39.33088350695779</v>
      </c>
      <c r="G236" s="200">
        <f t="shared" si="162"/>
        <v>2.6231893106019921E-2</v>
      </c>
    </row>
    <row r="238" spans="1:7" ht="26" x14ac:dyDescent="0.3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3.8267385849460345</v>
      </c>
      <c r="C239" s="11">
        <v>2.0777259126382361</v>
      </c>
      <c r="D239" s="11">
        <f>C239-B239</f>
        <v>-1.7490126723077983</v>
      </c>
      <c r="E239" s="11">
        <v>1.2238474971931859</v>
      </c>
      <c r="F239" s="11">
        <f>SUM(D239:E239)</f>
        <v>-0.52516517511461247</v>
      </c>
      <c r="G239" s="200">
        <f>IF(B239&gt;0,(1+(E239/B239))^(1/($C$6-$B$6))-1,0)</f>
        <v>1.8671600886562834E-2</v>
      </c>
    </row>
    <row r="240" spans="1:7" x14ac:dyDescent="0.3">
      <c r="A240" t="str">
        <f t="shared" si="165"/>
        <v>12 Other managers and proprietors</v>
      </c>
      <c r="B240" s="11">
        <v>1.5970832855337915</v>
      </c>
      <c r="C240" s="11">
        <v>1.0066421930107869</v>
      </c>
      <c r="D240" s="11">
        <f t="shared" ref="D240:D255" si="166">C240-B240</f>
        <v>-0.59044109252300458</v>
      </c>
      <c r="E240" s="11">
        <v>0.63545812200606844</v>
      </c>
      <c r="F240" s="11">
        <f t="shared" ref="F240:F247" si="167">SUM(D240:E240)</f>
        <v>4.5017029483063853E-2</v>
      </c>
      <c r="G240" s="200">
        <f t="shared" ref="G240:G242" si="168">IF(B240&gt;0,(1+(E240/B240))^(1/($C$6-$B$6))-1,0)</f>
        <v>2.2581968798726759E-2</v>
      </c>
    </row>
    <row r="241" spans="1:7" x14ac:dyDescent="0.3">
      <c r="A241" t="str">
        <f t="shared" si="165"/>
        <v>21 Science, research, engineering and technology professionals</v>
      </c>
      <c r="B241" s="11">
        <v>1.6516234571213404</v>
      </c>
      <c r="C241" s="11">
        <v>1.1827218188772295</v>
      </c>
      <c r="D241" s="11">
        <f t="shared" si="166"/>
        <v>-0.46890163824411091</v>
      </c>
      <c r="E241" s="11">
        <v>0.47512736082562962</v>
      </c>
      <c r="F241" s="11">
        <f t="shared" si="167"/>
        <v>6.2257225815187112E-3</v>
      </c>
      <c r="G241" s="200">
        <f t="shared" si="168"/>
        <v>1.6998637484186618E-2</v>
      </c>
    </row>
    <row r="242" spans="1:7" x14ac:dyDescent="0.3">
      <c r="A242" t="str">
        <f t="shared" si="165"/>
        <v>22 Health professionals</v>
      </c>
      <c r="B242" s="11">
        <v>0.94105442914912718</v>
      </c>
      <c r="C242" s="11">
        <v>0.36921842386232456</v>
      </c>
      <c r="D242" s="11">
        <f t="shared" si="166"/>
        <v>-0.57183600528680256</v>
      </c>
      <c r="E242" s="11">
        <v>0.27858413807372562</v>
      </c>
      <c r="F242" s="11">
        <f t="shared" si="167"/>
        <v>-0.29325186721307694</v>
      </c>
      <c r="G242" s="200">
        <f t="shared" si="168"/>
        <v>1.7437546594041953E-2</v>
      </c>
    </row>
    <row r="243" spans="1:7" x14ac:dyDescent="0.3">
      <c r="A243" t="str">
        <f t="shared" si="165"/>
        <v>23 Teaching and other educational professionals</v>
      </c>
      <c r="B243" s="11">
        <v>0.46992987241060635</v>
      </c>
      <c r="C243" s="11">
        <v>0.20869908767294418</v>
      </c>
      <c r="D243" s="11">
        <f t="shared" si="166"/>
        <v>-0.26123078473766215</v>
      </c>
      <c r="E243" s="11">
        <v>0.15309355615031695</v>
      </c>
      <c r="F243" s="11">
        <f t="shared" si="167"/>
        <v>-0.1081372285873452</v>
      </c>
      <c r="G243" s="200">
        <f>IF(B243&gt;0,(1+(E243/B243))^(1/($C$6-$B$6))-1,0)</f>
        <v>1.8977876702208407E-2</v>
      </c>
    </row>
    <row r="244" spans="1:7" x14ac:dyDescent="0.3">
      <c r="A244" t="str">
        <f t="shared" si="165"/>
        <v>24 Business, media and public service professionals</v>
      </c>
      <c r="B244" s="11">
        <v>1.6898354082843994</v>
      </c>
      <c r="C244" s="11">
        <v>0.90379682353137303</v>
      </c>
      <c r="D244" s="11">
        <f t="shared" si="166"/>
        <v>-0.78603858475302635</v>
      </c>
      <c r="E244" s="11">
        <v>0.50690463496498017</v>
      </c>
      <c r="F244" s="11">
        <f t="shared" si="167"/>
        <v>-0.27913394978804618</v>
      </c>
      <c r="G244" s="200">
        <f t="shared" ref="G244:G263" si="169">IF(B244&gt;0,(1+(E244/B244))^(1/($C$6-$B$6))-1,0)</f>
        <v>1.7643393166028476E-2</v>
      </c>
    </row>
    <row r="245" spans="1:7" x14ac:dyDescent="0.3">
      <c r="A245" t="str">
        <f t="shared" si="165"/>
        <v>31 Science, engineering and technology associate professionals</v>
      </c>
      <c r="B245" s="11">
        <v>1.0571328406662892</v>
      </c>
      <c r="C245" s="11">
        <v>0.63703341954695702</v>
      </c>
      <c r="D245" s="11">
        <f t="shared" si="166"/>
        <v>-0.42009942111933218</v>
      </c>
      <c r="E245" s="11">
        <v>0.28278382783139167</v>
      </c>
      <c r="F245" s="11">
        <f t="shared" si="167"/>
        <v>-0.13731559328794052</v>
      </c>
      <c r="G245" s="200">
        <f>IF(B245&gt;0,(1+(E245/B245))^(1/($C$6-$B$6))-1,0)</f>
        <v>1.5928666498073119E-2</v>
      </c>
    </row>
    <row r="246" spans="1:7" x14ac:dyDescent="0.3">
      <c r="A246" t="str">
        <f t="shared" si="165"/>
        <v>32 Health and social care associate professionals</v>
      </c>
      <c r="B246" s="11">
        <v>0.4434376536640845</v>
      </c>
      <c r="C246" s="11">
        <v>0.30336473279635889</v>
      </c>
      <c r="D246" s="11">
        <f t="shared" si="166"/>
        <v>-0.1400729208677256</v>
      </c>
      <c r="E246" s="11">
        <v>0.20164189826166137</v>
      </c>
      <c r="F246" s="11">
        <f t="shared" si="167"/>
        <v>6.156897739393577E-2</v>
      </c>
      <c r="G246" s="200">
        <f t="shared" si="169"/>
        <v>2.5302572905896881E-2</v>
      </c>
    </row>
    <row r="247" spans="1:7" x14ac:dyDescent="0.3">
      <c r="A247" t="str">
        <f t="shared" si="165"/>
        <v>33 Protective service occupations</v>
      </c>
      <c r="B247" s="11">
        <v>0.58393212527107796</v>
      </c>
      <c r="C247" s="11">
        <v>0.29210986721005272</v>
      </c>
      <c r="D247" s="11">
        <f t="shared" si="166"/>
        <v>-0.29182225806102524</v>
      </c>
      <c r="E247" s="11">
        <v>0.13653936633025288</v>
      </c>
      <c r="F247" s="11">
        <f t="shared" si="167"/>
        <v>-0.15528289173077237</v>
      </c>
      <c r="G247" s="200">
        <f t="shared" si="169"/>
        <v>1.4106645782531846E-2</v>
      </c>
    </row>
    <row r="248" spans="1:7" x14ac:dyDescent="0.3">
      <c r="A248" t="str">
        <f t="shared" si="165"/>
        <v>34 Culture, media and sports occupations</v>
      </c>
      <c r="B248" s="11">
        <v>0.44332395509340033</v>
      </c>
      <c r="C248" s="11">
        <v>0.13840270709916119</v>
      </c>
      <c r="D248" s="11">
        <f t="shared" si="166"/>
        <v>-0.30492124799423914</v>
      </c>
      <c r="E248" s="11">
        <v>8.7708272867228487E-2</v>
      </c>
      <c r="F248" s="11">
        <f t="shared" ref="F248:F249" si="170">SUM(D248:E248)</f>
        <v>-0.21721297512701065</v>
      </c>
      <c r="G248" s="200">
        <f t="shared" si="169"/>
        <v>1.210750513851333E-2</v>
      </c>
    </row>
    <row r="249" spans="1:7" x14ac:dyDescent="0.3">
      <c r="A249" t="str">
        <f t="shared" si="165"/>
        <v>35 Business and public service associate professionals</v>
      </c>
      <c r="B249" s="11">
        <v>2.6004774873929857</v>
      </c>
      <c r="C249" s="11">
        <v>1.2664315714118151</v>
      </c>
      <c r="D249" s="11">
        <f t="shared" si="166"/>
        <v>-1.3340459159811706</v>
      </c>
      <c r="E249" s="11">
        <v>0.69051000047668909</v>
      </c>
      <c r="F249" s="11">
        <f t="shared" si="170"/>
        <v>-0.64353591550448153</v>
      </c>
      <c r="G249" s="200">
        <f t="shared" si="169"/>
        <v>1.5823390763535672E-2</v>
      </c>
    </row>
    <row r="250" spans="1:7" x14ac:dyDescent="0.3">
      <c r="A250" t="str">
        <f t="shared" si="165"/>
        <v>41 Administrative occupations</v>
      </c>
      <c r="B250" s="11">
        <v>4.9009950763662768</v>
      </c>
      <c r="C250" s="11">
        <v>1.3041893711679875</v>
      </c>
      <c r="D250" s="11">
        <f t="shared" si="166"/>
        <v>-3.5968057051982893</v>
      </c>
      <c r="E250" s="11">
        <v>1.1324113542715537</v>
      </c>
      <c r="F250" s="11">
        <f t="shared" ref="F250:F253" si="171">SUM(D250:E250)</f>
        <v>-2.4643943509267356</v>
      </c>
      <c r="G250" s="200">
        <f t="shared" si="169"/>
        <v>1.3954704027041132E-2</v>
      </c>
    </row>
    <row r="251" spans="1:7" x14ac:dyDescent="0.3">
      <c r="A251" t="str">
        <f t="shared" si="165"/>
        <v>42 Secretarial and related occupations</v>
      </c>
      <c r="B251" s="11">
        <v>1.6820682967364342</v>
      </c>
      <c r="C251" s="11">
        <v>0.2307788221279865</v>
      </c>
      <c r="D251" s="11">
        <f t="shared" si="166"/>
        <v>-1.4512894746084477</v>
      </c>
      <c r="E251" s="11">
        <v>0.39158883694984242</v>
      </c>
      <c r="F251" s="11">
        <f t="shared" si="171"/>
        <v>-1.0597006376586053</v>
      </c>
      <c r="G251" s="200">
        <f t="shared" si="169"/>
        <v>1.4050433352039482E-2</v>
      </c>
    </row>
    <row r="252" spans="1:7" x14ac:dyDescent="0.3">
      <c r="A252" t="str">
        <f t="shared" si="165"/>
        <v>51 Skilled agricultural and related trades</v>
      </c>
      <c r="B252" s="11">
        <v>0.71514612342379791</v>
      </c>
      <c r="C252" s="11">
        <v>0.80335150336114003</v>
      </c>
      <c r="D252" s="11">
        <f t="shared" si="166"/>
        <v>8.8205379937342121E-2</v>
      </c>
      <c r="E252" s="11">
        <v>0.3364882880601644</v>
      </c>
      <c r="F252" s="11">
        <f t="shared" si="171"/>
        <v>0.42469366799750652</v>
      </c>
      <c r="G252" s="200">
        <f t="shared" si="169"/>
        <v>2.6040885124665403E-2</v>
      </c>
    </row>
    <row r="253" spans="1:7" x14ac:dyDescent="0.3">
      <c r="A253" t="str">
        <f t="shared" si="165"/>
        <v>52 Skilled metal, electrical and electronic trades</v>
      </c>
      <c r="B253" s="11">
        <v>2.8024218417015874</v>
      </c>
      <c r="C253" s="11">
        <v>1.2002888254006703</v>
      </c>
      <c r="D253" s="11">
        <f t="shared" si="166"/>
        <v>-1.6021330163009171</v>
      </c>
      <c r="E253" s="11">
        <v>0.69027253715280945</v>
      </c>
      <c r="F253" s="11">
        <f t="shared" si="171"/>
        <v>-0.91186047914810764</v>
      </c>
      <c r="G253" s="200">
        <f t="shared" si="169"/>
        <v>1.4787568690628028E-2</v>
      </c>
    </row>
    <row r="254" spans="1:7" x14ac:dyDescent="0.3">
      <c r="A254" t="str">
        <f t="shared" si="165"/>
        <v>53 Skilled construction and building trades</v>
      </c>
      <c r="B254" s="11">
        <v>2.6774607516522253</v>
      </c>
      <c r="C254" s="11">
        <v>1.5518542013653056</v>
      </c>
      <c r="D254" s="11">
        <f t="shared" si="166"/>
        <v>-1.1256065502869197</v>
      </c>
      <c r="E254" s="11">
        <v>0.81640043696985498</v>
      </c>
      <c r="F254" s="11">
        <f t="shared" ref="F254" si="172">SUM(D254:E254)</f>
        <v>-0.30920611331706471</v>
      </c>
      <c r="G254" s="200">
        <f t="shared" si="169"/>
        <v>1.7900909027737333E-2</v>
      </c>
    </row>
    <row r="255" spans="1:7" x14ac:dyDescent="0.3">
      <c r="A255" t="str">
        <f t="shared" si="165"/>
        <v>54 Textiles, printing and other skilled trades</v>
      </c>
      <c r="B255" s="11">
        <v>1.5800721221504035</v>
      </c>
      <c r="C255" s="11">
        <v>0.88822338519341559</v>
      </c>
      <c r="D255" s="11">
        <f t="shared" si="166"/>
        <v>-0.6918487369569879</v>
      </c>
      <c r="E255" s="11">
        <v>0.47416734491117546</v>
      </c>
      <c r="F255" s="11">
        <f t="shared" ref="F255" si="173">SUM(D255:E255)</f>
        <v>-0.21768139204581244</v>
      </c>
      <c r="G255" s="200">
        <f t="shared" si="169"/>
        <v>1.7649625725240092E-2</v>
      </c>
    </row>
    <row r="256" spans="1:7" x14ac:dyDescent="0.3">
      <c r="A256" t="str">
        <f t="shared" si="165"/>
        <v>61 Caring personal service occupations</v>
      </c>
      <c r="B256" s="11">
        <v>1.4660701153049098</v>
      </c>
      <c r="C256" s="11">
        <v>0.73893507123057256</v>
      </c>
      <c r="D256" s="11">
        <f>C256-B256</f>
        <v>-0.72713504407433727</v>
      </c>
      <c r="E256" s="11">
        <v>0.33058369520826747</v>
      </c>
      <c r="F256" s="11">
        <f>SUM(D256:E256)</f>
        <v>-0.3965513488660698</v>
      </c>
      <c r="G256" s="200">
        <f t="shared" si="169"/>
        <v>1.3648333678176083E-2</v>
      </c>
    </row>
    <row r="257" spans="1:7" x14ac:dyDescent="0.3">
      <c r="A257" t="str">
        <f t="shared" si="165"/>
        <v>62 Leisure, travel and related personal service occupations</v>
      </c>
      <c r="B257" s="11">
        <v>1.392087677542144</v>
      </c>
      <c r="C257" s="11">
        <v>0.73546264092131908</v>
      </c>
      <c r="D257" s="11">
        <f t="shared" ref="D257:D263" si="174">C257-B257</f>
        <v>-0.65662503662082494</v>
      </c>
      <c r="E257" s="11">
        <v>0.44813919303168165</v>
      </c>
      <c r="F257" s="11">
        <f t="shared" ref="F257:F258" si="175">SUM(D257:E257)</f>
        <v>-0.20848584358914329</v>
      </c>
      <c r="G257" s="200">
        <f t="shared" si="169"/>
        <v>1.8779784133760025E-2</v>
      </c>
    </row>
    <row r="258" spans="1:7" x14ac:dyDescent="0.3">
      <c r="A258" t="str">
        <f t="shared" si="165"/>
        <v>63 Community and civil enforcement occupations</v>
      </c>
      <c r="B258" s="11">
        <v>9.4047922368465722E-2</v>
      </c>
      <c r="C258" s="11">
        <v>5.306508109641133E-2</v>
      </c>
      <c r="D258" s="11">
        <f t="shared" si="174"/>
        <v>-4.0982841272054392E-2</v>
      </c>
      <c r="E258" s="11">
        <v>2.5910398201763409E-2</v>
      </c>
      <c r="F258" s="11">
        <f t="shared" si="175"/>
        <v>-1.5072443070290983E-2</v>
      </c>
      <c r="G258" s="200">
        <f t="shared" si="169"/>
        <v>1.635496106954859E-2</v>
      </c>
    </row>
    <row r="259" spans="1:7" x14ac:dyDescent="0.3">
      <c r="A259" t="str">
        <f t="shared" si="165"/>
        <v>71 Sales occupations</v>
      </c>
      <c r="B259" s="11">
        <v>4.7489068330129562</v>
      </c>
      <c r="C259" s="11">
        <v>1.595251934127762</v>
      </c>
      <c r="D259" s="11">
        <f t="shared" si="174"/>
        <v>-3.1536548988851942</v>
      </c>
      <c r="E259" s="11">
        <v>1.1702225486654796</v>
      </c>
      <c r="F259" s="11">
        <f t="shared" ref="F259:F260" si="176">SUM(D259:E259)</f>
        <v>-1.9834323502197146</v>
      </c>
      <c r="G259" s="200">
        <f t="shared" si="169"/>
        <v>1.4793349150363566E-2</v>
      </c>
    </row>
    <row r="260" spans="1:7" x14ac:dyDescent="0.3">
      <c r="A260" t="str">
        <f t="shared" si="165"/>
        <v>72 Customer service occupations</v>
      </c>
      <c r="B260" s="11">
        <v>1.0856040301194343</v>
      </c>
      <c r="C260" s="11">
        <v>0.8158814591692346</v>
      </c>
      <c r="D260" s="11">
        <f t="shared" si="174"/>
        <v>-0.26972257095019969</v>
      </c>
      <c r="E260" s="11">
        <v>0.31916655975016345</v>
      </c>
      <c r="F260" s="11">
        <f t="shared" si="176"/>
        <v>4.9443988799963756E-2</v>
      </c>
      <c r="G260" s="200">
        <f t="shared" si="169"/>
        <v>1.73309660038794E-2</v>
      </c>
    </row>
    <row r="261" spans="1:7" x14ac:dyDescent="0.3">
      <c r="A261" t="str">
        <f t="shared" si="165"/>
        <v>81 Process, plant and machine operatives</v>
      </c>
      <c r="B261" s="11">
        <v>4.356130214201861</v>
      </c>
      <c r="C261" s="11">
        <v>1.8570656265852192</v>
      </c>
      <c r="D261" s="11">
        <f t="shared" si="174"/>
        <v>-2.4990645876166417</v>
      </c>
      <c r="E261" s="11">
        <v>1.2319562167523013</v>
      </c>
      <c r="F261" s="11">
        <f t="shared" ref="F261:F262" si="177">SUM(D261:E261)</f>
        <v>-1.2671083708643405</v>
      </c>
      <c r="G261" s="200">
        <f t="shared" si="169"/>
        <v>1.6742125216935522E-2</v>
      </c>
    </row>
    <row r="262" spans="1:7" x14ac:dyDescent="0.3">
      <c r="A262" t="str">
        <f t="shared" si="165"/>
        <v>82 Transport and mobile machine drivers and operatives</v>
      </c>
      <c r="B262" s="11">
        <v>5.3205790763657879</v>
      </c>
      <c r="C262" s="11">
        <v>3.5482319367690311</v>
      </c>
      <c r="D262" s="11">
        <f t="shared" si="174"/>
        <v>-1.7723471395967567</v>
      </c>
      <c r="E262" s="11">
        <v>2.0476353812307573</v>
      </c>
      <c r="F262" s="11">
        <f t="shared" si="177"/>
        <v>0.27528824163400056</v>
      </c>
      <c r="G262" s="200">
        <f t="shared" si="169"/>
        <v>2.1943510992143311E-2</v>
      </c>
    </row>
    <row r="263" spans="1:7" x14ac:dyDescent="0.3">
      <c r="A263" t="str">
        <f t="shared" si="165"/>
        <v>91 Elementary trades and related occupations</v>
      </c>
      <c r="B263" s="11">
        <v>2.6670253289912735</v>
      </c>
      <c r="C263" s="11">
        <v>3.4732844371305114</v>
      </c>
      <c r="D263" s="11">
        <f t="shared" si="174"/>
        <v>0.80625910813923785</v>
      </c>
      <c r="E263" s="11">
        <v>1.6622623516562582</v>
      </c>
      <c r="F263" s="11">
        <f t="shared" ref="F263" si="178">SUM(D263:E263)</f>
        <v>2.4685214597954959</v>
      </c>
      <c r="G263" s="200">
        <f t="shared" si="169"/>
        <v>3.2823126024816185E-2</v>
      </c>
    </row>
    <row r="264" spans="1:7" x14ac:dyDescent="0.3">
      <c r="A264" t="str">
        <f t="shared" si="165"/>
        <v>92 Elementary administration and service occupations</v>
      </c>
      <c r="B264" s="11">
        <v>9.2319589785710523</v>
      </c>
      <c r="C264" s="11">
        <v>4.7408136531862057</v>
      </c>
      <c r="D264" s="11">
        <f t="shared" ref="D264" si="179">C264-B264</f>
        <v>-4.4911453253848466</v>
      </c>
      <c r="E264" s="11">
        <v>2.7616875827452185</v>
      </c>
      <c r="F264" s="11">
        <f>SUM(D264:E264)</f>
        <v>-1.729457742639628</v>
      </c>
      <c r="G264" s="200">
        <f t="shared" ref="G264:G265" si="180">IF(B264&gt;0,(1+(E264/B264))^(1/($C$6-$B$6))-1,0)</f>
        <v>1.760014151007816E-2</v>
      </c>
    </row>
    <row r="265" spans="1:7" x14ac:dyDescent="0.3">
      <c r="A265" t="str">
        <f t="shared" si="165"/>
        <v>All occupations</v>
      </c>
      <c r="B265" s="11">
        <f>SUM(B239:B264)</f>
        <v>60.025143488041756</v>
      </c>
      <c r="C265" s="11">
        <f t="shared" ref="C265:F265" si="181">SUM(C239:C264)</f>
        <v>31.922824506490013</v>
      </c>
      <c r="D265" s="11">
        <f t="shared" si="181"/>
        <v>-28.102318981551729</v>
      </c>
      <c r="E265" s="11">
        <f t="shared" si="181"/>
        <v>18.511091400538422</v>
      </c>
      <c r="F265" s="11">
        <f t="shared" si="181"/>
        <v>-9.5912275810133139</v>
      </c>
      <c r="G265" s="200">
        <f t="shared" si="180"/>
        <v>1.8081294259755021E-2</v>
      </c>
    </row>
    <row r="267" spans="1:7" ht="25.5" x14ac:dyDescent="0.3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1.1738990392941775</v>
      </c>
      <c r="C268" s="11">
        <v>0.62025634705124544</v>
      </c>
      <c r="D268" s="11">
        <f>C268-B268</f>
        <v>-0.55364269224293206</v>
      </c>
      <c r="E268" s="11">
        <v>0.26406488953692731</v>
      </c>
      <c r="F268" s="11">
        <f>SUM(D268:E268)</f>
        <v>-0.28957780270600475</v>
      </c>
      <c r="G268" s="200">
        <f>IF(B268&gt;0,(1+(E268/B268))^(1/($C$6-$B$6))-1,0)</f>
        <v>1.3618393887466107E-2</v>
      </c>
    </row>
    <row r="269" spans="1:7" x14ac:dyDescent="0.3">
      <c r="A269" t="str">
        <f t="shared" si="183"/>
        <v>12 Other managers and proprietors</v>
      </c>
      <c r="B269" s="11">
        <v>0.7474905956119029</v>
      </c>
      <c r="C269" s="11">
        <v>0.35517126377611108</v>
      </c>
      <c r="D269" s="11">
        <f t="shared" ref="D269:D284" si="184">C269-B269</f>
        <v>-0.39231933183579182</v>
      </c>
      <c r="E269" s="11">
        <v>0.18836469138738829</v>
      </c>
      <c r="F269" s="11">
        <f t="shared" ref="F269:F276" si="185">SUM(D269:E269)</f>
        <v>-0.20395464044840353</v>
      </c>
      <c r="G269" s="200">
        <f t="shared" ref="G269:G271" si="186">IF(B269&gt;0,(1+(E269/B269))^(1/($C$6-$B$6))-1,0)</f>
        <v>1.5095410772345996E-2</v>
      </c>
    </row>
    <row r="270" spans="1:7" x14ac:dyDescent="0.3">
      <c r="A270" t="str">
        <f t="shared" si="183"/>
        <v>21 Science, research, engineering and technology professionals</v>
      </c>
      <c r="B270" s="11">
        <v>0.60251175061506246</v>
      </c>
      <c r="C270" s="11">
        <v>0.43899532083362797</v>
      </c>
      <c r="D270" s="11">
        <f t="shared" si="184"/>
        <v>-0.16351642978143449</v>
      </c>
      <c r="E270" s="11">
        <v>0.16200144566850666</v>
      </c>
      <c r="F270" s="11">
        <f t="shared" si="185"/>
        <v>-1.5149841129278308E-3</v>
      </c>
      <c r="G270" s="200">
        <f t="shared" si="186"/>
        <v>1.6002159404049365E-2</v>
      </c>
    </row>
    <row r="271" spans="1:7" x14ac:dyDescent="0.3">
      <c r="A271" t="str">
        <f t="shared" si="183"/>
        <v>22 Health professionals</v>
      </c>
      <c r="B271" s="11">
        <v>0.31063394520542525</v>
      </c>
      <c r="C271" s="11">
        <v>0.16826221970663285</v>
      </c>
      <c r="D271" s="11">
        <f t="shared" si="184"/>
        <v>-0.1423717254987924</v>
      </c>
      <c r="E271" s="11">
        <v>8.7665390222186015E-2</v>
      </c>
      <c r="F271" s="11">
        <f t="shared" si="185"/>
        <v>-5.4706335276606385E-2</v>
      </c>
      <c r="G271" s="200">
        <f t="shared" si="186"/>
        <v>1.6710662073652571E-2</v>
      </c>
    </row>
    <row r="272" spans="1:7" x14ac:dyDescent="0.3">
      <c r="A272" t="str">
        <f t="shared" si="183"/>
        <v>23 Teaching and other educational professionals</v>
      </c>
      <c r="B272" s="11">
        <v>0.21146611855062372</v>
      </c>
      <c r="C272" s="11">
        <v>0.1166817075868013</v>
      </c>
      <c r="D272" s="11">
        <f t="shared" si="184"/>
        <v>-9.4784410963822424E-2</v>
      </c>
      <c r="E272" s="11">
        <v>6.3443833399459332E-2</v>
      </c>
      <c r="F272" s="11">
        <f t="shared" si="185"/>
        <v>-3.1340577564363092E-2</v>
      </c>
      <c r="G272" s="200">
        <f>IF(B272&gt;0,(1+(E272/B272))^(1/($C$6-$B$6))-1,0)</f>
        <v>1.7645800008566415E-2</v>
      </c>
    </row>
    <row r="273" spans="1:7" x14ac:dyDescent="0.3">
      <c r="A273" t="str">
        <f t="shared" si="183"/>
        <v>24 Business, media and public service professionals</v>
      </c>
      <c r="B273" s="11">
        <v>0.64596547543810201</v>
      </c>
      <c r="C273" s="11">
        <v>0.35132501500276314</v>
      </c>
      <c r="D273" s="11">
        <f t="shared" si="184"/>
        <v>-0.29464046043533887</v>
      </c>
      <c r="E273" s="11">
        <v>0.16365818287024261</v>
      </c>
      <c r="F273" s="11">
        <f t="shared" si="185"/>
        <v>-0.13098227756509626</v>
      </c>
      <c r="G273" s="200">
        <f t="shared" ref="G273" si="187">IF(B273&gt;0,(1+(E273/B273))^(1/($C$6-$B$6))-1,0)</f>
        <v>1.5168793251565393E-2</v>
      </c>
    </row>
    <row r="274" spans="1:7" x14ac:dyDescent="0.3">
      <c r="A274" t="str">
        <f t="shared" si="183"/>
        <v>31 Science, engineering and technology associate professionals</v>
      </c>
      <c r="B274" s="11">
        <v>0.32434123960780642</v>
      </c>
      <c r="C274" s="11">
        <v>0.28612459896630899</v>
      </c>
      <c r="D274" s="11">
        <f t="shared" si="184"/>
        <v>-3.8216640641497435E-2</v>
      </c>
      <c r="E274" s="11">
        <v>0.10595298393677755</v>
      </c>
      <c r="F274" s="11">
        <f t="shared" si="185"/>
        <v>6.773634329528011E-2</v>
      </c>
      <c r="G274" s="200">
        <f>IF(B274&gt;0,(1+(E274/B274))^(1/($C$6-$B$6))-1,0)</f>
        <v>1.9023554910414742E-2</v>
      </c>
    </row>
    <row r="275" spans="1:7" x14ac:dyDescent="0.3">
      <c r="A275" t="str">
        <f t="shared" si="183"/>
        <v>32 Health and social care associate professionals</v>
      </c>
      <c r="B275" s="11">
        <v>0.12215912615490418</v>
      </c>
      <c r="C275" s="11">
        <v>0.11485210956567854</v>
      </c>
      <c r="D275" s="11">
        <f t="shared" si="184"/>
        <v>-7.30701658922564E-3</v>
      </c>
      <c r="E275" s="11">
        <v>5.1791669254615202E-2</v>
      </c>
      <c r="F275" s="11">
        <f t="shared" si="185"/>
        <v>4.4484652665389562E-2</v>
      </c>
      <c r="G275" s="200">
        <f t="shared" ref="G275:G292" si="188">IF(B275&gt;0,(1+(E275/B275))^(1/($C$6-$B$6))-1,0)</f>
        <v>2.3843003301435628E-2</v>
      </c>
    </row>
    <row r="276" spans="1:7" x14ac:dyDescent="0.3">
      <c r="A276" t="str">
        <f t="shared" si="183"/>
        <v>33 Protective service occupations</v>
      </c>
      <c r="B276" s="11">
        <v>0.13157433054553327</v>
      </c>
      <c r="C276" s="11">
        <v>7.1410348938892476E-2</v>
      </c>
      <c r="D276" s="11">
        <f t="shared" si="184"/>
        <v>-6.0163981606640798E-2</v>
      </c>
      <c r="E276" s="11">
        <v>2.0668394386851443E-2</v>
      </c>
      <c r="F276" s="11">
        <f t="shared" si="185"/>
        <v>-3.9495587219789352E-2</v>
      </c>
      <c r="G276" s="200">
        <f t="shared" si="188"/>
        <v>9.7744057243638327E-3</v>
      </c>
    </row>
    <row r="277" spans="1:7" x14ac:dyDescent="0.3">
      <c r="A277" t="str">
        <f t="shared" si="183"/>
        <v>34 Culture, media and sports occupations</v>
      </c>
      <c r="B277" s="11">
        <v>0.2881935504382131</v>
      </c>
      <c r="C277" s="11">
        <v>0.14594160158156683</v>
      </c>
      <c r="D277" s="11">
        <f t="shared" si="184"/>
        <v>-0.14225194885664627</v>
      </c>
      <c r="E277" s="11">
        <v>6.6315576150305977E-2</v>
      </c>
      <c r="F277" s="11">
        <f t="shared" ref="F277:F278" si="189">SUM(D277:E277)</f>
        <v>-7.5936372706340294E-2</v>
      </c>
      <c r="G277" s="200">
        <f t="shared" si="188"/>
        <v>1.3902539580110007E-2</v>
      </c>
    </row>
    <row r="278" spans="1:7" x14ac:dyDescent="0.3">
      <c r="A278" t="str">
        <f t="shared" si="183"/>
        <v>35 Business and public service associate professionals</v>
      </c>
      <c r="B278" s="11">
        <v>0.97256066593665447</v>
      </c>
      <c r="C278" s="11">
        <v>0.51917055629754838</v>
      </c>
      <c r="D278" s="11">
        <f t="shared" si="184"/>
        <v>-0.45339010963910609</v>
      </c>
      <c r="E278" s="11">
        <v>0.20566464147618702</v>
      </c>
      <c r="F278" s="11">
        <f t="shared" si="189"/>
        <v>-0.24772546816291907</v>
      </c>
      <c r="G278" s="200">
        <f t="shared" si="188"/>
        <v>1.2870936801239852E-2</v>
      </c>
    </row>
    <row r="279" spans="1:7" x14ac:dyDescent="0.3">
      <c r="A279" t="str">
        <f t="shared" si="183"/>
        <v>41 Administrative occupations</v>
      </c>
      <c r="B279" s="11">
        <v>2.0244289830535291</v>
      </c>
      <c r="C279" s="11">
        <v>0.99277260370390097</v>
      </c>
      <c r="D279" s="11">
        <f t="shared" si="184"/>
        <v>-1.0316563793496281</v>
      </c>
      <c r="E279" s="11">
        <v>0.44070305913813612</v>
      </c>
      <c r="F279" s="11">
        <f t="shared" ref="F279:F282" si="190">SUM(D279:E279)</f>
        <v>-0.59095332021149194</v>
      </c>
      <c r="G279" s="200">
        <f t="shared" si="188"/>
        <v>1.3217096784785776E-2</v>
      </c>
    </row>
    <row r="280" spans="1:7" x14ac:dyDescent="0.3">
      <c r="A280" t="str">
        <f t="shared" si="183"/>
        <v>42 Secretarial and related occupations</v>
      </c>
      <c r="B280" s="11">
        <v>0.65943185089343614</v>
      </c>
      <c r="C280" s="11">
        <v>0.40650727936597925</v>
      </c>
      <c r="D280" s="11">
        <f t="shared" si="184"/>
        <v>-0.2529245715274569</v>
      </c>
      <c r="E280" s="11">
        <v>0.20612775534541428</v>
      </c>
      <c r="F280" s="11">
        <f t="shared" si="190"/>
        <v>-4.6796816182042622E-2</v>
      </c>
      <c r="G280" s="200">
        <f t="shared" si="188"/>
        <v>1.8298578192037507E-2</v>
      </c>
    </row>
    <row r="281" spans="1:7" x14ac:dyDescent="0.3">
      <c r="A281" t="str">
        <f t="shared" si="183"/>
        <v>51 Skilled agricultural and related trades</v>
      </c>
      <c r="B281" s="11">
        <v>0.46963499929906038</v>
      </c>
      <c r="C281" s="11">
        <v>0.2330324223352068</v>
      </c>
      <c r="D281" s="11">
        <f t="shared" si="184"/>
        <v>-0.23660257696385359</v>
      </c>
      <c r="E281" s="11">
        <v>0.12891802698492949</v>
      </c>
      <c r="F281" s="11">
        <f t="shared" si="190"/>
        <v>-0.1076845499789241</v>
      </c>
      <c r="G281" s="200">
        <f t="shared" si="188"/>
        <v>1.6302073696274233E-2</v>
      </c>
    </row>
    <row r="282" spans="1:7" x14ac:dyDescent="0.3">
      <c r="A282" t="str">
        <f t="shared" si="183"/>
        <v>52 Skilled metal, electrical and electronic trades</v>
      </c>
      <c r="B282" s="11">
        <v>1.444272980015455</v>
      </c>
      <c r="C282" s="11">
        <v>0.4564254894928943</v>
      </c>
      <c r="D282" s="11">
        <f t="shared" si="184"/>
        <v>-0.98784749052256071</v>
      </c>
      <c r="E282" s="11">
        <v>0.25872450442454226</v>
      </c>
      <c r="F282" s="11">
        <f t="shared" si="190"/>
        <v>-0.7291229860980184</v>
      </c>
      <c r="G282" s="200">
        <f t="shared" si="188"/>
        <v>1.1046153677547688E-2</v>
      </c>
    </row>
    <row r="283" spans="1:7" x14ac:dyDescent="0.3">
      <c r="A283" t="str">
        <f t="shared" si="183"/>
        <v>53 Skilled construction and building trades</v>
      </c>
      <c r="B283" s="11">
        <v>1.9945758633782662</v>
      </c>
      <c r="C283" s="11">
        <v>0.17999781673767709</v>
      </c>
      <c r="D283" s="11">
        <f t="shared" si="184"/>
        <v>-1.8145780466405892</v>
      </c>
      <c r="E283" s="11">
        <v>0.23953242733313707</v>
      </c>
      <c r="F283" s="11">
        <f t="shared" ref="F283" si="191">SUM(D283:E283)</f>
        <v>-1.5750456193074522</v>
      </c>
      <c r="G283" s="200">
        <f t="shared" si="188"/>
        <v>7.5893707497844964E-3</v>
      </c>
    </row>
    <row r="284" spans="1:7" x14ac:dyDescent="0.3">
      <c r="A284" t="str">
        <f t="shared" si="183"/>
        <v>54 Textiles, printing and other skilled trades</v>
      </c>
      <c r="B284" s="11">
        <v>1.1669076436963572</v>
      </c>
      <c r="C284" s="11">
        <v>0.4214611141006453</v>
      </c>
      <c r="D284" s="11">
        <f t="shared" si="184"/>
        <v>-0.745446529595712</v>
      </c>
      <c r="E284" s="11">
        <v>0.20499360045299536</v>
      </c>
      <c r="F284" s="11">
        <f t="shared" ref="F284" si="192">SUM(D284:E284)</f>
        <v>-0.5404529291427167</v>
      </c>
      <c r="G284" s="200">
        <f t="shared" si="188"/>
        <v>1.0847770796448275E-2</v>
      </c>
    </row>
    <row r="285" spans="1:7" x14ac:dyDescent="0.3">
      <c r="A285" t="str">
        <f t="shared" si="183"/>
        <v>61 Caring personal service occupations</v>
      </c>
      <c r="B285" s="11">
        <v>0.52346223229924793</v>
      </c>
      <c r="C285" s="11">
        <v>0.30285019289841425</v>
      </c>
      <c r="D285" s="11">
        <f>C285-B285</f>
        <v>-0.22061203940083368</v>
      </c>
      <c r="E285" s="11">
        <v>0.11760125142725299</v>
      </c>
      <c r="F285" s="11">
        <f>SUM(D285:E285)</f>
        <v>-0.10301078797358069</v>
      </c>
      <c r="G285" s="200">
        <f t="shared" si="188"/>
        <v>1.3602591921546114E-2</v>
      </c>
    </row>
    <row r="286" spans="1:7" x14ac:dyDescent="0.3">
      <c r="A286" t="str">
        <f t="shared" si="183"/>
        <v>62 Leisure, travel and related personal service occupations</v>
      </c>
      <c r="B286" s="11">
        <v>0.73439934112158267</v>
      </c>
      <c r="C286" s="11">
        <v>0.21855535154126704</v>
      </c>
      <c r="D286" s="11">
        <f t="shared" ref="D286:D292" si="193">C286-B286</f>
        <v>-0.51584398958031563</v>
      </c>
      <c r="E286" s="11">
        <v>0.11610218612722276</v>
      </c>
      <c r="F286" s="11">
        <f t="shared" ref="F286:F287" si="194">SUM(D286:E286)</f>
        <v>-0.39974180345309285</v>
      </c>
      <c r="G286" s="200">
        <f t="shared" si="188"/>
        <v>9.8329128643410701E-3</v>
      </c>
    </row>
    <row r="287" spans="1:7" x14ac:dyDescent="0.3">
      <c r="A287" t="str">
        <f t="shared" si="183"/>
        <v>63 Community and civil enforcement occupations</v>
      </c>
      <c r="B287" s="11">
        <v>4.2042430076300347E-2</v>
      </c>
      <c r="C287" s="11">
        <v>7.5248768286723675E-3</v>
      </c>
      <c r="D287" s="11">
        <f t="shared" si="193"/>
        <v>-3.451755324762798E-2</v>
      </c>
      <c r="E287" s="11">
        <v>3.8898006892707257E-3</v>
      </c>
      <c r="F287" s="11">
        <f t="shared" si="194"/>
        <v>-3.0627752558357254E-2</v>
      </c>
      <c r="G287" s="200">
        <f t="shared" si="188"/>
        <v>5.9166156170578077E-3</v>
      </c>
    </row>
    <row r="288" spans="1:7" x14ac:dyDescent="0.3">
      <c r="A288" t="str">
        <f t="shared" si="183"/>
        <v>71 Sales occupations</v>
      </c>
      <c r="B288" s="11">
        <v>2.9023787376878705</v>
      </c>
      <c r="C288" s="11">
        <v>0.8093126195934367</v>
      </c>
      <c r="D288" s="11">
        <f t="shared" si="193"/>
        <v>-2.0930661180944337</v>
      </c>
      <c r="E288" s="11">
        <v>0.39859311044588019</v>
      </c>
      <c r="F288" s="11">
        <f t="shared" ref="F288:F289" si="195">SUM(D288:E288)</f>
        <v>-1.6944730076485535</v>
      </c>
      <c r="G288" s="200">
        <f t="shared" si="188"/>
        <v>8.615990437559562E-3</v>
      </c>
    </row>
    <row r="289" spans="1:7" x14ac:dyDescent="0.3">
      <c r="A289" t="str">
        <f t="shared" si="183"/>
        <v>72 Customer service occupations</v>
      </c>
      <c r="B289" s="11">
        <v>0.60538144190958221</v>
      </c>
      <c r="C289" s="11">
        <v>0.4389544810029461</v>
      </c>
      <c r="D289" s="11">
        <f t="shared" si="193"/>
        <v>-0.16642696090663611</v>
      </c>
      <c r="E289" s="11">
        <v>0.16684289007027783</v>
      </c>
      <c r="F289" s="11">
        <f t="shared" si="195"/>
        <v>4.1592916364172061E-4</v>
      </c>
      <c r="G289" s="200">
        <f t="shared" si="188"/>
        <v>1.6360141941726747E-2</v>
      </c>
    </row>
    <row r="290" spans="1:7" x14ac:dyDescent="0.3">
      <c r="A290" t="str">
        <f t="shared" si="183"/>
        <v>81 Process, plant and machine operatives</v>
      </c>
      <c r="B290" s="11">
        <v>2.5060065470592061</v>
      </c>
      <c r="C290" s="11">
        <v>0.28710650314188546</v>
      </c>
      <c r="D290" s="11">
        <f t="shared" si="193"/>
        <v>-2.2189000439173205</v>
      </c>
      <c r="E290" s="11">
        <v>0.21495332440246118</v>
      </c>
      <c r="F290" s="11">
        <f t="shared" ref="F290:F291" si="196">SUM(D290:E290)</f>
        <v>-2.0039467195148593</v>
      </c>
      <c r="G290" s="200">
        <f t="shared" si="188"/>
        <v>5.5013600732445322E-3</v>
      </c>
    </row>
    <row r="291" spans="1:7" x14ac:dyDescent="0.3">
      <c r="A291" t="str">
        <f t="shared" si="183"/>
        <v>82 Transport and mobile machine drivers and operatives</v>
      </c>
      <c r="B291" s="11">
        <v>3.6615266969888709</v>
      </c>
      <c r="C291" s="11">
        <v>0.89948157343900803</v>
      </c>
      <c r="D291" s="11">
        <f t="shared" si="193"/>
        <v>-2.7620451235498629</v>
      </c>
      <c r="E291" s="11">
        <v>0.77732930445290449</v>
      </c>
      <c r="F291" s="11">
        <f t="shared" si="196"/>
        <v>-1.9847158190969583</v>
      </c>
      <c r="G291" s="200">
        <f t="shared" si="188"/>
        <v>1.2917147832390397E-2</v>
      </c>
    </row>
    <row r="292" spans="1:7" x14ac:dyDescent="0.3">
      <c r="A292" t="str">
        <f t="shared" si="183"/>
        <v>91 Elementary trades and related occupations</v>
      </c>
      <c r="B292" s="11">
        <v>1.9171516914918572</v>
      </c>
      <c r="C292" s="11">
        <v>1.8296447519611361</v>
      </c>
      <c r="D292" s="11">
        <f t="shared" si="193"/>
        <v>-8.7506939530721084E-2</v>
      </c>
      <c r="E292" s="11">
        <v>0.78628444670210529</v>
      </c>
      <c r="F292" s="11">
        <f t="shared" ref="F292" si="197">SUM(D292:E292)</f>
        <v>0.6987775071713842</v>
      </c>
      <c r="G292" s="200">
        <f t="shared" si="188"/>
        <v>2.3176701855644133E-2</v>
      </c>
    </row>
    <row r="293" spans="1:7" x14ac:dyDescent="0.3">
      <c r="A293" t="str">
        <f t="shared" si="183"/>
        <v>92 Elementary administration and service occupations</v>
      </c>
      <c r="B293" s="11">
        <v>5.6075842246575638</v>
      </c>
      <c r="C293" s="11">
        <v>1.4780064718658348</v>
      </c>
      <c r="D293" s="11">
        <f t="shared" ref="D293" si="198">C293-B293</f>
        <v>-4.1295777527917288</v>
      </c>
      <c r="E293" s="11">
        <v>0.80154576182449222</v>
      </c>
      <c r="F293" s="11">
        <f t="shared" ref="F293" si="199">SUM(D293:E293)</f>
        <v>-3.3280319909672365</v>
      </c>
      <c r="G293" s="200">
        <f t="shared" ref="G293:G294" si="200">IF(B293&gt;0,(1+(E293/B293))^(1/($C$6-$B$6))-1,0)</f>
        <v>8.9466862730029906E-3</v>
      </c>
    </row>
    <row r="294" spans="1:7" x14ac:dyDescent="0.3">
      <c r="A294" s="24" t="str">
        <f t="shared" si="183"/>
        <v>All occupations</v>
      </c>
      <c r="B294" s="34">
        <f>SUM(B268:B293)</f>
        <v>31.789981501026592</v>
      </c>
      <c r="C294" s="34">
        <f t="shared" ref="C294:F294" si="201">SUM(C268:C293)</f>
        <v>12.149824637316081</v>
      </c>
      <c r="D294" s="34">
        <f t="shared" si="201"/>
        <v>-19.640156863710509</v>
      </c>
      <c r="E294" s="34">
        <f t="shared" si="201"/>
        <v>6.2417331481104696</v>
      </c>
      <c r="F294" s="34">
        <f t="shared" si="201"/>
        <v>-13.398423715600041</v>
      </c>
      <c r="G294" s="234">
        <f t="shared" si="200"/>
        <v>1.2022982894636547E-2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81"/>
    <col min="15" max="15" width="44.1796875" customWidth="1"/>
    <col min="16" max="17" width="16.81640625" customWidth="1"/>
  </cols>
  <sheetData>
    <row r="1" spans="1:17" ht="15.5" x14ac:dyDescent="0.35">
      <c r="A1" s="80" t="str">
        <f>CONCATENATE("Replacement Demand Figure 1  Replacement Demand by Occupation Group (SOC 2020), ",P4,", ",Info!B5)</f>
        <v>Replacement Demand Figure 1  Replacement Demand by Occupation Group (SOC 2020), 2020-2035, Black Country</v>
      </c>
    </row>
    <row r="2" spans="1:17" ht="13" x14ac:dyDescent="0.3">
      <c r="A2" s="364" t="s">
        <v>523</v>
      </c>
    </row>
    <row r="3" spans="1:17" ht="13" x14ac:dyDescent="0.3">
      <c r="O3" s="46" t="s">
        <v>415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-0.30888113075301504</v>
      </c>
      <c r="Q7" s="11">
        <f>'Occ T1'!J16</f>
        <v>22.489106732582641</v>
      </c>
    </row>
    <row r="8" spans="1:17" x14ac:dyDescent="0.25">
      <c r="O8" t="str">
        <f>name!E11</f>
        <v>Process, plant and machine operatives</v>
      </c>
      <c r="P8" s="11">
        <f>'Occ T1'!H15</f>
        <v>-0.15863657338866233</v>
      </c>
      <c r="Q8" s="11">
        <f>'Occ T1'!J15</f>
        <v>19.309786239425978</v>
      </c>
    </row>
    <row r="9" spans="1:17" x14ac:dyDescent="0.25">
      <c r="O9" t="str">
        <f>name!E10</f>
        <v>Sales and customer service occupations</v>
      </c>
      <c r="P9" s="11">
        <f>'Occ T1'!H14</f>
        <v>-0.25870313674354861</v>
      </c>
      <c r="Q9" s="11">
        <f>'Occ T1'!J14</f>
        <v>17.552191640652445</v>
      </c>
    </row>
    <row r="10" spans="1:17" x14ac:dyDescent="0.25">
      <c r="O10" t="str">
        <f>name!E9</f>
        <v>Caring, leisure and other service occupations</v>
      </c>
      <c r="P10" s="11">
        <f>'Occ T1'!H13</f>
        <v>4.5817349046127376</v>
      </c>
      <c r="Q10" s="11">
        <f>'Occ T1'!J13</f>
        <v>33.236917556178</v>
      </c>
    </row>
    <row r="11" spans="1:17" x14ac:dyDescent="0.25">
      <c r="O11" t="str">
        <f>name!E8</f>
        <v>Skilled trades occupations</v>
      </c>
      <c r="P11" s="11">
        <f>'Occ T1'!H12</f>
        <v>-5.4699233712994157</v>
      </c>
      <c r="Q11" s="11">
        <f>'Occ T1'!J12</f>
        <v>14.891703136376162</v>
      </c>
    </row>
    <row r="12" spans="1:17" x14ac:dyDescent="0.25">
      <c r="O12" t="str">
        <f>name!E7</f>
        <v>Administrative and secretarial occupations</v>
      </c>
      <c r="P12" s="11">
        <f>'Occ T1'!H11</f>
        <v>-2.9511293871973407</v>
      </c>
      <c r="Q12" s="11">
        <f>'Occ T1'!J11</f>
        <v>25.282095390748907</v>
      </c>
    </row>
    <row r="13" spans="1:17" x14ac:dyDescent="0.25">
      <c r="O13" t="str">
        <f>name!E6</f>
        <v>Associate professional occupations</v>
      </c>
      <c r="P13" s="11">
        <f>'Occ T1'!H10</f>
        <v>10.694342641748491</v>
      </c>
      <c r="Q13" s="11">
        <f>'Occ T1'!J10</f>
        <v>42.42460793045494</v>
      </c>
    </row>
    <row r="14" spans="1:17" x14ac:dyDescent="0.25">
      <c r="O14" t="str">
        <f>name!E5</f>
        <v>Professional occupations</v>
      </c>
      <c r="P14" s="11">
        <f>'Occ T1'!H9</f>
        <v>18.195384258862177</v>
      </c>
      <c r="Q14" s="11">
        <f>'Occ T1'!J9</f>
        <v>70.294767484452763</v>
      </c>
    </row>
    <row r="15" spans="1:17" x14ac:dyDescent="0.25">
      <c r="O15" t="str">
        <f>name!E4</f>
        <v>Managers, directors and senior officials</v>
      </c>
      <c r="P15" s="11">
        <f>'Occ T1'!H8</f>
        <v>1.4258117941584203</v>
      </c>
      <c r="Q15" s="11">
        <f>'Occ T1'!J8</f>
        <v>25.98703749599521</v>
      </c>
    </row>
    <row r="34" spans="1:17" ht="15.5" x14ac:dyDescent="0.35">
      <c r="A34" s="80" t="str">
        <f>CONCATENATE("Replacement Demand Figure 1.1  Replacement Demand by Occupation (SOC 2020), ",P35,", ",Info!B5)</f>
        <v>Replacement Demand Figure 1.1  Replacement Demand by Occupation (SOC 2020), 2020-2035, Black Country</v>
      </c>
      <c r="O34" s="46" t="s">
        <v>415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-0.63237684257853033</v>
      </c>
      <c r="Q37" s="11">
        <f>'Occ T2'!J8</f>
        <v>15.857589617225866</v>
      </c>
    </row>
    <row r="38" spans="1:17" x14ac:dyDescent="0.25">
      <c r="O38" s="10" t="str">
        <f>name!D5</f>
        <v>12 Other managers and proprietors</v>
      </c>
      <c r="P38" s="11">
        <f>'Occ T2'!H9</f>
        <v>2.0581886367369489</v>
      </c>
      <c r="Q38" s="11">
        <f>'Occ T2'!J9</f>
        <v>10.129447878769344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9.785995648515307</v>
      </c>
      <c r="Q39" s="11">
        <f>'Occ T2'!J10</f>
        <v>21.814704094914461</v>
      </c>
    </row>
    <row r="40" spans="1:17" x14ac:dyDescent="0.25">
      <c r="O40" s="10" t="str">
        <f>name!D7</f>
        <v>22 Health professionals</v>
      </c>
      <c r="P40" s="11">
        <f>'Occ T2'!H11</f>
        <v>1.6943192677989956</v>
      </c>
      <c r="Q40" s="11">
        <f>'Occ T2'!J11</f>
        <v>16.060853948588878</v>
      </c>
    </row>
    <row r="41" spans="1:17" x14ac:dyDescent="0.25">
      <c r="O41" s="10" t="str">
        <f>name!D8</f>
        <v>23 Teaching and other educational professionals</v>
      </c>
      <c r="P41" s="11">
        <f>'Occ T2'!H12</f>
        <v>2.1387384451723044</v>
      </c>
      <c r="Q41" s="11">
        <f>'Occ T2'!J12</f>
        <v>13.618970881797207</v>
      </c>
    </row>
    <row r="42" spans="1:17" x14ac:dyDescent="0.25">
      <c r="O42" s="10" t="str">
        <f>name!D9</f>
        <v>24 Business, media and public service professionals</v>
      </c>
      <c r="P42" s="11">
        <f>'Occ T2'!H13</f>
        <v>4.5763308973755699</v>
      </c>
      <c r="Q42" s="11">
        <f>'Occ T2'!J13</f>
        <v>18.800238559152206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-0.28358469201754843</v>
      </c>
      <c r="Q43" s="11">
        <f>'Occ T2'!J14</f>
        <v>2.9672614568897928</v>
      </c>
    </row>
    <row r="44" spans="1:17" x14ac:dyDescent="0.25">
      <c r="O44" s="10" t="str">
        <f>name!D11</f>
        <v>32 Health and social care associate professionals</v>
      </c>
      <c r="P44" s="11">
        <f>'Occ T2'!H15</f>
        <v>10.053937867540389</v>
      </c>
      <c r="Q44" s="11">
        <f>'Occ T2'!J15</f>
        <v>20.529550127106315</v>
      </c>
    </row>
    <row r="45" spans="1:17" x14ac:dyDescent="0.25">
      <c r="O45" s="10" t="str">
        <f>name!D12</f>
        <v>33 Protective service occupations</v>
      </c>
      <c r="P45" s="11">
        <f>'Occ T2'!H16</f>
        <v>-0.23539630392559019</v>
      </c>
      <c r="Q45" s="11">
        <f>'Occ T2'!J16</f>
        <v>1.213828403503918</v>
      </c>
    </row>
    <row r="46" spans="1:17" x14ac:dyDescent="0.25">
      <c r="O46" s="10" t="str">
        <f>name!D13</f>
        <v>34 Culture, media and sports occupations</v>
      </c>
      <c r="P46" s="11">
        <f>'Occ T2'!H17</f>
        <v>-0.45375675075010058</v>
      </c>
      <c r="Q46" s="11">
        <f>'Occ T2'!J17</f>
        <v>2.7354455652122951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1.613142520901345</v>
      </c>
      <c r="Q47" s="11">
        <f>'Occ T2'!J18</f>
        <v>14.978522377742626</v>
      </c>
    </row>
    <row r="48" spans="1:17" x14ac:dyDescent="0.25">
      <c r="O48" s="10" t="str">
        <f>name!D15</f>
        <v>41 Administrative occupations</v>
      </c>
      <c r="P48" s="11">
        <f>'Occ T2'!H19</f>
        <v>0.92173963148113103</v>
      </c>
      <c r="Q48" s="11">
        <f>'Occ T2'!J19</f>
        <v>25.159164799661895</v>
      </c>
    </row>
    <row r="49" spans="15:17" x14ac:dyDescent="0.25">
      <c r="O49" s="10" t="str">
        <f>name!D16</f>
        <v>42 Secretarial and related occupations</v>
      </c>
      <c r="P49" s="11">
        <f>'Occ T2'!H20</f>
        <v>-3.8728690186784727</v>
      </c>
      <c r="Q49" s="11">
        <f>'Occ T2'!J20</f>
        <v>0.12293059108701154</v>
      </c>
    </row>
    <row r="50" spans="15:17" x14ac:dyDescent="0.25">
      <c r="O50" s="10" t="str">
        <f>name!D17</f>
        <v>51 Skilled agricultural and related trades</v>
      </c>
      <c r="P50" s="11">
        <f>'Occ T2'!H21</f>
        <v>0.34187206540108628</v>
      </c>
      <c r="Q50" s="11">
        <f>'Occ T2'!J21</f>
        <v>2.1369310777218109</v>
      </c>
    </row>
    <row r="51" spans="15:17" x14ac:dyDescent="0.25">
      <c r="O51" s="10" t="str">
        <f>name!D18</f>
        <v>52 Skilled metal, electrical and electronic trades</v>
      </c>
      <c r="P51" s="11">
        <f>'Occ T2'!H22</f>
        <v>-2.3956919400202921</v>
      </c>
      <c r="Q51" s="11">
        <f>'Occ T2'!J22</f>
        <v>5.8932992847850389</v>
      </c>
    </row>
    <row r="52" spans="15:17" x14ac:dyDescent="0.25">
      <c r="O52" s="10" t="str">
        <f>name!D19</f>
        <v>53 Skilled construction and building trades</v>
      </c>
      <c r="P52" s="11">
        <f>'Occ T2'!H23</f>
        <v>-3.0718921750692889</v>
      </c>
      <c r="Q52" s="11">
        <f>'Occ T2'!J23</f>
        <v>3.7038174570972782</v>
      </c>
    </row>
    <row r="53" spans="15:17" x14ac:dyDescent="0.25">
      <c r="O53" s="10" t="str">
        <f>name!D20</f>
        <v>54 Textiles, printing and other skilled trades</v>
      </c>
      <c r="P53" s="11">
        <f>'Occ T2'!H24</f>
        <v>-0.34421132161091972</v>
      </c>
      <c r="Q53" s="11">
        <f>'Occ T2'!J24</f>
        <v>3.1576553167720327</v>
      </c>
    </row>
    <row r="54" spans="15:17" x14ac:dyDescent="0.25">
      <c r="O54" s="10" t="str">
        <f>name!D21</f>
        <v>61 Caring personal service occupations</v>
      </c>
      <c r="P54" s="11">
        <f>'Occ T2'!H25</f>
        <v>5.4224209045557998</v>
      </c>
      <c r="Q54" s="11">
        <f>'Occ T2'!J25</f>
        <v>29.540835329875819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-0.76879720143824137</v>
      </c>
      <c r="Q55" s="11">
        <f>'Occ T2'!J26</f>
        <v>3.5882185505127211</v>
      </c>
    </row>
    <row r="56" spans="15:17" x14ac:dyDescent="0.25">
      <c r="O56" s="10" t="str">
        <f>name!D23</f>
        <v>63 Community and civil enforcement occupations</v>
      </c>
      <c r="P56" s="11">
        <f>'Occ T2'!H27</f>
        <v>-7.1888798504818552E-2</v>
      </c>
      <c r="Q56" s="11">
        <f>'Occ T2'!J27</f>
        <v>0.10786367578946029</v>
      </c>
    </row>
    <row r="57" spans="15:17" x14ac:dyDescent="0.25">
      <c r="O57" s="10" t="str">
        <f>name!D24</f>
        <v>71 Sales occupations</v>
      </c>
      <c r="P57" s="11">
        <f>'Occ T2'!H28</f>
        <v>-2.437590182482154</v>
      </c>
      <c r="Q57" s="11">
        <f>'Occ T2'!J28</f>
        <v>10.676502024010755</v>
      </c>
    </row>
    <row r="58" spans="15:17" x14ac:dyDescent="0.25">
      <c r="O58" s="10" t="str">
        <f>name!D25</f>
        <v>72 Customer service occupations</v>
      </c>
      <c r="P58" s="11">
        <f>'Occ T2'!H29</f>
        <v>2.1788870457386089</v>
      </c>
      <c r="Q58" s="11">
        <f>'Occ T2'!J29</f>
        <v>6.8756896166416945</v>
      </c>
    </row>
    <row r="59" spans="15:17" x14ac:dyDescent="0.25">
      <c r="O59" s="10" t="str">
        <f>name!D26</f>
        <v>81 Process, plant and machine operatives</v>
      </c>
      <c r="P59" s="11">
        <f>'Occ T2'!H30</f>
        <v>-0.86859262633460332</v>
      </c>
      <c r="Q59" s="11">
        <f>'Occ T2'!J30</f>
        <v>6.5689808694962144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0.70995605294593744</v>
      </c>
      <c r="Q60" s="11">
        <f>'Occ T2'!J31</f>
        <v>12.74080536992976</v>
      </c>
    </row>
    <row r="61" spans="15:17" x14ac:dyDescent="0.25">
      <c r="O61" s="10" t="str">
        <f>name!D28</f>
        <v>91 Elementary trades and related occupations</v>
      </c>
      <c r="P61" s="11">
        <f>'Occ T2'!H32</f>
        <v>7.8988926835633269</v>
      </c>
      <c r="Q61" s="11">
        <f>'Occ T2'!J32</f>
        <v>14.948853544263731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-8.2077738143163437</v>
      </c>
      <c r="Q62" s="11">
        <f>'Occ T2'!J33</f>
        <v>7.5402531883189106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25.750000000000114</v>
      </c>
      <c r="Q64" s="11">
        <f>'Occ T2'!J35</f>
        <v>271.46821360686704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9" t="str">
        <f>CONCATENATE("Basic Table 1  Employment by Industry Sector, Occupation Group and Qualification, ",B$5,"-",D$5,", ",Info!B5)</f>
        <v>Basic Table 1  Employment by Industry Sector, Occupation Group and Qualification, 2020-2035, Black Country</v>
      </c>
    </row>
    <row r="2" spans="1:40" ht="12.75" customHeight="1" x14ac:dyDescent="0.3">
      <c r="A2" s="182" t="s">
        <v>527</v>
      </c>
    </row>
    <row r="3" spans="1:40" ht="12.75" customHeight="1" x14ac:dyDescent="0.35">
      <c r="A3" s="19"/>
      <c r="AN3" s="38" t="s">
        <v>36</v>
      </c>
    </row>
    <row r="4" spans="1:40" ht="24.75" customHeight="1" x14ac:dyDescent="0.25">
      <c r="A4" s="78"/>
      <c r="B4" s="383" t="str">
        <f>name!F3</f>
        <v>All qualifications</v>
      </c>
      <c r="C4" s="383"/>
      <c r="D4" s="383"/>
      <c r="E4" s="78"/>
      <c r="F4" s="384" t="str">
        <f>name!F4</f>
        <v>RQF8 Doctorate</v>
      </c>
      <c r="G4" s="384"/>
      <c r="H4" s="384"/>
      <c r="I4" s="78"/>
      <c r="J4" s="384" t="str">
        <f>name!F5</f>
        <v>RQF7 Other higher degree</v>
      </c>
      <c r="K4" s="384"/>
      <c r="L4" s="384"/>
      <c r="M4" s="78"/>
      <c r="N4" s="384" t="str">
        <f>name!F6</f>
        <v>RQF6 First degree</v>
      </c>
      <c r="O4" s="384"/>
      <c r="P4" s="384"/>
      <c r="Q4" s="78"/>
      <c r="R4" s="384" t="str">
        <f>name!F7</f>
        <v>RQF5 Foundation degree;Nursing;Teaching</v>
      </c>
      <c r="S4" s="384"/>
      <c r="T4" s="384"/>
      <c r="U4" s="78"/>
      <c r="V4" s="384" t="str">
        <f>name!F8</f>
        <v>RQF4 HE below degree level</v>
      </c>
      <c r="W4" s="384"/>
      <c r="X4" s="384"/>
      <c r="Y4" s="78"/>
      <c r="Z4" s="384" t="str">
        <f>name!F9</f>
        <v>RQF3 A level &amp; equivalent</v>
      </c>
      <c r="AA4" s="384"/>
      <c r="AB4" s="384"/>
      <c r="AC4" s="78"/>
      <c r="AD4" s="384" t="str">
        <f>name!F10</f>
        <v>RQF2 GCSE(A-C) &amp; equivalent</v>
      </c>
      <c r="AE4" s="384"/>
      <c r="AF4" s="384"/>
      <c r="AG4" s="78"/>
      <c r="AH4" s="384" t="str">
        <f>name!F11</f>
        <v>RQF1 GCSE(below grade C) &amp; equivalent</v>
      </c>
      <c r="AI4" s="384"/>
      <c r="AJ4" s="384"/>
      <c r="AK4" s="78"/>
      <c r="AL4" s="384" t="str">
        <f>name!F12</f>
        <v>No Qualification</v>
      </c>
      <c r="AM4" s="384"/>
      <c r="AN4" s="384"/>
    </row>
    <row r="5" spans="1:40" ht="13" x14ac:dyDescent="0.3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ht="13" x14ac:dyDescent="0.3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5">
      <c r="A8" s="13" t="str">
        <f>name!E3</f>
        <v>All occupations</v>
      </c>
      <c r="B8" s="305">
        <f>SUM(B9:B17)</f>
        <v>496.19399999999996</v>
      </c>
      <c r="C8" s="305">
        <f>SUM(C9:C17)</f>
        <v>508.12800000000004</v>
      </c>
      <c r="D8" s="305">
        <f>SUM(D9:D17)</f>
        <v>521.94399999999962</v>
      </c>
      <c r="E8" s="304"/>
      <c r="F8" s="305">
        <f>SUM(F9:F17)</f>
        <v>7.0915685334472105</v>
      </c>
      <c r="G8" s="305">
        <f>SUM(G9:G17)</f>
        <v>9.1694021499465528</v>
      </c>
      <c r="H8" s="305">
        <f>SUM(H9:H17)</f>
        <v>13.476587127561659</v>
      </c>
      <c r="I8" s="304"/>
      <c r="J8" s="305">
        <f>SUM(J9:J17)</f>
        <v>47.914110923791952</v>
      </c>
      <c r="K8" s="305">
        <f>SUM(K9:K17)</f>
        <v>60.818658304566455</v>
      </c>
      <c r="L8" s="305">
        <f>SUM(L9:L17)</f>
        <v>89.274782430541535</v>
      </c>
      <c r="M8" s="304"/>
      <c r="N8" s="305">
        <f>SUM(N9:N17)</f>
        <v>91.033181866654559</v>
      </c>
      <c r="O8" s="305">
        <f>SUM(O9:O17)</f>
        <v>97.545774606448248</v>
      </c>
      <c r="P8" s="305">
        <f>SUM(P9:P17)</f>
        <v>112.29678035556745</v>
      </c>
      <c r="Q8" s="306"/>
      <c r="R8" s="305">
        <f>SUM(R9:R17)</f>
        <v>27.828114439543285</v>
      </c>
      <c r="S8" s="305">
        <f>SUM(S9:S17)</f>
        <v>27.092094788061452</v>
      </c>
      <c r="T8" s="305">
        <f>SUM(T9:T17)</f>
        <v>29.363125462266954</v>
      </c>
      <c r="U8" s="306"/>
      <c r="V8" s="305">
        <f>SUM(V9:V17)</f>
        <v>26.960304923339162</v>
      </c>
      <c r="W8" s="305">
        <f>SUM(W9:W17)</f>
        <v>27.933787823735216</v>
      </c>
      <c r="X8" s="305">
        <f>SUM(X9:X17)</f>
        <v>31.755382202989345</v>
      </c>
      <c r="Y8" s="306"/>
      <c r="Z8" s="305">
        <f>SUM(Z9:Z17)</f>
        <v>104.4539001390763</v>
      </c>
      <c r="AA8" s="305">
        <f>SUM(AA9:AA17)</f>
        <v>109.27689045318864</v>
      </c>
      <c r="AB8" s="305">
        <f>SUM(AB9:AB17)</f>
        <v>110.3107018159522</v>
      </c>
      <c r="AC8" s="306"/>
      <c r="AD8" s="305">
        <f>SUM(AD9:AD17)</f>
        <v>99.097694185079135</v>
      </c>
      <c r="AE8" s="305">
        <f>SUM(AE9:AE17)</f>
        <v>104.59848858249424</v>
      </c>
      <c r="AF8" s="305">
        <f>SUM(AF9:AF17)</f>
        <v>91.393991461314428</v>
      </c>
      <c r="AG8" s="306"/>
      <c r="AH8" s="305">
        <f>SUM(AH9:AH17)</f>
        <v>60.025143488041742</v>
      </c>
      <c r="AI8" s="305">
        <f>SUM(AI9:AI17)</f>
        <v>51.7814561727754</v>
      </c>
      <c r="AJ8" s="305">
        <f>SUM(AJ9:AJ17)</f>
        <v>31.922824506490006</v>
      </c>
      <c r="AK8" s="306"/>
      <c r="AL8" s="305">
        <f>SUM(AL9:AL17)</f>
        <v>31.789981501026595</v>
      </c>
      <c r="AM8" s="305">
        <f>SUM(AM9:AM17)</f>
        <v>19.911447118783808</v>
      </c>
      <c r="AN8" s="305">
        <f>SUM(AN9:AN17)</f>
        <v>12.149824637316083</v>
      </c>
    </row>
    <row r="9" spans="1:40" x14ac:dyDescent="0.25">
      <c r="A9" s="13" t="str">
        <f>name!E4</f>
        <v>Managers, directors and senior officials</v>
      </c>
      <c r="B9" s="304">
        <f>SUM(B21,B33,B51,B63,B75,B93)</f>
        <v>47.800367492375877</v>
      </c>
      <c r="C9" s="304">
        <f t="shared" ref="B9:D17" si="0">SUM(C21,C33,C51,C63,C75,C93)</f>
        <v>44.836824250943295</v>
      </c>
      <c r="D9" s="304">
        <f t="shared" si="0"/>
        <v>49.226179286534183</v>
      </c>
      <c r="E9" s="304"/>
      <c r="F9" s="304">
        <f t="shared" ref="F9:H17" si="1">SUM(F21,F33,F51,F63,F75,F93)</f>
        <v>0.53314682451479967</v>
      </c>
      <c r="G9" s="304">
        <f t="shared" si="1"/>
        <v>0.64584592004733177</v>
      </c>
      <c r="H9" s="304">
        <f t="shared" si="1"/>
        <v>1.0226849632738422</v>
      </c>
      <c r="I9" s="304"/>
      <c r="J9" s="304">
        <f t="shared" ref="J9:L17" si="2">SUM(J21,J33,J51,J63,J75,J93)</f>
        <v>5.1112366327851504</v>
      </c>
      <c r="K9" s="304">
        <f t="shared" si="2"/>
        <v>5.9713995144148662</v>
      </c>
      <c r="L9" s="304">
        <f t="shared" si="2"/>
        <v>9.1824859706475284</v>
      </c>
      <c r="M9" s="304"/>
      <c r="N9" s="304">
        <f t="shared" ref="N9:P17" si="3">SUM(N21,N33,N51,N63,N75,N93)</f>
        <v>11.934290254809422</v>
      </c>
      <c r="O9" s="304">
        <f t="shared" si="3"/>
        <v>11.493010352316283</v>
      </c>
      <c r="P9" s="304">
        <f t="shared" si="3"/>
        <v>13.311565206295263</v>
      </c>
      <c r="Q9" s="306"/>
      <c r="R9" s="304">
        <f t="shared" ref="R9:T9" si="4">SUM(R21,R33,R51,R63,R75,R93)</f>
        <v>2.7627617087065159</v>
      </c>
      <c r="S9" s="304">
        <f t="shared" si="4"/>
        <v>2.5367267438392949</v>
      </c>
      <c r="T9" s="304">
        <f t="shared" si="4"/>
        <v>2.8742882181858462</v>
      </c>
      <c r="U9" s="306"/>
      <c r="V9" s="304">
        <f t="shared" ref="V9:X9" si="5">SUM(V21,V33,V51,V63,V75,V93)</f>
        <v>3.5976264055012805</v>
      </c>
      <c r="W9" s="304">
        <f t="shared" si="5"/>
        <v>3.2681199307454514</v>
      </c>
      <c r="X9" s="304">
        <f t="shared" si="5"/>
        <v>3.5757669825834117</v>
      </c>
      <c r="Y9" s="306"/>
      <c r="Z9" s="304">
        <f t="shared" ref="Z9:AB9" si="6">SUM(Z21,Z33,Z51,Z63,Z75,Z93)</f>
        <v>8.9023897523099791</v>
      </c>
      <c r="AA9" s="304">
        <f t="shared" si="6"/>
        <v>8.2086763456073335</v>
      </c>
      <c r="AB9" s="304">
        <f t="shared" si="6"/>
        <v>8.8049661027513437</v>
      </c>
      <c r="AC9" s="306"/>
      <c r="AD9" s="304">
        <f>SUM(AD21,AD33,AD51,AD63,AD75,AD93)</f>
        <v>7.6137044083628203</v>
      </c>
      <c r="AE9" s="304">
        <f t="shared" ref="AE9:AF9" si="7">SUM(AE21,AE33,AE51,AE63,AE75,AE93)</f>
        <v>7.10368553638716</v>
      </c>
      <c r="AF9" s="304">
        <f t="shared" si="7"/>
        <v>6.3946261263205644</v>
      </c>
      <c r="AG9" s="306"/>
      <c r="AH9" s="304">
        <f t="shared" ref="AH9:AJ9" si="8">SUM(AH21,AH33,AH51,AH63,AH75,AH93)</f>
        <v>5.4238218704798271</v>
      </c>
      <c r="AI9" s="304">
        <f t="shared" si="8"/>
        <v>4.3251098727824075</v>
      </c>
      <c r="AJ9" s="304">
        <f t="shared" si="8"/>
        <v>3.0843681056490238</v>
      </c>
      <c r="AK9" s="306"/>
      <c r="AL9" s="304">
        <f t="shared" ref="AL9:AN9" si="9">SUM(AL21,AL33,AL51,AL63,AL75,AL93)</f>
        <v>1.9213896349060811</v>
      </c>
      <c r="AM9" s="304">
        <f t="shared" si="9"/>
        <v>1.2842500348031718</v>
      </c>
      <c r="AN9" s="304">
        <f t="shared" si="9"/>
        <v>0.97542761082735685</v>
      </c>
    </row>
    <row r="10" spans="1:40" x14ac:dyDescent="0.25">
      <c r="A10" s="13" t="str">
        <f>name!E5</f>
        <v>Professional occupations</v>
      </c>
      <c r="B10" s="304">
        <f t="shared" si="0"/>
        <v>103.5438332396885</v>
      </c>
      <c r="C10" s="304">
        <f t="shared" si="0"/>
        <v>109.96238805392812</v>
      </c>
      <c r="D10" s="304">
        <f t="shared" si="0"/>
        <v>121.73921749855069</v>
      </c>
      <c r="E10" s="304"/>
      <c r="F10" s="304">
        <f t="shared" si="1"/>
        <v>5.3714807587830409</v>
      </c>
      <c r="G10" s="304">
        <f t="shared" si="1"/>
        <v>6.897252490464842</v>
      </c>
      <c r="H10" s="304">
        <f t="shared" si="1"/>
        <v>9.723126222159177</v>
      </c>
      <c r="I10" s="304"/>
      <c r="J10" s="304">
        <f t="shared" si="2"/>
        <v>26.883796985110788</v>
      </c>
      <c r="K10" s="304">
        <f t="shared" si="2"/>
        <v>33.036351616541964</v>
      </c>
      <c r="L10" s="304">
        <f t="shared" si="2"/>
        <v>44.888363952047754</v>
      </c>
      <c r="M10" s="304"/>
      <c r="N10" s="304">
        <f t="shared" si="3"/>
        <v>33.659036722005396</v>
      </c>
      <c r="O10" s="304">
        <f t="shared" si="3"/>
        <v>33.630267022542796</v>
      </c>
      <c r="P10" s="304">
        <f t="shared" si="3"/>
        <v>34.142453535262923</v>
      </c>
      <c r="Q10" s="306"/>
      <c r="R10" s="304">
        <f t="shared" ref="R10:T10" si="10">SUM(R22,R34,R52,R64,R76,R94)</f>
        <v>5.8205981774694155</v>
      </c>
      <c r="S10" s="304">
        <f t="shared" si="10"/>
        <v>4.0305097407128949</v>
      </c>
      <c r="T10" s="304">
        <f t="shared" si="10"/>
        <v>2.9979807781077512</v>
      </c>
      <c r="U10" s="306"/>
      <c r="V10" s="304">
        <f t="shared" ref="V10:X10" si="11">SUM(V22,V34,V52,V64,V76,V94)</f>
        <v>5.0505706425827261</v>
      </c>
      <c r="W10" s="304">
        <f t="shared" si="11"/>
        <v>5.1689283322644917</v>
      </c>
      <c r="X10" s="304">
        <f t="shared" si="11"/>
        <v>5.3045118808435205</v>
      </c>
      <c r="Y10" s="306"/>
      <c r="Z10" s="304">
        <f t="shared" ref="Z10:AB10" si="12">SUM(Z22,Z34,Z52,Z64,Z76,Z94)</f>
        <v>12.043434625561943</v>
      </c>
      <c r="AA10" s="304">
        <f t="shared" si="12"/>
        <v>12.981400214676214</v>
      </c>
      <c r="AB10" s="304">
        <f t="shared" si="12"/>
        <v>13.522669087996604</v>
      </c>
      <c r="AC10" s="306"/>
      <c r="AD10" s="304">
        <f t="shared" ref="AD10:AF10" si="13">SUM(AD22,AD34,AD52,AD64,AD76,AD94)</f>
        <v>8.1918948714004891</v>
      </c>
      <c r="AE10" s="304">
        <f t="shared" si="13"/>
        <v>8.6228707139416798</v>
      </c>
      <c r="AF10" s="304">
        <f t="shared" si="13"/>
        <v>7.4204116250592467</v>
      </c>
      <c r="AG10" s="306"/>
      <c r="AH10" s="304">
        <f t="shared" ref="AH10:AJ10" si="14">SUM(AH22,AH34,AH52,AH64,AH76,AH94)</f>
        <v>4.7524431669654721</v>
      </c>
      <c r="AI10" s="304">
        <f t="shared" si="14"/>
        <v>4.2500135670214378</v>
      </c>
      <c r="AJ10" s="304">
        <f t="shared" si="14"/>
        <v>2.6644361539438712</v>
      </c>
      <c r="AK10" s="306"/>
      <c r="AL10" s="304">
        <f t="shared" ref="AL10:AN10" si="15">SUM(AL22,AL34,AL52,AL64,AL76,AL94)</f>
        <v>1.7705772898092138</v>
      </c>
      <c r="AM10" s="304">
        <f t="shared" si="15"/>
        <v>1.344794355761789</v>
      </c>
      <c r="AN10" s="304">
        <f t="shared" si="15"/>
        <v>1.0752642631298253</v>
      </c>
    </row>
    <row r="11" spans="1:40" x14ac:dyDescent="0.25">
      <c r="A11" s="13" t="str">
        <f>name!E6</f>
        <v>Associate professional occupations</v>
      </c>
      <c r="B11" s="304">
        <f>SUM(B23,B35,B53,B65,B77,B95)</f>
        <v>60.815602010650572</v>
      </c>
      <c r="C11" s="304">
        <f t="shared" si="0"/>
        <v>65.15905076756583</v>
      </c>
      <c r="D11" s="304">
        <f>SUM(D23,D35,D53,D65,D77,D95)</f>
        <v>71.509944652399099</v>
      </c>
      <c r="E11" s="304"/>
      <c r="F11" s="304">
        <f t="shared" si="1"/>
        <v>0.59641013872201476</v>
      </c>
      <c r="G11" s="304">
        <f t="shared" si="1"/>
        <v>0.79474792188211363</v>
      </c>
      <c r="H11" s="304">
        <f t="shared" si="1"/>
        <v>1.323242422145728</v>
      </c>
      <c r="I11" s="304"/>
      <c r="J11" s="304">
        <f t="shared" si="2"/>
        <v>7.1715551210041575</v>
      </c>
      <c r="K11" s="304">
        <f t="shared" si="2"/>
        <v>9.5676809614301224</v>
      </c>
      <c r="L11" s="304">
        <f t="shared" si="2"/>
        <v>14.978726735205548</v>
      </c>
      <c r="M11" s="304"/>
      <c r="N11" s="304">
        <f t="shared" si="3"/>
        <v>16.53865330536895</v>
      </c>
      <c r="O11" s="304">
        <f t="shared" si="3"/>
        <v>18.528162786181795</v>
      </c>
      <c r="P11" s="304">
        <f t="shared" si="3"/>
        <v>21.517251742874599</v>
      </c>
      <c r="Q11" s="306"/>
      <c r="R11" s="304">
        <f t="shared" ref="R11:T11" si="16">SUM(R23,R35,R53,R65,R77,R95)</f>
        <v>5.1461363249057079</v>
      </c>
      <c r="S11" s="304">
        <f t="shared" si="16"/>
        <v>5.3538854172718295</v>
      </c>
      <c r="T11" s="304">
        <f t="shared" si="16"/>
        <v>5.1670326030842597</v>
      </c>
      <c r="U11" s="306"/>
      <c r="V11" s="304">
        <f t="shared" ref="V11:X11" si="17">SUM(V23,V35,V53,V65,V77,V95)</f>
        <v>4.0339402376666484</v>
      </c>
      <c r="W11" s="304">
        <f t="shared" si="17"/>
        <v>3.9895907180050516</v>
      </c>
      <c r="X11" s="304">
        <f t="shared" si="17"/>
        <v>4.3620091830076717</v>
      </c>
      <c r="Y11" s="306"/>
      <c r="Z11" s="304">
        <f t="shared" ref="Z11:AB11" si="18">SUM(Z23,Z35,Z53,Z65,Z77,Z95)</f>
        <v>11.511604881640391</v>
      </c>
      <c r="AA11" s="304">
        <f t="shared" si="18"/>
        <v>12.215971753147791</v>
      </c>
      <c r="AB11" s="304">
        <f t="shared" si="18"/>
        <v>12.391868009337266</v>
      </c>
      <c r="AC11" s="306"/>
      <c r="AD11" s="304">
        <f t="shared" ref="AD11:AF11" si="19">SUM(AD23,AD35,AD53,AD65,AD77,AD95)</f>
        <v>8.8501690265717627</v>
      </c>
      <c r="AE11" s="304">
        <f t="shared" si="19"/>
        <v>9.2796655077341565</v>
      </c>
      <c r="AF11" s="304">
        <f t="shared" si="19"/>
        <v>7.99497244332969</v>
      </c>
      <c r="AG11" s="306"/>
      <c r="AH11" s="304">
        <f t="shared" ref="AH11:AJ11" si="20">SUM(AH23,AH35,AH53,AH65,AH77,AH95)</f>
        <v>5.1283040620878353</v>
      </c>
      <c r="AI11" s="304">
        <f t="shared" si="20"/>
        <v>4.1668321005105975</v>
      </c>
      <c r="AJ11" s="304">
        <f t="shared" si="20"/>
        <v>2.6373422980643442</v>
      </c>
      <c r="AK11" s="306"/>
      <c r="AL11" s="304">
        <f t="shared" ref="AL11:AN11" si="21">SUM(AL23,AL35,AL53,AL65,AL77,AL95)</f>
        <v>1.838828912683111</v>
      </c>
      <c r="AM11" s="304">
        <f t="shared" si="21"/>
        <v>1.2625136014023717</v>
      </c>
      <c r="AN11" s="304">
        <f t="shared" si="21"/>
        <v>1.1374992153499952</v>
      </c>
    </row>
    <row r="12" spans="1:40" x14ac:dyDescent="0.25">
      <c r="A12" s="13" t="str">
        <f>name!E7</f>
        <v>Administrative and secretarial occupations</v>
      </c>
      <c r="B12" s="304">
        <f t="shared" si="0"/>
        <v>56.478400283214569</v>
      </c>
      <c r="C12" s="304">
        <f t="shared" si="0"/>
        <v>57.502694930725816</v>
      </c>
      <c r="D12" s="304">
        <f t="shared" si="0"/>
        <v>53.527270896017214</v>
      </c>
      <c r="E12" s="304"/>
      <c r="F12" s="304">
        <f t="shared" si="1"/>
        <v>0.29995564992565082</v>
      </c>
      <c r="G12" s="304">
        <f t="shared" si="1"/>
        <v>0.41502755789214729</v>
      </c>
      <c r="H12" s="304">
        <f t="shared" si="1"/>
        <v>0.69301122187727904</v>
      </c>
      <c r="I12" s="304"/>
      <c r="J12" s="304">
        <f t="shared" si="2"/>
        <v>3.3864749517445967</v>
      </c>
      <c r="K12" s="304">
        <f t="shared" si="2"/>
        <v>4.5504843599110796</v>
      </c>
      <c r="L12" s="304">
        <f t="shared" si="2"/>
        <v>6.343769432381472</v>
      </c>
      <c r="M12" s="304"/>
      <c r="N12" s="304">
        <f t="shared" si="3"/>
        <v>10.567245201680016</v>
      </c>
      <c r="O12" s="304">
        <f t="shared" si="3"/>
        <v>12.191704306524066</v>
      </c>
      <c r="P12" s="304">
        <f t="shared" si="3"/>
        <v>14.685942974415624</v>
      </c>
      <c r="Q12" s="306"/>
      <c r="R12" s="304">
        <f t="shared" ref="R12:T12" si="22">SUM(R24,R36,R54,R66,R78,R96)</f>
        <v>4.1342746836373365</v>
      </c>
      <c r="S12" s="304">
        <f t="shared" si="22"/>
        <v>4.5377357806294309</v>
      </c>
      <c r="T12" s="304">
        <f t="shared" si="22"/>
        <v>5.3094783169031281</v>
      </c>
      <c r="U12" s="306"/>
      <c r="V12" s="304">
        <f t="shared" ref="V12:X12" si="23">SUM(V24,V36,V54,V66,V78,V96)</f>
        <v>3.7438176247319581</v>
      </c>
      <c r="W12" s="304">
        <f t="shared" si="23"/>
        <v>3.941786249177671</v>
      </c>
      <c r="X12" s="304">
        <f t="shared" si="23"/>
        <v>4.4812237587018098</v>
      </c>
      <c r="Y12" s="306"/>
      <c r="Z12" s="304">
        <f t="shared" ref="Z12:AA12" si="24">SUM(Z24,Z36,Z54,Z66,Z78,Z96)</f>
        <v>11.668258959509384</v>
      </c>
      <c r="AA12" s="304">
        <f t="shared" si="24"/>
        <v>11.864457228126883</v>
      </c>
      <c r="AB12" s="304">
        <f>SUM(AB24,AB36,AB54,AB66,AB78,AB96)</f>
        <v>9.8002187706488311</v>
      </c>
      <c r="AC12" s="306"/>
      <c r="AD12" s="304">
        <f t="shared" ref="AD12:AE12" si="25">SUM(AD24,AD36,AD54,AD66,AD78,AD96)</f>
        <v>13.411449004935948</v>
      </c>
      <c r="AE12" s="304">
        <f t="shared" si="25"/>
        <v>13.231753702602754</v>
      </c>
      <c r="AF12" s="304">
        <f>SUM(AF24,AF36,AF54,AF66,AF78,AF96)</f>
        <v>9.2793783447232112</v>
      </c>
      <c r="AG12" s="306"/>
      <c r="AH12" s="304">
        <f t="shared" ref="AH12:AI12" si="26">SUM(AH24,AH36,AH54,AH66,AH78,AH96)</f>
        <v>6.5830633731027124</v>
      </c>
      <c r="AI12" s="304">
        <f t="shared" si="26"/>
        <v>4.8606207461429918</v>
      </c>
      <c r="AJ12" s="304">
        <f>SUM(AJ24,AJ36,AJ54,AJ66,AJ78,AJ96)</f>
        <v>1.534968193295974</v>
      </c>
      <c r="AK12" s="306"/>
      <c r="AL12" s="304">
        <f t="shared" ref="AL12:AM12" si="27">SUM(AL24,AL36,AL54,AL66,AL78,AL96)</f>
        <v>2.6838608339469658</v>
      </c>
      <c r="AM12" s="304">
        <f t="shared" si="27"/>
        <v>1.9091249997187929</v>
      </c>
      <c r="AN12" s="304">
        <f>SUM(AN24,AN36,AN54,AN66,AN78,AN96)</f>
        <v>1.3992798830698803</v>
      </c>
    </row>
    <row r="13" spans="1:40" x14ac:dyDescent="0.25">
      <c r="A13" s="13" t="str">
        <f>name!E8</f>
        <v>Skilled trades occupations</v>
      </c>
      <c r="B13" s="304">
        <f t="shared" si="0"/>
        <v>52.232847099052982</v>
      </c>
      <c r="C13" s="304">
        <f t="shared" si="0"/>
        <v>51.034079797086505</v>
      </c>
      <c r="D13" s="304">
        <f t="shared" si="0"/>
        <v>46.762923727753574</v>
      </c>
      <c r="E13" s="304"/>
      <c r="F13" s="304">
        <f t="shared" si="1"/>
        <v>5.2480588730161384E-2</v>
      </c>
      <c r="G13" s="304">
        <f t="shared" si="1"/>
        <v>7.0020202958877661E-2</v>
      </c>
      <c r="H13" s="304">
        <f t="shared" si="1"/>
        <v>9.7209394709024843E-2</v>
      </c>
      <c r="I13" s="304"/>
      <c r="J13" s="304">
        <f t="shared" si="2"/>
        <v>0.84091318727945419</v>
      </c>
      <c r="K13" s="304">
        <f t="shared" si="2"/>
        <v>1.191256249949957</v>
      </c>
      <c r="L13" s="304">
        <f t="shared" si="2"/>
        <v>1.857417563770648</v>
      </c>
      <c r="M13" s="304"/>
      <c r="N13" s="304">
        <f t="shared" si="3"/>
        <v>2.4332829361245967</v>
      </c>
      <c r="O13" s="304">
        <f t="shared" si="3"/>
        <v>2.8514927337409537</v>
      </c>
      <c r="P13" s="304">
        <f t="shared" si="3"/>
        <v>3.4786046990550283</v>
      </c>
      <c r="Q13" s="306"/>
      <c r="R13" s="304">
        <f t="shared" ref="R13:T13" si="28">SUM(R25,R37,R55,R67,R79,R97)</f>
        <v>1.1368674248024895</v>
      </c>
      <c r="S13" s="304">
        <f t="shared" si="28"/>
        <v>1.2619098809632598</v>
      </c>
      <c r="T13" s="304">
        <f t="shared" si="28"/>
        <v>1.5159837937321254</v>
      </c>
      <c r="U13" s="306"/>
      <c r="V13" s="304">
        <f t="shared" ref="V13:X13" si="29">SUM(V25,V37,V55,V67,V79,V97)</f>
        <v>2.8869783145060639</v>
      </c>
      <c r="W13" s="304">
        <f t="shared" si="29"/>
        <v>3.0724187786964121</v>
      </c>
      <c r="X13" s="304">
        <f t="shared" si="29"/>
        <v>3.4845466235911653</v>
      </c>
      <c r="Y13" s="306"/>
      <c r="Z13" s="304">
        <f t="shared" ref="Z13:AB13" si="30">SUM(Z25,Z37,Z55,Z67,Z79,Z97)</f>
        <v>17.936609314913074</v>
      </c>
      <c r="AA13" s="304">
        <f t="shared" si="30"/>
        <v>18.255936195639308</v>
      </c>
      <c r="AB13" s="304">
        <f t="shared" si="30"/>
        <v>17.318331190686614</v>
      </c>
      <c r="AC13" s="306"/>
      <c r="AD13" s="304">
        <f t="shared" ref="AD13:AF13" si="31">SUM(AD25,AD37,AD55,AD67,AD79,AD97)</f>
        <v>14.095223007379982</v>
      </c>
      <c r="AE13" s="304">
        <f t="shared" si="31"/>
        <v>14.798337704146231</v>
      </c>
      <c r="AF13" s="304">
        <f t="shared" si="31"/>
        <v>13.276195704222006</v>
      </c>
      <c r="AG13" s="306"/>
      <c r="AH13" s="304">
        <f t="shared" ref="AH13:AJ13" si="32">SUM(AH25,AH37,AH55,AH67,AH79,AH97)</f>
        <v>7.7751008389280143</v>
      </c>
      <c r="AI13" s="304">
        <f t="shared" si="32"/>
        <v>6.6856023565025735</v>
      </c>
      <c r="AJ13" s="304">
        <f t="shared" si="32"/>
        <v>4.4437179153205308</v>
      </c>
      <c r="AK13" s="306"/>
      <c r="AL13" s="304">
        <f t="shared" ref="AL13:AN13" si="33">SUM(AL25,AL37,AL55,AL67,AL79,AL97)</f>
        <v>5.0753914863891394</v>
      </c>
      <c r="AM13" s="304">
        <f t="shared" si="33"/>
        <v>2.8471056944889335</v>
      </c>
      <c r="AN13" s="304">
        <f t="shared" si="33"/>
        <v>1.2909168426664239</v>
      </c>
    </row>
    <row r="14" spans="1:40" x14ac:dyDescent="0.25">
      <c r="A14" s="13" t="str">
        <f>name!E9</f>
        <v>Caring, leisure and other service occupations</v>
      </c>
      <c r="B14" s="304">
        <f t="shared" si="0"/>
        <v>49.337956426134419</v>
      </c>
      <c r="C14" s="304">
        <f t="shared" si="0"/>
        <v>50.297533097424612</v>
      </c>
      <c r="D14" s="304">
        <f t="shared" si="0"/>
        <v>53.919691330747149</v>
      </c>
      <c r="E14" s="304"/>
      <c r="F14" s="304">
        <f t="shared" si="1"/>
        <v>4.5874008041012534E-2</v>
      </c>
      <c r="G14" s="304">
        <f t="shared" si="1"/>
        <v>6.3574276098055299E-2</v>
      </c>
      <c r="H14" s="304">
        <f t="shared" si="1"/>
        <v>0.11172085738503693</v>
      </c>
      <c r="I14" s="304"/>
      <c r="J14" s="304">
        <f t="shared" si="2"/>
        <v>1.8959100167206921</v>
      </c>
      <c r="K14" s="304">
        <f t="shared" si="2"/>
        <v>2.6654106702259313</v>
      </c>
      <c r="L14" s="304">
        <f t="shared" si="2"/>
        <v>5.0361647543834005</v>
      </c>
      <c r="M14" s="304"/>
      <c r="N14" s="304">
        <f t="shared" si="3"/>
        <v>6.0898823651585721</v>
      </c>
      <c r="O14" s="304">
        <f t="shared" si="3"/>
        <v>6.9850775969272441</v>
      </c>
      <c r="P14" s="304">
        <f t="shared" si="3"/>
        <v>9.1703331814044198</v>
      </c>
      <c r="Q14" s="306"/>
      <c r="R14" s="304">
        <f>SUM(R26,R38,R56,R68,R80,R98)</f>
        <v>4.8476116953879052</v>
      </c>
      <c r="S14" s="304">
        <f t="shared" ref="S14:T14" si="34">SUM(S26,S38,S56,S68,S80,S98)</f>
        <v>4.6669513846304378</v>
      </c>
      <c r="T14" s="304">
        <f t="shared" si="34"/>
        <v>5.3076762227717236</v>
      </c>
      <c r="U14" s="306"/>
      <c r="V14" s="304">
        <f t="shared" ref="V14:X14" si="35">SUM(V26,V38,V56,V68,V80,V98)</f>
        <v>3.0839072202377098</v>
      </c>
      <c r="W14" s="304">
        <f t="shared" si="35"/>
        <v>3.0736263317364374</v>
      </c>
      <c r="X14" s="304">
        <f t="shared" si="35"/>
        <v>3.695846594688418</v>
      </c>
      <c r="Y14" s="306"/>
      <c r="Z14" s="304">
        <f t="shared" ref="Z14:AB14" si="36">SUM(Z26,Z38,Z56,Z68,Z80,Z98)</f>
        <v>16.702967886031875</v>
      </c>
      <c r="AA14" s="304">
        <f t="shared" si="36"/>
        <v>17.427875921003256</v>
      </c>
      <c r="AB14" s="304">
        <f t="shared" si="36"/>
        <v>18.4571558843693</v>
      </c>
      <c r="AC14" s="306"/>
      <c r="AD14" s="304">
        <f t="shared" ref="AD14:AF14" si="37">SUM(AD26,AD38,AD56,AD68,AD80,AD98)</f>
        <v>12.419693515844006</v>
      </c>
      <c r="AE14" s="304">
        <f t="shared" si="37"/>
        <v>12.349626628636106</v>
      </c>
      <c r="AF14" s="304">
        <f t="shared" si="37"/>
        <v>10.084400621228196</v>
      </c>
      <c r="AG14" s="306"/>
      <c r="AH14" s="304">
        <f t="shared" ref="AH14:AJ14" si="38">SUM(AH26,AH38,AH56,AH68,AH80,AH98)</f>
        <v>2.952205715215519</v>
      </c>
      <c r="AI14" s="304">
        <f t="shared" si="38"/>
        <v>2.2552906548798148</v>
      </c>
      <c r="AJ14" s="304">
        <f t="shared" si="38"/>
        <v>1.5274627932483023</v>
      </c>
      <c r="AK14" s="306"/>
      <c r="AL14" s="304">
        <f t="shared" ref="AL14:AN14" si="39">SUM(AL26,AL38,AL56,AL68,AL80,AL98)</f>
        <v>1.2999040034971312</v>
      </c>
      <c r="AM14" s="304">
        <f t="shared" si="39"/>
        <v>0.81009963328732604</v>
      </c>
      <c r="AN14" s="304">
        <f t="shared" si="39"/>
        <v>0.52893042126835343</v>
      </c>
    </row>
    <row r="15" spans="1:40" x14ac:dyDescent="0.25">
      <c r="A15" s="13" t="str">
        <f>name!E10</f>
        <v>Sales and customer service occupations</v>
      </c>
      <c r="B15" s="304">
        <f t="shared" si="0"/>
        <v>39.339785940793099</v>
      </c>
      <c r="C15" s="304">
        <f t="shared" si="0"/>
        <v>39.372468047859513</v>
      </c>
      <c r="D15" s="304">
        <f t="shared" si="0"/>
        <v>39.081082804049572</v>
      </c>
      <c r="E15" s="304"/>
      <c r="F15" s="304">
        <f t="shared" si="1"/>
        <v>8.5681588323921101E-2</v>
      </c>
      <c r="G15" s="304">
        <f t="shared" si="1"/>
        <v>0.12006665077065093</v>
      </c>
      <c r="H15" s="304">
        <f t="shared" si="1"/>
        <v>0.19455022682460896</v>
      </c>
      <c r="I15" s="304"/>
      <c r="J15" s="304">
        <f t="shared" si="2"/>
        <v>1.3394876143691146</v>
      </c>
      <c r="K15" s="304">
        <f t="shared" si="2"/>
        <v>1.8762547012150828</v>
      </c>
      <c r="L15" s="304">
        <f t="shared" si="2"/>
        <v>3.2681943327860803</v>
      </c>
      <c r="M15" s="304"/>
      <c r="N15" s="304">
        <f t="shared" si="3"/>
        <v>5.3648499109410466</v>
      </c>
      <c r="O15" s="304">
        <f t="shared" si="3"/>
        <v>6.0523285248226184</v>
      </c>
      <c r="P15" s="304">
        <f t="shared" si="3"/>
        <v>7.8947348099243424</v>
      </c>
      <c r="Q15" s="306"/>
      <c r="R15" s="304">
        <f t="shared" ref="R15:T15" si="40">SUM(R27,R39,R57,R69,R81,R99)</f>
        <v>1.7815931584141573</v>
      </c>
      <c r="S15" s="304">
        <f t="shared" si="40"/>
        <v>1.9025059534584778</v>
      </c>
      <c r="T15" s="304">
        <f t="shared" si="40"/>
        <v>2.4304582774908181</v>
      </c>
      <c r="U15" s="306"/>
      <c r="V15" s="304">
        <f t="shared" ref="V15:X15" si="41">SUM(V27,V39,V57,V69,V81,V99)</f>
        <v>1.7856534024935495</v>
      </c>
      <c r="W15" s="304">
        <f t="shared" si="41"/>
        <v>1.9019397472056374</v>
      </c>
      <c r="X15" s="304">
        <f t="shared" si="41"/>
        <v>2.2650692075151229</v>
      </c>
      <c r="Y15" s="306"/>
      <c r="Z15" s="304">
        <f t="shared" ref="Z15:AB15" si="42">SUM(Z27,Z39,Z57,Z69,Z81,Z99)</f>
        <v>9.9707378775085029</v>
      </c>
      <c r="AA15" s="304">
        <f t="shared" si="42"/>
        <v>10.524873026842751</v>
      </c>
      <c r="AB15" s="304">
        <f t="shared" si="42"/>
        <v>10.800350335851929</v>
      </c>
      <c r="AC15" s="306"/>
      <c r="AD15" s="304">
        <f t="shared" ref="AD15:AF15" si="43">SUM(AD27,AD39,AD57,AD69,AD81,AD99)</f>
        <v>9.6695113460129676</v>
      </c>
      <c r="AE15" s="304">
        <f t="shared" si="43"/>
        <v>10.054283673466561</v>
      </c>
      <c r="AF15" s="304">
        <f t="shared" si="43"/>
        <v>8.5683251197632888</v>
      </c>
      <c r="AG15" s="306"/>
      <c r="AH15" s="304">
        <f t="shared" ref="AH15:AJ15" si="44">SUM(AH27,AH39,AH57,AH69,AH81,AH99)</f>
        <v>5.8345108631323903</v>
      </c>
      <c r="AI15" s="304">
        <f t="shared" si="44"/>
        <v>4.8209018028478337</v>
      </c>
      <c r="AJ15" s="304">
        <f t="shared" si="44"/>
        <v>2.4111333932969954</v>
      </c>
      <c r="AK15" s="306"/>
      <c r="AL15" s="304">
        <f t="shared" ref="AL15:AN15" si="45">SUM(AL27,AL39,AL57,AL69,AL81,AL99)</f>
        <v>3.5077601795974513</v>
      </c>
      <c r="AM15" s="304">
        <f t="shared" si="45"/>
        <v>2.1193139672299024</v>
      </c>
      <c r="AN15" s="304">
        <f t="shared" si="45"/>
        <v>1.248267100596383</v>
      </c>
    </row>
    <row r="16" spans="1:40" x14ac:dyDescent="0.25">
      <c r="A16" s="13" t="str">
        <f>name!E11</f>
        <v>Process, plant and machine operatives</v>
      </c>
      <c r="B16" s="304">
        <f t="shared" si="0"/>
        <v>40.358374305998062</v>
      </c>
      <c r="C16" s="304">
        <f t="shared" si="0"/>
        <v>41.728305575825786</v>
      </c>
      <c r="D16" s="304">
        <f t="shared" si="0"/>
        <v>40.199737732609364</v>
      </c>
      <c r="E16" s="304"/>
      <c r="F16" s="304">
        <f t="shared" si="1"/>
        <v>7.6031817905234444E-2</v>
      </c>
      <c r="G16" s="304">
        <f t="shared" si="1"/>
        <v>0.12222076576125943</v>
      </c>
      <c r="H16" s="304">
        <f t="shared" si="1"/>
        <v>0.24362692875390632</v>
      </c>
      <c r="I16" s="304"/>
      <c r="J16" s="304">
        <f t="shared" si="2"/>
        <v>0.46531697832426233</v>
      </c>
      <c r="K16" s="304">
        <f t="shared" si="2"/>
        <v>0.74541738356823906</v>
      </c>
      <c r="L16" s="304">
        <f t="shared" si="2"/>
        <v>1.3516953912996903</v>
      </c>
      <c r="M16" s="304"/>
      <c r="N16" s="304">
        <f t="shared" si="3"/>
        <v>1.5141356037799776</v>
      </c>
      <c r="O16" s="304">
        <f t="shared" si="3"/>
        <v>2.088976449712391</v>
      </c>
      <c r="P16" s="304">
        <f t="shared" si="3"/>
        <v>3.2013302892616569</v>
      </c>
      <c r="Q16" s="306"/>
      <c r="R16" s="304">
        <f t="shared" ref="R16:T16" si="46">SUM(R28,R40,R58,R70,R82,R100)</f>
        <v>0.73893935557556811</v>
      </c>
      <c r="S16" s="304">
        <f t="shared" si="46"/>
        <v>0.92151958363450359</v>
      </c>
      <c r="T16" s="304">
        <f t="shared" si="46"/>
        <v>1.1748525067497024</v>
      </c>
      <c r="U16" s="306"/>
      <c r="V16" s="304">
        <f t="shared" ref="V16:X16" si="47">SUM(V28,V40,V58,V70,V82,V100)</f>
        <v>1.3445005088198214</v>
      </c>
      <c r="W16" s="304">
        <f t="shared" si="47"/>
        <v>1.6131757289670152</v>
      </c>
      <c r="X16" s="304">
        <f t="shared" si="47"/>
        <v>2.0249297209825028</v>
      </c>
      <c r="Y16" s="306"/>
      <c r="Z16" s="304">
        <f t="shared" ref="Z16:AB16" si="48">SUM(Z28,Z40,Z58,Z70,Z82,Z100)</f>
        <v>8.3892040161210346</v>
      </c>
      <c r="AA16" s="304">
        <f t="shared" si="48"/>
        <v>10.065811692825513</v>
      </c>
      <c r="AB16" s="304">
        <f t="shared" si="48"/>
        <v>11.384714796407367</v>
      </c>
      <c r="AC16" s="306"/>
      <c r="AD16" s="304">
        <f t="shared" ref="AD16:AF16" si="49">SUM(AD28,AD40,AD58,AD70,AD82,AD100)</f>
        <v>11.98600349085644</v>
      </c>
      <c r="AE16" s="304">
        <f t="shared" si="49"/>
        <v>14.379658476719548</v>
      </c>
      <c r="AF16" s="304">
        <f t="shared" si="49"/>
        <v>14.226702459219393</v>
      </c>
      <c r="AG16" s="306"/>
      <c r="AH16" s="304">
        <f t="shared" ref="AH16:AJ16" si="50">SUM(AH28,AH40,AH58,AH70,AH82,AH100)</f>
        <v>9.6767092905676417</v>
      </c>
      <c r="AI16" s="304">
        <f t="shared" si="50"/>
        <v>8.7497894434589245</v>
      </c>
      <c r="AJ16" s="304">
        <f t="shared" si="50"/>
        <v>5.4052975633542504</v>
      </c>
      <c r="AK16" s="306"/>
      <c r="AL16" s="304">
        <f t="shared" ref="AL16:AN16" si="51">SUM(AL28,AL40,AL58,AL70,AL82,AL100)</f>
        <v>6.1675332440480775</v>
      </c>
      <c r="AM16" s="304">
        <f t="shared" si="51"/>
        <v>3.0417360511783911</v>
      </c>
      <c r="AN16" s="304">
        <f t="shared" si="51"/>
        <v>1.1865880765808936</v>
      </c>
    </row>
    <row r="17" spans="1:40" x14ac:dyDescent="0.25">
      <c r="A17" s="13" t="str">
        <f>name!E12</f>
        <v>Elementary occupations</v>
      </c>
      <c r="B17" s="304">
        <f t="shared" si="0"/>
        <v>46.286833202091891</v>
      </c>
      <c r="C17" s="304">
        <f t="shared" si="0"/>
        <v>48.234655478640562</v>
      </c>
      <c r="D17" s="304">
        <f t="shared" si="0"/>
        <v>45.977952071338834</v>
      </c>
      <c r="E17" s="304"/>
      <c r="F17" s="304">
        <f t="shared" si="1"/>
        <v>3.0507158501374178E-2</v>
      </c>
      <c r="G17" s="304">
        <f t="shared" si="1"/>
        <v>4.064636407127592E-2</v>
      </c>
      <c r="H17" s="304">
        <f t="shared" si="1"/>
        <v>6.7414890433054542E-2</v>
      </c>
      <c r="I17" s="304"/>
      <c r="J17" s="304">
        <f t="shared" si="2"/>
        <v>0.8194194364537446</v>
      </c>
      <c r="K17" s="304">
        <f t="shared" si="2"/>
        <v>1.2144028473092061</v>
      </c>
      <c r="L17" s="304">
        <f t="shared" si="2"/>
        <v>2.3679642980194036</v>
      </c>
      <c r="M17" s="304"/>
      <c r="N17" s="304">
        <f t="shared" si="3"/>
        <v>2.9318055667865819</v>
      </c>
      <c r="O17" s="304">
        <f t="shared" si="3"/>
        <v>3.7247548336801057</v>
      </c>
      <c r="P17" s="304">
        <f t="shared" si="3"/>
        <v>4.8945639170735902</v>
      </c>
      <c r="Q17" s="306"/>
      <c r="R17" s="304">
        <f t="shared" ref="R17:T17" si="52">SUM(R29,R41,R59,R71,R83,R101)</f>
        <v>1.45933191064419</v>
      </c>
      <c r="S17" s="304">
        <f t="shared" si="52"/>
        <v>1.8803503029213289</v>
      </c>
      <c r="T17" s="304">
        <f t="shared" si="52"/>
        <v>2.5853747452416016</v>
      </c>
      <c r="U17" s="306"/>
      <c r="V17" s="304">
        <f t="shared" ref="V17:X17" si="53">SUM(V29,V41,V59,V71,V83,V101)</f>
        <v>1.4333105667994084</v>
      </c>
      <c r="W17" s="304">
        <f t="shared" si="53"/>
        <v>1.9042020069370449</v>
      </c>
      <c r="X17" s="304">
        <f t="shared" si="53"/>
        <v>2.5614782510757239</v>
      </c>
      <c r="Y17" s="306"/>
      <c r="Z17" s="304">
        <f t="shared" ref="Z17:AB17" si="54">SUM(Z29,Z41,Z59,Z71,Z83,Z101)</f>
        <v>7.3286928254801174</v>
      </c>
      <c r="AA17" s="304">
        <f t="shared" si="54"/>
        <v>7.7318880753195893</v>
      </c>
      <c r="AB17" s="304">
        <f t="shared" si="54"/>
        <v>7.8304276379029361</v>
      </c>
      <c r="AC17" s="306"/>
      <c r="AD17" s="304">
        <f t="shared" ref="AD17:AF17" si="55">SUM(AD29,AD41,AD59,AD71,AD83,AD101)</f>
        <v>12.860045513714722</v>
      </c>
      <c r="AE17" s="304">
        <f t="shared" si="55"/>
        <v>14.778606638860056</v>
      </c>
      <c r="AF17" s="304">
        <f t="shared" si="55"/>
        <v>14.148979017448838</v>
      </c>
      <c r="AG17" s="306"/>
      <c r="AH17" s="304">
        <f t="shared" ref="AH17:AJ17" si="56">SUM(AH29,AH41,AH59,AH71,AH83,AH101)</f>
        <v>11.898984307562323</v>
      </c>
      <c r="AI17" s="304">
        <f t="shared" si="56"/>
        <v>11.667295628628821</v>
      </c>
      <c r="AJ17" s="304">
        <f t="shared" si="56"/>
        <v>8.2140980903167176</v>
      </c>
      <c r="AK17" s="306"/>
      <c r="AL17" s="304">
        <f t="shared" ref="AL17:AN17" si="57">SUM(AL29,AL41,AL59,AL71,AL83,AL101)</f>
        <v>7.5247359161494227</v>
      </c>
      <c r="AM17" s="304">
        <f t="shared" si="57"/>
        <v>5.2925087809131295</v>
      </c>
      <c r="AN17" s="304">
        <f t="shared" si="57"/>
        <v>3.3076512238269706</v>
      </c>
    </row>
    <row r="18" spans="1:40" x14ac:dyDescent="0.25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ht="13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5">
      <c r="A20" s="13" t="str">
        <f t="shared" ref="A20:A29" si="58">A8</f>
        <v>All occupations</v>
      </c>
      <c r="B20" s="305">
        <f>SUM(B21:B29)</f>
        <v>7.0439999999999934</v>
      </c>
      <c r="C20" s="305">
        <f>SUM(C21:C29)</f>
        <v>7.0899999999999972</v>
      </c>
      <c r="D20" s="305">
        <f>SUM(D21:D29)</f>
        <v>7.1439999999999957</v>
      </c>
      <c r="E20" s="304"/>
      <c r="F20" s="305">
        <f>SUM(F21:F29)</f>
        <v>9.0257758722059836E-2</v>
      </c>
      <c r="G20" s="305">
        <f>SUM(G21:G29)</f>
        <v>0.1217225257417317</v>
      </c>
      <c r="H20" s="305">
        <f>SUM(H21:H29)</f>
        <v>0.19235377016921873</v>
      </c>
      <c r="I20" s="304"/>
      <c r="J20" s="305">
        <f>SUM(J21:J29)</f>
        <v>0.5060998586670431</v>
      </c>
      <c r="K20" s="305">
        <f>SUM(K21:K29)</f>
        <v>0.65064275508496472</v>
      </c>
      <c r="L20" s="305">
        <f>SUM(L21:L29)</f>
        <v>0.97178342521045513</v>
      </c>
      <c r="M20" s="304"/>
      <c r="N20" s="305">
        <f>SUM(N21:N29)</f>
        <v>1.1685892540793998</v>
      </c>
      <c r="O20" s="305">
        <f>SUM(O21:O29)</f>
        <v>1.2160074834392998</v>
      </c>
      <c r="P20" s="305">
        <f>SUM(P21:P29)</f>
        <v>1.3486047615508292</v>
      </c>
      <c r="Q20" s="306"/>
      <c r="R20" s="305">
        <f>SUM(R21:R29)</f>
        <v>0.18837831510186748</v>
      </c>
      <c r="S20" s="305">
        <f>SUM(S21:S29)</f>
        <v>0.19890899817912147</v>
      </c>
      <c r="T20" s="305">
        <f>SUM(T21:T29)</f>
        <v>0.22811844043172039</v>
      </c>
      <c r="U20" s="306"/>
      <c r="V20" s="305">
        <f>SUM(V21:V29)</f>
        <v>0.62775357343632932</v>
      </c>
      <c r="W20" s="305">
        <f>SUM(W21:W29)</f>
        <v>0.64849408189869973</v>
      </c>
      <c r="X20" s="305">
        <f>SUM(X21:X29)</f>
        <v>0.72214129516871972</v>
      </c>
      <c r="Y20" s="306"/>
      <c r="Z20" s="305">
        <f>SUM(Z21:Z29)</f>
        <v>1.3804107500284859</v>
      </c>
      <c r="AA20" s="305">
        <f>SUM(AA21:AA29)</f>
        <v>1.4042630226937169</v>
      </c>
      <c r="AB20" s="305">
        <f>SUM(AB21:AB29)</f>
        <v>1.4303197500607854</v>
      </c>
      <c r="AC20" s="306"/>
      <c r="AD20" s="305">
        <f>SUM(AD21:AD29)</f>
        <v>1.311238162028892</v>
      </c>
      <c r="AE20" s="305">
        <f>SUM(AE21:AE29)</f>
        <v>1.3653597204286054</v>
      </c>
      <c r="AF20" s="305">
        <f>SUM(AF21:AF29)</f>
        <v>1.2087592260487301</v>
      </c>
      <c r="AG20" s="306"/>
      <c r="AH20" s="305">
        <f>SUM(AH21:AH29)</f>
        <v>0.93456724748955811</v>
      </c>
      <c r="AI20" s="305">
        <f>SUM(AI21:AI29)</f>
        <v>0.81353736518096442</v>
      </c>
      <c r="AJ20" s="305">
        <f>SUM(AJ21:AJ29)</f>
        <v>0.58506751673296431</v>
      </c>
      <c r="AK20" s="306"/>
      <c r="AL20" s="305">
        <f>SUM(AL21:AL29)</f>
        <v>0.83670508044635805</v>
      </c>
      <c r="AM20" s="305">
        <f>SUM(AM21:AM29)</f>
        <v>0.67106404735289293</v>
      </c>
      <c r="AN20" s="305">
        <f>SUM(AN21:AN29)</f>
        <v>0.45685181462657221</v>
      </c>
    </row>
    <row r="21" spans="1:40" x14ac:dyDescent="0.25">
      <c r="A21" s="13" t="str">
        <f t="shared" si="58"/>
        <v>Managers, directors and senior officials</v>
      </c>
      <c r="B21" s="304">
        <f>SUM(F21,J21,N21,R21,V21,Z21,AD21,AH21,AL21)</f>
        <v>0.68185497463730149</v>
      </c>
      <c r="C21" s="304">
        <f t="shared" ref="C21:D21" si="59">SUM(G21,K21,O21,S21,W21,AA21,AE21,AI21,AM21)</f>
        <v>0.63537780174854264</v>
      </c>
      <c r="D21" s="304">
        <f t="shared" si="59"/>
        <v>0.66258294502787718</v>
      </c>
      <c r="E21" s="304"/>
      <c r="F21" s="304">
        <v>1.9613220713469947E-2</v>
      </c>
      <c r="G21" s="304">
        <v>2.5281891328565748E-2</v>
      </c>
      <c r="H21" s="304">
        <v>3.7048315081678808E-2</v>
      </c>
      <c r="I21" s="304"/>
      <c r="J21" s="304">
        <v>0.11368671028743733</v>
      </c>
      <c r="K21" s="304">
        <v>0.12822396547043263</v>
      </c>
      <c r="L21" s="304">
        <v>0.17255215933221796</v>
      </c>
      <c r="M21" s="304"/>
      <c r="N21" s="304">
        <v>0.15333892407292513</v>
      </c>
      <c r="O21" s="304">
        <v>0.13673305521923981</v>
      </c>
      <c r="P21" s="304">
        <v>0.14593807859842514</v>
      </c>
      <c r="Q21" s="306"/>
      <c r="R21" s="304">
        <v>2.1421889392466021E-2</v>
      </c>
      <c r="S21" s="304">
        <v>1.8495628671736222E-2</v>
      </c>
      <c r="T21" s="304">
        <v>1.7322551457639744E-2</v>
      </c>
      <c r="U21" s="306"/>
      <c r="V21" s="304">
        <v>4.3950736643742022E-2</v>
      </c>
      <c r="W21" s="304">
        <v>3.3871346591330322E-2</v>
      </c>
      <c r="X21" s="304">
        <v>3.077115930553051E-2</v>
      </c>
      <c r="Y21" s="306"/>
      <c r="Z21" s="304">
        <v>8.1026038113584276E-2</v>
      </c>
      <c r="AA21" s="304">
        <v>7.8555155496275966E-2</v>
      </c>
      <c r="AB21" s="304">
        <v>8.9690536585268002E-2</v>
      </c>
      <c r="AC21" s="306"/>
      <c r="AD21" s="304">
        <v>9.5486031316657852E-2</v>
      </c>
      <c r="AE21" s="304">
        <v>9.5822660945871843E-2</v>
      </c>
      <c r="AF21" s="304">
        <v>8.4821158671220698E-2</v>
      </c>
      <c r="AG21" s="306"/>
      <c r="AH21" s="304">
        <v>6.5513329665659925E-2</v>
      </c>
      <c r="AI21" s="304">
        <v>5.2603757576574955E-2</v>
      </c>
      <c r="AJ21" s="304">
        <v>3.73071311160698E-2</v>
      </c>
      <c r="AK21" s="306"/>
      <c r="AL21" s="304">
        <v>8.7818094431359045E-2</v>
      </c>
      <c r="AM21" s="304">
        <v>6.5790340448515047E-2</v>
      </c>
      <c r="AN21" s="304">
        <v>4.7131854879826664E-2</v>
      </c>
    </row>
    <row r="22" spans="1:40" x14ac:dyDescent="0.25">
      <c r="A22" s="13" t="str">
        <f t="shared" si="58"/>
        <v>Professional occupations</v>
      </c>
      <c r="B22" s="304">
        <f t="shared" ref="B22:B29" si="60">SUM(F22,J22,N22,R22,V22,Z22,AD22,AH22,AL22)</f>
        <v>1.0411747372859133</v>
      </c>
      <c r="C22" s="304">
        <f t="shared" ref="C22:C29" si="61">SUM(G22,K22,O22,S22,W22,AA22,AE22,AI22,AM22)</f>
        <v>1.1543740547326631</v>
      </c>
      <c r="D22" s="304">
        <f t="shared" ref="D22:D29" si="62">SUM(H22,L22,P22,T22,X22,AB22,AF22,AJ22,AN22)</f>
        <v>1.281610875505967</v>
      </c>
      <c r="E22" s="304"/>
      <c r="F22" s="304">
        <v>3.9884831851483407E-2</v>
      </c>
      <c r="G22" s="304">
        <v>5.7339296762108388E-2</v>
      </c>
      <c r="H22" s="304">
        <v>8.9644844621168826E-2</v>
      </c>
      <c r="I22" s="304"/>
      <c r="J22" s="304">
        <v>0.17692653059598643</v>
      </c>
      <c r="K22" s="304">
        <v>0.24120176346563516</v>
      </c>
      <c r="L22" s="304">
        <v>0.35928028304118664</v>
      </c>
      <c r="M22" s="304"/>
      <c r="N22" s="304">
        <v>0.33190233441209915</v>
      </c>
      <c r="O22" s="304">
        <v>0.35411299328712054</v>
      </c>
      <c r="P22" s="304">
        <v>0.37591855970641946</v>
      </c>
      <c r="Q22" s="306"/>
      <c r="R22" s="304">
        <v>3.7378022043296037E-2</v>
      </c>
      <c r="S22" s="304">
        <v>4.2126980023140956E-2</v>
      </c>
      <c r="T22" s="304">
        <v>4.5408646923255108E-2</v>
      </c>
      <c r="U22" s="306"/>
      <c r="V22" s="304">
        <v>0.13177102037623797</v>
      </c>
      <c r="W22" s="304">
        <v>0.14109998604335228</v>
      </c>
      <c r="X22" s="304">
        <v>0.14466313091799304</v>
      </c>
      <c r="Y22" s="306"/>
      <c r="Z22" s="304">
        <v>0.12690252286034193</v>
      </c>
      <c r="AA22" s="304">
        <v>0.13054696678648514</v>
      </c>
      <c r="AB22" s="304">
        <v>0.11989531727559397</v>
      </c>
      <c r="AC22" s="306"/>
      <c r="AD22" s="304">
        <v>7.6478125739143643E-2</v>
      </c>
      <c r="AE22" s="304">
        <v>7.5574254181463393E-2</v>
      </c>
      <c r="AF22" s="304">
        <v>6.4026069818989964E-2</v>
      </c>
      <c r="AG22" s="306"/>
      <c r="AH22" s="304">
        <v>6.3872645124643787E-2</v>
      </c>
      <c r="AI22" s="304">
        <v>6.0108669207075451E-2</v>
      </c>
      <c r="AJ22" s="304">
        <v>4.3063160921873421E-2</v>
      </c>
      <c r="AK22" s="306"/>
      <c r="AL22" s="304">
        <v>5.6058704282681199E-2</v>
      </c>
      <c r="AM22" s="304">
        <v>5.2263144976281713E-2</v>
      </c>
      <c r="AN22" s="304">
        <v>3.9710862279486385E-2</v>
      </c>
    </row>
    <row r="23" spans="1:40" x14ac:dyDescent="0.25">
      <c r="A23" s="13" t="str">
        <f t="shared" si="58"/>
        <v>Associate professional occupations</v>
      </c>
      <c r="B23" s="304">
        <f t="shared" si="60"/>
        <v>1.0338120559466411</v>
      </c>
      <c r="C23" s="304">
        <f t="shared" si="61"/>
        <v>0.97226967894097138</v>
      </c>
      <c r="D23" s="304">
        <f t="shared" si="62"/>
        <v>1.0616080986736298</v>
      </c>
      <c r="E23" s="304"/>
      <c r="F23" s="304">
        <v>1.8532862082466774E-2</v>
      </c>
      <c r="G23" s="304">
        <v>2.2870048559873936E-2</v>
      </c>
      <c r="H23" s="304">
        <v>4.0743753190067698E-2</v>
      </c>
      <c r="I23" s="304"/>
      <c r="J23" s="304">
        <v>9.1371034341948959E-2</v>
      </c>
      <c r="K23" s="304">
        <v>0.10793646404124281</v>
      </c>
      <c r="L23" s="304">
        <v>0.17057726842393406</v>
      </c>
      <c r="M23" s="304"/>
      <c r="N23" s="304">
        <v>0.24883169766265373</v>
      </c>
      <c r="O23" s="304">
        <v>0.23290138392346021</v>
      </c>
      <c r="P23" s="304">
        <v>0.25004633065255016</v>
      </c>
      <c r="Q23" s="306"/>
      <c r="R23" s="304">
        <v>2.6759634092093337E-2</v>
      </c>
      <c r="S23" s="304">
        <v>2.7070538019545225E-2</v>
      </c>
      <c r="T23" s="304">
        <v>3.3943736834138427E-2</v>
      </c>
      <c r="U23" s="306"/>
      <c r="V23" s="304">
        <v>0.17674012614898418</v>
      </c>
      <c r="W23" s="304">
        <v>0.16832086099228669</v>
      </c>
      <c r="X23" s="304">
        <v>0.19285399871155373</v>
      </c>
      <c r="Y23" s="306"/>
      <c r="Z23" s="304">
        <v>0.2239461724900273</v>
      </c>
      <c r="AA23" s="304">
        <v>0.20391505116843528</v>
      </c>
      <c r="AB23" s="304">
        <v>0.1993341171358286</v>
      </c>
      <c r="AC23" s="306"/>
      <c r="AD23" s="304">
        <v>0.10053852006594367</v>
      </c>
      <c r="AE23" s="304">
        <v>8.2269521426924203E-2</v>
      </c>
      <c r="AF23" s="304">
        <v>5.9096950166692419E-2</v>
      </c>
      <c r="AG23" s="306"/>
      <c r="AH23" s="304">
        <v>9.2248377873218962E-2</v>
      </c>
      <c r="AI23" s="304">
        <v>8.0631992924480186E-2</v>
      </c>
      <c r="AJ23" s="304">
        <v>5.8121975960519552E-2</v>
      </c>
      <c r="AK23" s="306"/>
      <c r="AL23" s="304">
        <v>5.4843631189304264E-2</v>
      </c>
      <c r="AM23" s="304">
        <v>4.6353817884722724E-2</v>
      </c>
      <c r="AN23" s="304">
        <v>5.6889967598345186E-2</v>
      </c>
    </row>
    <row r="24" spans="1:40" x14ac:dyDescent="0.25">
      <c r="A24" s="13" t="str">
        <f t="shared" si="58"/>
        <v>Administrative and secretarial occupations</v>
      </c>
      <c r="B24" s="304">
        <f t="shared" si="60"/>
        <v>0.8049286318549187</v>
      </c>
      <c r="C24" s="304">
        <f t="shared" si="61"/>
        <v>0.81103205768164388</v>
      </c>
      <c r="D24" s="304">
        <f t="shared" si="62"/>
        <v>0.75598946363439523</v>
      </c>
      <c r="E24" s="304"/>
      <c r="F24" s="304">
        <v>3.0452398296830678E-3</v>
      </c>
      <c r="G24" s="304">
        <v>3.8731408178157112E-3</v>
      </c>
      <c r="H24" s="304">
        <v>5.693947796890057E-3</v>
      </c>
      <c r="I24" s="304"/>
      <c r="J24" s="304">
        <v>5.1833703815573076E-2</v>
      </c>
      <c r="K24" s="304">
        <v>7.6303492055287081E-2</v>
      </c>
      <c r="L24" s="304">
        <v>0.1213043938394341</v>
      </c>
      <c r="M24" s="304"/>
      <c r="N24" s="304">
        <v>0.17451406516490339</v>
      </c>
      <c r="O24" s="304">
        <v>0.19353919678432996</v>
      </c>
      <c r="P24" s="304">
        <v>0.21157921796258264</v>
      </c>
      <c r="Q24" s="306"/>
      <c r="R24" s="304">
        <v>1.9267106890384932E-2</v>
      </c>
      <c r="S24" s="304">
        <v>1.7657281833114567E-2</v>
      </c>
      <c r="T24" s="304">
        <v>1.5498396495296508E-2</v>
      </c>
      <c r="U24" s="306"/>
      <c r="V24" s="304">
        <v>5.8836974536949867E-2</v>
      </c>
      <c r="W24" s="304">
        <v>5.7310096255093181E-2</v>
      </c>
      <c r="X24" s="304">
        <v>5.4458771135302446E-2</v>
      </c>
      <c r="Y24" s="306"/>
      <c r="Z24" s="304">
        <v>0.14011979570399333</v>
      </c>
      <c r="AA24" s="304">
        <v>0.13425095062180978</v>
      </c>
      <c r="AB24" s="304">
        <v>0.10105244126587931</v>
      </c>
      <c r="AC24" s="306"/>
      <c r="AD24" s="304">
        <v>0.11986517422590529</v>
      </c>
      <c r="AE24" s="304">
        <v>0.10729901230545497</v>
      </c>
      <c r="AF24" s="304">
        <v>7.8800836280315326E-2</v>
      </c>
      <c r="AG24" s="306"/>
      <c r="AH24" s="304">
        <v>0.13523285013721165</v>
      </c>
      <c r="AI24" s="304">
        <v>0.12697012340202399</v>
      </c>
      <c r="AJ24" s="304">
        <v>7.7774144237600221E-2</v>
      </c>
      <c r="AK24" s="306"/>
      <c r="AL24" s="304">
        <v>0.10221372155031422</v>
      </c>
      <c r="AM24" s="304">
        <v>9.3828763606714743E-2</v>
      </c>
      <c r="AN24" s="304">
        <v>8.9827314621094737E-2</v>
      </c>
    </row>
    <row r="25" spans="1:40" x14ac:dyDescent="0.25">
      <c r="A25" s="13" t="str">
        <f t="shared" si="58"/>
        <v>Skilled trades occupations</v>
      </c>
      <c r="B25" s="304">
        <f t="shared" si="60"/>
        <v>1.3823265611906446</v>
      </c>
      <c r="C25" s="304">
        <f t="shared" si="61"/>
        <v>1.3790835392651228</v>
      </c>
      <c r="D25" s="304">
        <f t="shared" si="62"/>
        <v>1.2634751007310303</v>
      </c>
      <c r="E25" s="304"/>
      <c r="F25" s="304">
        <v>5.2305411936941545E-3</v>
      </c>
      <c r="G25" s="304">
        <v>6.4429247860101789E-3</v>
      </c>
      <c r="H25" s="304">
        <v>9.276138004325276E-3</v>
      </c>
      <c r="I25" s="304"/>
      <c r="J25" s="304">
        <v>2.4430951681546534E-2</v>
      </c>
      <c r="K25" s="304">
        <v>3.0509484640456202E-2</v>
      </c>
      <c r="L25" s="304">
        <v>4.4618306516935255E-2</v>
      </c>
      <c r="M25" s="304"/>
      <c r="N25" s="304">
        <v>0.15021794279374004</v>
      </c>
      <c r="O25" s="304">
        <v>0.17336565913481039</v>
      </c>
      <c r="P25" s="304">
        <v>0.22165724128614611</v>
      </c>
      <c r="Q25" s="306"/>
      <c r="R25" s="304">
        <v>4.4358270333216675E-2</v>
      </c>
      <c r="S25" s="304">
        <v>4.9019292691848841E-2</v>
      </c>
      <c r="T25" s="304">
        <v>5.7367440592538031E-2</v>
      </c>
      <c r="U25" s="306"/>
      <c r="V25" s="304">
        <v>0.14735600674648233</v>
      </c>
      <c r="W25" s="304">
        <v>0.16508203482056241</v>
      </c>
      <c r="X25" s="304">
        <v>0.20020673338284606</v>
      </c>
      <c r="Y25" s="306"/>
      <c r="Z25" s="304">
        <v>0.32613966449440818</v>
      </c>
      <c r="AA25" s="304">
        <v>0.30552637622362439</v>
      </c>
      <c r="AB25" s="304">
        <v>0.24427688521299143</v>
      </c>
      <c r="AC25" s="306"/>
      <c r="AD25" s="304">
        <v>0.30574966452670954</v>
      </c>
      <c r="AE25" s="304">
        <v>0.32467618912284785</v>
      </c>
      <c r="AF25" s="304">
        <v>0.28073590278191118</v>
      </c>
      <c r="AG25" s="306"/>
      <c r="AH25" s="304">
        <v>0.21314516885015131</v>
      </c>
      <c r="AI25" s="304">
        <v>0.1935013235602637</v>
      </c>
      <c r="AJ25" s="304">
        <v>0.14933704919850144</v>
      </c>
      <c r="AK25" s="306"/>
      <c r="AL25" s="304">
        <v>0.16569835057069576</v>
      </c>
      <c r="AM25" s="304">
        <v>0.13096025428469898</v>
      </c>
      <c r="AN25" s="304">
        <v>5.5999403754835614E-2</v>
      </c>
    </row>
    <row r="26" spans="1:40" x14ac:dyDescent="0.25">
      <c r="A26" s="13" t="str">
        <f t="shared" si="58"/>
        <v>Caring, leisure and other service occupations</v>
      </c>
      <c r="B26" s="304">
        <f t="shared" si="60"/>
        <v>0.17038120560406156</v>
      </c>
      <c r="C26" s="304">
        <f t="shared" si="61"/>
        <v>0.17453525335245168</v>
      </c>
      <c r="D26" s="304">
        <f t="shared" si="62"/>
        <v>0.18512866465981384</v>
      </c>
      <c r="E26" s="304"/>
      <c r="F26" s="304">
        <v>1.4767230134081978E-3</v>
      </c>
      <c r="G26" s="304">
        <v>2.3751546766047809E-3</v>
      </c>
      <c r="H26" s="304">
        <v>3.3599884879178914E-3</v>
      </c>
      <c r="I26" s="304"/>
      <c r="J26" s="304">
        <v>1.7717885578393888E-2</v>
      </c>
      <c r="K26" s="304">
        <v>2.3967764473577527E-2</v>
      </c>
      <c r="L26" s="304">
        <v>3.3547517217729597E-2</v>
      </c>
      <c r="M26" s="304"/>
      <c r="N26" s="304">
        <v>4.1465152682036092E-2</v>
      </c>
      <c r="O26" s="304">
        <v>4.663301530925535E-2</v>
      </c>
      <c r="P26" s="304">
        <v>4.6684709180206341E-2</v>
      </c>
      <c r="Q26" s="306"/>
      <c r="R26" s="304">
        <v>8.5888478957482188E-3</v>
      </c>
      <c r="S26" s="304">
        <v>1.0245196133188509E-2</v>
      </c>
      <c r="T26" s="304">
        <v>1.2467453973428567E-2</v>
      </c>
      <c r="U26" s="306"/>
      <c r="V26" s="304">
        <v>6.8608073255306788E-3</v>
      </c>
      <c r="W26" s="304">
        <v>7.453487007193978E-3</v>
      </c>
      <c r="X26" s="304">
        <v>7.651727114649523E-3</v>
      </c>
      <c r="Y26" s="306"/>
      <c r="Z26" s="304">
        <v>2.4735594734329635E-2</v>
      </c>
      <c r="AA26" s="304">
        <v>2.4263053401434798E-2</v>
      </c>
      <c r="AB26" s="304">
        <v>2.5845106942168655E-2</v>
      </c>
      <c r="AC26" s="306"/>
      <c r="AD26" s="304">
        <v>1.9053961316135248E-2</v>
      </c>
      <c r="AE26" s="304">
        <v>1.7622170468580986E-2</v>
      </c>
      <c r="AF26" s="304">
        <v>1.411498092765822E-2</v>
      </c>
      <c r="AG26" s="306"/>
      <c r="AH26" s="304">
        <v>2.5414521208972609E-2</v>
      </c>
      <c r="AI26" s="304">
        <v>2.1263981661553022E-2</v>
      </c>
      <c r="AJ26" s="304">
        <v>1.7923719238974609E-2</v>
      </c>
      <c r="AK26" s="306"/>
      <c r="AL26" s="304">
        <v>2.5067711849506995E-2</v>
      </c>
      <c r="AM26" s="304">
        <v>2.071143022106274E-2</v>
      </c>
      <c r="AN26" s="304">
        <v>2.3533461577080445E-2</v>
      </c>
    </row>
    <row r="27" spans="1:40" x14ac:dyDescent="0.25">
      <c r="A27" s="13" t="str">
        <f t="shared" si="58"/>
        <v>Sales and customer service occupations</v>
      </c>
      <c r="B27" s="304">
        <f t="shared" si="60"/>
        <v>0.38705541054372655</v>
      </c>
      <c r="C27" s="304">
        <f t="shared" si="61"/>
        <v>0.37143227739104845</v>
      </c>
      <c r="D27" s="304">
        <f t="shared" si="62"/>
        <v>0.37846357562579874</v>
      </c>
      <c r="E27" s="304"/>
      <c r="F27" s="304">
        <v>2.4075533308890629E-3</v>
      </c>
      <c r="G27" s="304">
        <v>3.4524307993819246E-3</v>
      </c>
      <c r="H27" s="304">
        <v>6.4427099863819193E-3</v>
      </c>
      <c r="I27" s="304"/>
      <c r="J27" s="304">
        <v>1.283742599116923E-2</v>
      </c>
      <c r="K27" s="304">
        <v>1.7003802604768574E-2</v>
      </c>
      <c r="L27" s="304">
        <v>2.5598324173444983E-2</v>
      </c>
      <c r="M27" s="304"/>
      <c r="N27" s="304">
        <v>3.8055889133639879E-2</v>
      </c>
      <c r="O27" s="304">
        <v>3.9970891976189138E-2</v>
      </c>
      <c r="P27" s="304">
        <v>4.8910335302600846E-2</v>
      </c>
      <c r="Q27" s="306"/>
      <c r="R27" s="304">
        <v>1.4788408754865366E-2</v>
      </c>
      <c r="S27" s="304">
        <v>1.5853691419982229E-2</v>
      </c>
      <c r="T27" s="304">
        <v>2.3422929528516129E-2</v>
      </c>
      <c r="U27" s="306"/>
      <c r="V27" s="304">
        <v>2.8796899682029749E-2</v>
      </c>
      <c r="W27" s="304">
        <v>2.6659813067205121E-2</v>
      </c>
      <c r="X27" s="304">
        <v>2.5839346531703125E-2</v>
      </c>
      <c r="Y27" s="306"/>
      <c r="Z27" s="304">
        <v>0.12311764286093944</v>
      </c>
      <c r="AA27" s="304">
        <v>0.12152138493222873</v>
      </c>
      <c r="AB27" s="304">
        <v>0.13149176707175853</v>
      </c>
      <c r="AC27" s="306"/>
      <c r="AD27" s="304">
        <v>6.0517491336561056E-2</v>
      </c>
      <c r="AE27" s="304">
        <v>6.2003464255324631E-2</v>
      </c>
      <c r="AF27" s="304">
        <v>6.0604872553270309E-2</v>
      </c>
      <c r="AG27" s="306"/>
      <c r="AH27" s="304">
        <v>6.7280039687582019E-2</v>
      </c>
      <c r="AI27" s="304">
        <v>5.907868166714516E-2</v>
      </c>
      <c r="AJ27" s="304">
        <v>4.0250761453506312E-2</v>
      </c>
      <c r="AK27" s="306"/>
      <c r="AL27" s="304">
        <v>3.9254059766050779E-2</v>
      </c>
      <c r="AM27" s="304">
        <v>2.5888116668822965E-2</v>
      </c>
      <c r="AN27" s="304">
        <v>1.5902529024616564E-2</v>
      </c>
    </row>
    <row r="28" spans="1:40" x14ac:dyDescent="0.25">
      <c r="A28" s="13" t="str">
        <f t="shared" si="58"/>
        <v>Process, plant and machine operatives</v>
      </c>
      <c r="B28" s="304">
        <f t="shared" si="60"/>
        <v>0.87970410508094565</v>
      </c>
      <c r="C28" s="304">
        <f t="shared" si="61"/>
        <v>0.88578195062048581</v>
      </c>
      <c r="D28" s="304">
        <f t="shared" si="62"/>
        <v>0.90552190042650027</v>
      </c>
      <c r="E28" s="304"/>
      <c r="F28" s="304">
        <v>3.8345278236758563E-5</v>
      </c>
      <c r="G28" s="304">
        <v>5.5147418896823152E-5</v>
      </c>
      <c r="H28" s="304">
        <v>8.5090127922860835E-5</v>
      </c>
      <c r="I28" s="304"/>
      <c r="J28" s="304">
        <v>8.9534450774736637E-3</v>
      </c>
      <c r="K28" s="304">
        <v>1.2207150995820247E-2</v>
      </c>
      <c r="L28" s="304">
        <v>1.652548830493954E-2</v>
      </c>
      <c r="M28" s="304"/>
      <c r="N28" s="304">
        <v>2.2486945513025269E-2</v>
      </c>
      <c r="O28" s="304">
        <v>2.7688604060529705E-2</v>
      </c>
      <c r="P28" s="304">
        <v>3.4838302306634643E-2</v>
      </c>
      <c r="Q28" s="306"/>
      <c r="R28" s="304">
        <v>1.078790480468648E-2</v>
      </c>
      <c r="S28" s="304">
        <v>1.2235476518278663E-2</v>
      </c>
      <c r="T28" s="304">
        <v>1.5812966605048173E-2</v>
      </c>
      <c r="U28" s="306"/>
      <c r="V28" s="304">
        <v>1.9040780005189859E-2</v>
      </c>
      <c r="W28" s="304">
        <v>2.2307921203707292E-2</v>
      </c>
      <c r="X28" s="304">
        <v>2.6081256093752357E-2</v>
      </c>
      <c r="Y28" s="306"/>
      <c r="Z28" s="304">
        <v>0.24963853264787791</v>
      </c>
      <c r="AA28" s="304">
        <v>0.30575045241522258</v>
      </c>
      <c r="AB28" s="304">
        <v>0.42209205877533279</v>
      </c>
      <c r="AC28" s="306"/>
      <c r="AD28" s="304">
        <v>0.2790277838396365</v>
      </c>
      <c r="AE28" s="304">
        <v>0.30571550252268048</v>
      </c>
      <c r="AF28" s="304">
        <v>0.29070744880709126</v>
      </c>
      <c r="AG28" s="306"/>
      <c r="AH28" s="304">
        <v>6.9167918145589619E-2</v>
      </c>
      <c r="AI28" s="304">
        <v>4.104867445971247E-2</v>
      </c>
      <c r="AJ28" s="304">
        <v>2.2989392404886039E-2</v>
      </c>
      <c r="AK28" s="306"/>
      <c r="AL28" s="304">
        <v>0.22056244976922956</v>
      </c>
      <c r="AM28" s="304">
        <v>0.15877302102563756</v>
      </c>
      <c r="AN28" s="304">
        <v>7.638989700089252E-2</v>
      </c>
    </row>
    <row r="29" spans="1:40" x14ac:dyDescent="0.25">
      <c r="A29" s="13" t="str">
        <f t="shared" si="58"/>
        <v>Elementary occupations</v>
      </c>
      <c r="B29" s="304">
        <f t="shared" si="60"/>
        <v>0.66276231785584072</v>
      </c>
      <c r="C29" s="304">
        <f t="shared" si="61"/>
        <v>0.70611338626706754</v>
      </c>
      <c r="D29" s="304">
        <f t="shared" si="62"/>
        <v>0.64961937571498274</v>
      </c>
      <c r="E29" s="304"/>
      <c r="F29" s="304">
        <v>2.8441428728467256E-5</v>
      </c>
      <c r="G29" s="304">
        <v>3.2490592474206742E-5</v>
      </c>
      <c r="H29" s="304">
        <v>5.8982872865396104E-5</v>
      </c>
      <c r="I29" s="304"/>
      <c r="J29" s="304">
        <v>8.3421712975140679E-3</v>
      </c>
      <c r="K29" s="304">
        <v>1.328886733774457E-2</v>
      </c>
      <c r="L29" s="304">
        <v>2.7779684360632988E-2</v>
      </c>
      <c r="M29" s="304"/>
      <c r="N29" s="304">
        <v>7.7763026443773142E-3</v>
      </c>
      <c r="O29" s="304">
        <v>1.1062683744364667E-2</v>
      </c>
      <c r="P29" s="304">
        <v>1.3031986555263938E-2</v>
      </c>
      <c r="Q29" s="306"/>
      <c r="R29" s="304">
        <v>5.0282308951104205E-3</v>
      </c>
      <c r="S29" s="304">
        <v>6.2049128682862493E-3</v>
      </c>
      <c r="T29" s="304">
        <v>6.8743180218597006E-3</v>
      </c>
      <c r="U29" s="306"/>
      <c r="V29" s="304">
        <v>1.4400221971182727E-2</v>
      </c>
      <c r="W29" s="304">
        <v>2.6388535917968511E-2</v>
      </c>
      <c r="X29" s="304">
        <v>3.9615171975388906E-2</v>
      </c>
      <c r="Y29" s="306"/>
      <c r="Z29" s="304">
        <v>8.4784786122984054E-2</v>
      </c>
      <c r="AA29" s="304">
        <v>9.993363164820028E-2</v>
      </c>
      <c r="AB29" s="304">
        <v>9.6641519795964081E-2</v>
      </c>
      <c r="AC29" s="306"/>
      <c r="AD29" s="304">
        <v>0.25452140966219933</v>
      </c>
      <c r="AE29" s="304">
        <v>0.29437694519945717</v>
      </c>
      <c r="AF29" s="304">
        <v>0.2758510060415808</v>
      </c>
      <c r="AG29" s="306"/>
      <c r="AH29" s="304">
        <v>0.20269239679652823</v>
      </c>
      <c r="AI29" s="304">
        <v>0.17833016072213539</v>
      </c>
      <c r="AJ29" s="304">
        <v>0.13830018220103293</v>
      </c>
      <c r="AK29" s="306"/>
      <c r="AL29" s="304">
        <v>8.5188357037216125E-2</v>
      </c>
      <c r="AM29" s="304">
        <v>7.6495158236436517E-2</v>
      </c>
      <c r="AN29" s="304">
        <v>5.146652389039396E-2</v>
      </c>
    </row>
    <row r="30" spans="1:40" x14ac:dyDescent="0.25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ht="13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5">
      <c r="A32" s="13" t="str">
        <f t="shared" ref="A32:A41" si="63">A8</f>
        <v>All occupations</v>
      </c>
      <c r="B32" s="305">
        <f>SUM(B33:B41)</f>
        <v>63.878999999999998</v>
      </c>
      <c r="C32" s="305">
        <f>SUM(C33:C41)</f>
        <v>62.487000000000016</v>
      </c>
      <c r="D32" s="305">
        <f>SUM(D33:D41)</f>
        <v>56.889999999999894</v>
      </c>
      <c r="E32" s="304"/>
      <c r="F32" s="305">
        <f>SUM(F33:F41)</f>
        <v>0.63738013746431488</v>
      </c>
      <c r="G32" s="305">
        <f>SUM(G33:G41)</f>
        <v>0.81193831120136228</v>
      </c>
      <c r="H32" s="305">
        <f>SUM(H33:H41)</f>
        <v>1.0944175351090624</v>
      </c>
      <c r="I32" s="304"/>
      <c r="J32" s="305">
        <f>SUM(J33:J41)</f>
        <v>3.5369787979929765</v>
      </c>
      <c r="K32" s="305">
        <f>SUM(K33:K41)</f>
        <v>4.5641046738439632</v>
      </c>
      <c r="L32" s="305">
        <f>SUM(L33:L41)</f>
        <v>6.3440747438166341</v>
      </c>
      <c r="M32" s="304"/>
      <c r="N32" s="305">
        <f>SUM(N33:N41)</f>
        <v>8.6911186064454817</v>
      </c>
      <c r="O32" s="305">
        <f>SUM(O33:O41)</f>
        <v>8.9795168669429337</v>
      </c>
      <c r="P32" s="305">
        <f>SUM(P33:P41)</f>
        <v>9.1201659491441625</v>
      </c>
      <c r="Q32" s="306"/>
      <c r="R32" s="305">
        <f>SUM(R33:R41)</f>
        <v>2.1410683910935084</v>
      </c>
      <c r="S32" s="305">
        <f>SUM(S33:S41)</f>
        <v>2.2264061577305982</v>
      </c>
      <c r="T32" s="305">
        <f>SUM(T33:T41)</f>
        <v>2.3413542934698137</v>
      </c>
      <c r="U32" s="306"/>
      <c r="V32" s="305">
        <f>SUM(V33:V41)</f>
        <v>4.859248184727309</v>
      </c>
      <c r="W32" s="305">
        <f>SUM(W33:W41)</f>
        <v>4.8629302180659932</v>
      </c>
      <c r="X32" s="305">
        <f>SUM(X33:X41)</f>
        <v>4.7524635485779809</v>
      </c>
      <c r="Y32" s="306"/>
      <c r="Z32" s="305">
        <f>SUM(Z33:Z41)</f>
        <v>15.81695303904228</v>
      </c>
      <c r="AA32" s="305">
        <f>SUM(AA33:AA41)</f>
        <v>16.443014500288822</v>
      </c>
      <c r="AB32" s="305">
        <f>SUM(AB33:AB41)</f>
        <v>15.720842698197824</v>
      </c>
      <c r="AC32" s="306"/>
      <c r="AD32" s="305">
        <f>SUM(AD33:AD41)</f>
        <v>13.924329797294188</v>
      </c>
      <c r="AE32" s="305">
        <f>SUM(AE33:AE41)</f>
        <v>14.54043426338529</v>
      </c>
      <c r="AF32" s="305">
        <f>SUM(AF33:AF41)</f>
        <v>11.902757239141875</v>
      </c>
      <c r="AG32" s="306"/>
      <c r="AH32" s="305">
        <f>SUM(AH33:AH41)</f>
        <v>9.4303133846602041</v>
      </c>
      <c r="AI32" s="305">
        <f>SUM(AI33:AI41)</f>
        <v>7.7904501300611093</v>
      </c>
      <c r="AJ32" s="305">
        <f>SUM(AJ33:AJ41)</f>
        <v>4.3495916505498364</v>
      </c>
      <c r="AK32" s="306"/>
      <c r="AL32" s="305">
        <f>SUM(AL33:AL41)</f>
        <v>4.8416096612797395</v>
      </c>
      <c r="AM32" s="305">
        <f>SUM(AM33:AM41)</f>
        <v>2.2682048784799456</v>
      </c>
      <c r="AN32" s="305">
        <f>SUM(AN33:AN41)</f>
        <v>1.2643323419927106</v>
      </c>
    </row>
    <row r="33" spans="1:40" x14ac:dyDescent="0.25">
      <c r="A33" s="13" t="str">
        <f t="shared" si="63"/>
        <v>Managers, directors and senior officials</v>
      </c>
      <c r="B33" s="304">
        <f>SUM(F33,J33,N33,R33,V33,Z33,AD33,AH33,AL33)</f>
        <v>6.4590778965865079</v>
      </c>
      <c r="C33" s="304">
        <f t="shared" ref="C33:C41" si="64">SUM(G33,K33,O33,S33,W33,AA33,AE33,AI33,AM33)</f>
        <v>5.6428311441387065</v>
      </c>
      <c r="D33" s="304">
        <f t="shared" ref="D33:D40" si="65">SUM(H33,L33,P33,T33,X33,AB33,AF33,AJ33,AN33)</f>
        <v>5.3588531037415672</v>
      </c>
      <c r="E33" s="304"/>
      <c r="F33" s="304">
        <v>8.980041317632774E-2</v>
      </c>
      <c r="G33" s="304">
        <v>8.8099300804138858E-2</v>
      </c>
      <c r="H33" s="304">
        <v>0.11088313730492189</v>
      </c>
      <c r="I33" s="304"/>
      <c r="J33" s="304">
        <v>0.65057386100456194</v>
      </c>
      <c r="K33" s="304">
        <v>0.71608642569094572</v>
      </c>
      <c r="L33" s="304">
        <v>0.93272716424161151</v>
      </c>
      <c r="M33" s="304"/>
      <c r="N33" s="304">
        <v>1.6821341372809397</v>
      </c>
      <c r="O33" s="304">
        <v>1.4974778224365122</v>
      </c>
      <c r="P33" s="304">
        <v>1.4544884026803055</v>
      </c>
      <c r="Q33" s="306"/>
      <c r="R33" s="304">
        <v>0.36182982698248412</v>
      </c>
      <c r="S33" s="304">
        <v>0.32266968982312738</v>
      </c>
      <c r="T33" s="304">
        <v>0.31075727241072332</v>
      </c>
      <c r="U33" s="306"/>
      <c r="V33" s="304">
        <v>0.81866338351744172</v>
      </c>
      <c r="W33" s="304">
        <v>0.70805200304744176</v>
      </c>
      <c r="X33" s="304">
        <v>0.68545581392854438</v>
      </c>
      <c r="Y33" s="306"/>
      <c r="Z33" s="304">
        <v>1.1535728933588916</v>
      </c>
      <c r="AA33" s="304">
        <v>0.98052915412268649</v>
      </c>
      <c r="AB33" s="304">
        <v>0.86724009742126729</v>
      </c>
      <c r="AC33" s="306"/>
      <c r="AD33" s="304">
        <v>0.9460813224808301</v>
      </c>
      <c r="AE33" s="304">
        <v>0.81094486496182561</v>
      </c>
      <c r="AF33" s="304">
        <v>0.64844765533194382</v>
      </c>
      <c r="AG33" s="306"/>
      <c r="AH33" s="304">
        <v>0.53747141904751572</v>
      </c>
      <c r="AI33" s="304">
        <v>0.36708067957147777</v>
      </c>
      <c r="AJ33" s="304">
        <v>0.21946744370029964</v>
      </c>
      <c r="AK33" s="306"/>
      <c r="AL33" s="304">
        <v>0.21895063973751469</v>
      </c>
      <c r="AM33" s="304">
        <v>0.15189120368055056</v>
      </c>
      <c r="AN33" s="304">
        <v>0.12938611672194894</v>
      </c>
    </row>
    <row r="34" spans="1:40" x14ac:dyDescent="0.25">
      <c r="A34" s="13" t="str">
        <f t="shared" si="63"/>
        <v>Professional occupations</v>
      </c>
      <c r="B34" s="304">
        <f t="shared" ref="B34:B41" si="66">SUM(F34,J34,N34,R34,V34,Z34,AD34,AH34,AL34)</f>
        <v>10.2501742013031</v>
      </c>
      <c r="C34" s="304">
        <f t="shared" si="64"/>
        <v>11.495032647003464</v>
      </c>
      <c r="D34" s="304">
        <f t="shared" si="65"/>
        <v>11.709429802510607</v>
      </c>
      <c r="E34" s="304"/>
      <c r="F34" s="304">
        <v>0.41106247304377508</v>
      </c>
      <c r="G34" s="304">
        <v>0.55734081296321014</v>
      </c>
      <c r="H34" s="304">
        <v>0.75036455525073165</v>
      </c>
      <c r="I34" s="304"/>
      <c r="J34" s="304">
        <v>1.5259605668749388</v>
      </c>
      <c r="K34" s="304">
        <v>2.0946685575906985</v>
      </c>
      <c r="L34" s="304">
        <v>2.890020003416474</v>
      </c>
      <c r="M34" s="304"/>
      <c r="N34" s="304">
        <v>2.8234548350862361</v>
      </c>
      <c r="O34" s="304">
        <v>2.9802153670250631</v>
      </c>
      <c r="P34" s="304">
        <v>2.7997203742544969</v>
      </c>
      <c r="Q34" s="306"/>
      <c r="R34" s="304">
        <v>0.32394859587507158</v>
      </c>
      <c r="S34" s="304">
        <v>0.34692936483884079</v>
      </c>
      <c r="T34" s="304">
        <v>0.34074707484096167</v>
      </c>
      <c r="U34" s="306"/>
      <c r="V34" s="304">
        <v>1.2650537860009985</v>
      </c>
      <c r="W34" s="304">
        <v>1.3762007278950443</v>
      </c>
      <c r="X34" s="304">
        <v>1.3299506862540298</v>
      </c>
      <c r="Y34" s="306"/>
      <c r="Z34" s="304">
        <v>1.877169230380588</v>
      </c>
      <c r="AA34" s="304">
        <v>2.0796560103787125</v>
      </c>
      <c r="AB34" s="304">
        <v>1.9904319616993043</v>
      </c>
      <c r="AC34" s="306"/>
      <c r="AD34" s="304">
        <v>1.0922361787482262</v>
      </c>
      <c r="AE34" s="304">
        <v>1.2013718224662455</v>
      </c>
      <c r="AF34" s="304">
        <v>0.96773467228696242</v>
      </c>
      <c r="AG34" s="306"/>
      <c r="AH34" s="304">
        <v>0.73475271382003826</v>
      </c>
      <c r="AI34" s="304">
        <v>0.70133078044585906</v>
      </c>
      <c r="AJ34" s="304">
        <v>0.52652630743445072</v>
      </c>
      <c r="AK34" s="306"/>
      <c r="AL34" s="304">
        <v>0.1965358214732266</v>
      </c>
      <c r="AM34" s="304">
        <v>0.15731920339978828</v>
      </c>
      <c r="AN34" s="304">
        <v>0.11393416707319733</v>
      </c>
    </row>
    <row r="35" spans="1:40" x14ac:dyDescent="0.25">
      <c r="A35" s="13" t="str">
        <f t="shared" si="63"/>
        <v>Associate professional occupations</v>
      </c>
      <c r="B35" s="304">
        <f t="shared" si="66"/>
        <v>6.6074503988103652</v>
      </c>
      <c r="C35" s="304">
        <f t="shared" si="64"/>
        <v>6.1547099229417093</v>
      </c>
      <c r="D35" s="304">
        <f t="shared" si="65"/>
        <v>5.8438206131931079</v>
      </c>
      <c r="E35" s="304"/>
      <c r="F35" s="304">
        <v>7.4466355406072299E-2</v>
      </c>
      <c r="G35" s="304">
        <v>8.5448401725088385E-2</v>
      </c>
      <c r="H35" s="304">
        <v>0.11766260099300468</v>
      </c>
      <c r="I35" s="304"/>
      <c r="J35" s="304">
        <v>0.58942571347719586</v>
      </c>
      <c r="K35" s="304">
        <v>0.68449722614736563</v>
      </c>
      <c r="L35" s="304">
        <v>0.93439782688735828</v>
      </c>
      <c r="M35" s="304"/>
      <c r="N35" s="304">
        <v>1.6048524704343581</v>
      </c>
      <c r="O35" s="304">
        <v>1.5480641996182241</v>
      </c>
      <c r="P35" s="304">
        <v>1.4886359761804202</v>
      </c>
      <c r="Q35" s="306"/>
      <c r="R35" s="304">
        <v>0.46041779018634715</v>
      </c>
      <c r="S35" s="304">
        <v>0.45725628271441165</v>
      </c>
      <c r="T35" s="304">
        <v>0.47026594283851197</v>
      </c>
      <c r="U35" s="306"/>
      <c r="V35" s="304">
        <v>0.61658878713875453</v>
      </c>
      <c r="W35" s="304">
        <v>0.53464082432629634</v>
      </c>
      <c r="X35" s="304">
        <v>0.49156824506457264</v>
      </c>
      <c r="Y35" s="306"/>
      <c r="Z35" s="304">
        <v>1.4851443822534767</v>
      </c>
      <c r="AA35" s="304">
        <v>1.3833436513619062</v>
      </c>
      <c r="AB35" s="304">
        <v>1.2497101018496</v>
      </c>
      <c r="AC35" s="306"/>
      <c r="AD35" s="304">
        <v>1.0792624835957105</v>
      </c>
      <c r="AE35" s="304">
        <v>0.98595088271487774</v>
      </c>
      <c r="AF35" s="304">
        <v>0.79338944539878098</v>
      </c>
      <c r="AG35" s="306"/>
      <c r="AH35" s="304">
        <v>0.57212539171410681</v>
      </c>
      <c r="AI35" s="304">
        <v>0.38204005928259721</v>
      </c>
      <c r="AJ35" s="304">
        <v>0.23288107110342579</v>
      </c>
      <c r="AK35" s="306"/>
      <c r="AL35" s="304">
        <v>0.12516702460434287</v>
      </c>
      <c r="AM35" s="304">
        <v>9.3468395050941858E-2</v>
      </c>
      <c r="AN35" s="304">
        <v>6.5309402877433156E-2</v>
      </c>
    </row>
    <row r="36" spans="1:40" x14ac:dyDescent="0.25">
      <c r="A36" s="13" t="str">
        <f t="shared" si="63"/>
        <v>Administrative and secretarial occupations</v>
      </c>
      <c r="B36" s="304">
        <f t="shared" si="66"/>
        <v>5.1648966792358033</v>
      </c>
      <c r="C36" s="304">
        <f t="shared" si="64"/>
        <v>4.9242860805967608</v>
      </c>
      <c r="D36" s="304">
        <f t="shared" si="65"/>
        <v>4.3697215862076586</v>
      </c>
      <c r="E36" s="304"/>
      <c r="F36" s="304">
        <v>1.9370680828497206E-2</v>
      </c>
      <c r="G36" s="304">
        <v>2.4875388441955009E-2</v>
      </c>
      <c r="H36" s="304">
        <v>3.3903538464353365E-2</v>
      </c>
      <c r="I36" s="304"/>
      <c r="J36" s="304">
        <v>0.22089016021959199</v>
      </c>
      <c r="K36" s="304">
        <v>0.28766634352398995</v>
      </c>
      <c r="L36" s="304">
        <v>0.40600934763816143</v>
      </c>
      <c r="M36" s="304"/>
      <c r="N36" s="304">
        <v>0.88873821163852473</v>
      </c>
      <c r="O36" s="304">
        <v>0.96231203184262959</v>
      </c>
      <c r="P36" s="304">
        <v>1.0108724189223783</v>
      </c>
      <c r="Q36" s="306"/>
      <c r="R36" s="304">
        <v>0.28192657351826433</v>
      </c>
      <c r="S36" s="304">
        <v>0.29673665452893677</v>
      </c>
      <c r="T36" s="304">
        <v>0.31991849264828515</v>
      </c>
      <c r="U36" s="306"/>
      <c r="V36" s="304">
        <v>0.37159039430286772</v>
      </c>
      <c r="W36" s="304">
        <v>0.3887083498927561</v>
      </c>
      <c r="X36" s="304">
        <v>0.40761368696060352</v>
      </c>
      <c r="Y36" s="306"/>
      <c r="Z36" s="304">
        <v>1.1923338695359174</v>
      </c>
      <c r="AA36" s="304">
        <v>1.2279455283156868</v>
      </c>
      <c r="AB36" s="304">
        <v>1.1586268100453336</v>
      </c>
      <c r="AC36" s="306"/>
      <c r="AD36" s="304">
        <v>1.4981672675804816</v>
      </c>
      <c r="AE36" s="304">
        <v>1.3423542894264797</v>
      </c>
      <c r="AF36" s="304">
        <v>0.8776237859403121</v>
      </c>
      <c r="AG36" s="306"/>
      <c r="AH36" s="304">
        <v>0.54119554557293215</v>
      </c>
      <c r="AI36" s="304">
        <v>0.27696832918470859</v>
      </c>
      <c r="AJ36" s="304">
        <v>6.270803634979108E-2</v>
      </c>
      <c r="AK36" s="306"/>
      <c r="AL36" s="304">
        <v>0.1506839760387258</v>
      </c>
      <c r="AM36" s="304">
        <v>0.11671916543961797</v>
      </c>
      <c r="AN36" s="304">
        <v>9.2445469238439382E-2</v>
      </c>
    </row>
    <row r="37" spans="1:40" x14ac:dyDescent="0.25">
      <c r="A37" s="13" t="str">
        <f t="shared" si="63"/>
        <v>Skilled trades occupations</v>
      </c>
      <c r="B37" s="304">
        <f t="shared" si="66"/>
        <v>15.867480653334042</v>
      </c>
      <c r="C37" s="304">
        <f t="shared" si="64"/>
        <v>14.772017981469027</v>
      </c>
      <c r="D37" s="304">
        <f t="shared" si="65"/>
        <v>12.430057336616198</v>
      </c>
      <c r="E37" s="304"/>
      <c r="F37" s="304">
        <v>1.2867906069539869E-2</v>
      </c>
      <c r="G37" s="304">
        <v>1.7974840952869085E-2</v>
      </c>
      <c r="H37" s="304">
        <v>2.504054361407234E-2</v>
      </c>
      <c r="I37" s="304"/>
      <c r="J37" s="304">
        <v>0.28159289735575388</v>
      </c>
      <c r="K37" s="304">
        <v>0.38184679178605985</v>
      </c>
      <c r="L37" s="304">
        <v>0.53575412470336781</v>
      </c>
      <c r="M37" s="304"/>
      <c r="N37" s="304">
        <v>0.6850108427283782</v>
      </c>
      <c r="O37" s="304">
        <v>0.74640835530501759</v>
      </c>
      <c r="P37" s="304">
        <v>0.79798679752514845</v>
      </c>
      <c r="Q37" s="306"/>
      <c r="R37" s="304">
        <v>0.26206615363727287</v>
      </c>
      <c r="S37" s="304">
        <v>0.2690677181295299</v>
      </c>
      <c r="T37" s="304">
        <v>0.27626947721194128</v>
      </c>
      <c r="U37" s="306"/>
      <c r="V37" s="304">
        <v>1.1271449175835189</v>
      </c>
      <c r="W37" s="304">
        <v>1.0939349512623462</v>
      </c>
      <c r="X37" s="304">
        <v>1.0322987700061883</v>
      </c>
      <c r="Y37" s="306"/>
      <c r="Z37" s="304">
        <v>6.0413768218882238</v>
      </c>
      <c r="AA37" s="304">
        <v>6.09067120002093</v>
      </c>
      <c r="AB37" s="304">
        <v>5.7004752546892306</v>
      </c>
      <c r="AC37" s="306"/>
      <c r="AD37" s="304">
        <v>3.9203016872177199</v>
      </c>
      <c r="AE37" s="304">
        <v>3.8531236781452161</v>
      </c>
      <c r="AF37" s="304">
        <v>2.8491181962969798</v>
      </c>
      <c r="AG37" s="306"/>
      <c r="AH37" s="304">
        <v>2.3099538672876241</v>
      </c>
      <c r="AI37" s="304">
        <v>1.7984566791332446</v>
      </c>
      <c r="AJ37" s="304">
        <v>0.957292294354958</v>
      </c>
      <c r="AK37" s="306"/>
      <c r="AL37" s="304">
        <v>1.2271655595660098</v>
      </c>
      <c r="AM37" s="304">
        <v>0.52053376673381357</v>
      </c>
      <c r="AN37" s="304">
        <v>0.25582187821431279</v>
      </c>
    </row>
    <row r="38" spans="1:40" x14ac:dyDescent="0.25">
      <c r="A38" s="13" t="str">
        <f t="shared" si="63"/>
        <v>Caring, leisure and other service occupations</v>
      </c>
      <c r="B38" s="304">
        <f t="shared" si="66"/>
        <v>0.80189876921076075</v>
      </c>
      <c r="C38" s="304">
        <f t="shared" si="64"/>
        <v>0.77599310073435468</v>
      </c>
      <c r="D38" s="304">
        <f t="shared" si="65"/>
        <v>0.72846473855211946</v>
      </c>
      <c r="E38" s="304"/>
      <c r="F38" s="304">
        <v>1.1377767255516496E-2</v>
      </c>
      <c r="G38" s="304">
        <v>1.5232620540562286E-2</v>
      </c>
      <c r="H38" s="304">
        <v>2.3994674755037165E-2</v>
      </c>
      <c r="I38" s="304"/>
      <c r="J38" s="304">
        <v>9.3927795000937602E-3</v>
      </c>
      <c r="K38" s="304">
        <v>1.0018844086037516E-2</v>
      </c>
      <c r="L38" s="304">
        <v>1.1163882701746831E-2</v>
      </c>
      <c r="M38" s="304"/>
      <c r="N38" s="304">
        <v>9.3116322809204899E-2</v>
      </c>
      <c r="O38" s="304">
        <v>9.086206821293942E-2</v>
      </c>
      <c r="P38" s="304">
        <v>8.6680827000596053E-2</v>
      </c>
      <c r="Q38" s="306"/>
      <c r="R38" s="304">
        <v>2.3574281874933021E-2</v>
      </c>
      <c r="S38" s="304">
        <v>2.0261182372109238E-2</v>
      </c>
      <c r="T38" s="304">
        <v>1.8685209101873511E-2</v>
      </c>
      <c r="U38" s="306"/>
      <c r="V38" s="304">
        <v>6.0206953512995154E-2</v>
      </c>
      <c r="W38" s="304">
        <v>5.3890515310026352E-2</v>
      </c>
      <c r="X38" s="304">
        <v>5.1581420618731E-2</v>
      </c>
      <c r="Y38" s="306"/>
      <c r="Z38" s="304">
        <v>9.8265887577003969E-2</v>
      </c>
      <c r="AA38" s="304">
        <v>8.6328799258585984E-2</v>
      </c>
      <c r="AB38" s="304">
        <v>7.2240571234357578E-2</v>
      </c>
      <c r="AC38" s="306"/>
      <c r="AD38" s="304">
        <v>0.15531992044605739</v>
      </c>
      <c r="AE38" s="304">
        <v>0.15521944986631567</v>
      </c>
      <c r="AF38" s="304">
        <v>0.12953268930325698</v>
      </c>
      <c r="AG38" s="306"/>
      <c r="AH38" s="304">
        <v>0.26390841673738247</v>
      </c>
      <c r="AI38" s="304">
        <v>0.26324855977516437</v>
      </c>
      <c r="AJ38" s="304">
        <v>0.25556453875191604</v>
      </c>
      <c r="AK38" s="306"/>
      <c r="AL38" s="304">
        <v>8.6736439497573717E-2</v>
      </c>
      <c r="AM38" s="304">
        <v>8.0931061312613878E-2</v>
      </c>
      <c r="AN38" s="304">
        <v>7.9020925084604302E-2</v>
      </c>
    </row>
    <row r="39" spans="1:40" x14ac:dyDescent="0.25">
      <c r="A39" s="13" t="str">
        <f t="shared" si="63"/>
        <v>Sales and customer service occupations</v>
      </c>
      <c r="B39" s="304">
        <f t="shared" si="66"/>
        <v>2.0860064790356314</v>
      </c>
      <c r="C39" s="304">
        <f t="shared" si="64"/>
        <v>2.0192537804159767</v>
      </c>
      <c r="D39" s="304">
        <f t="shared" si="65"/>
        <v>1.9123242664415745</v>
      </c>
      <c r="E39" s="304"/>
      <c r="F39" s="304">
        <v>1.1070179076389299E-2</v>
      </c>
      <c r="G39" s="304">
        <v>1.4129443550605124E-2</v>
      </c>
      <c r="H39" s="304">
        <v>1.947246141123319E-2</v>
      </c>
      <c r="I39" s="304"/>
      <c r="J39" s="304">
        <v>9.635266297717146E-2</v>
      </c>
      <c r="K39" s="304">
        <v>0.12878939846761892</v>
      </c>
      <c r="L39" s="304">
        <v>0.17374093719233288</v>
      </c>
      <c r="M39" s="304"/>
      <c r="N39" s="304">
        <v>0.42279054195088878</v>
      </c>
      <c r="O39" s="304">
        <v>0.44845542350521855</v>
      </c>
      <c r="P39" s="304">
        <v>0.4917925575633717</v>
      </c>
      <c r="Q39" s="306"/>
      <c r="R39" s="304">
        <v>0.12669736190780853</v>
      </c>
      <c r="S39" s="304">
        <v>0.13986349869338371</v>
      </c>
      <c r="T39" s="304">
        <v>0.16012879226185389</v>
      </c>
      <c r="U39" s="306"/>
      <c r="V39" s="304">
        <v>0.1406405660550466</v>
      </c>
      <c r="W39" s="304">
        <v>0.14620513730367235</v>
      </c>
      <c r="X39" s="304">
        <v>0.15733677040048083</v>
      </c>
      <c r="Y39" s="306"/>
      <c r="Z39" s="304">
        <v>0.47530389140688611</v>
      </c>
      <c r="AA39" s="304">
        <v>0.43582306643158458</v>
      </c>
      <c r="AB39" s="304">
        <v>0.34737220262777813</v>
      </c>
      <c r="AC39" s="306"/>
      <c r="AD39" s="304">
        <v>0.37446086930504829</v>
      </c>
      <c r="AE39" s="304">
        <v>0.39728289999509081</v>
      </c>
      <c r="AF39" s="304">
        <v>0.39371662420668596</v>
      </c>
      <c r="AG39" s="306"/>
      <c r="AH39" s="304">
        <v>0.23832575020505203</v>
      </c>
      <c r="AI39" s="304">
        <v>0.16478519635882144</v>
      </c>
      <c r="AJ39" s="304">
        <v>5.6507967223124275E-2</v>
      </c>
      <c r="AK39" s="306"/>
      <c r="AL39" s="304">
        <v>0.20036465615134044</v>
      </c>
      <c r="AM39" s="304">
        <v>0.14391971610998133</v>
      </c>
      <c r="AN39" s="304">
        <v>0.1122559535547135</v>
      </c>
    </row>
    <row r="40" spans="1:40" x14ac:dyDescent="0.25">
      <c r="A40" s="13" t="str">
        <f t="shared" si="63"/>
        <v>Process, plant and machine operatives</v>
      </c>
      <c r="B40" s="304">
        <f t="shared" si="66"/>
        <v>12.946839948040479</v>
      </c>
      <c r="C40" s="304">
        <f t="shared" si="64"/>
        <v>12.509110878026787</v>
      </c>
      <c r="D40" s="304">
        <f t="shared" si="65"/>
        <v>10.811491557548338</v>
      </c>
      <c r="E40" s="304"/>
      <c r="F40" s="304">
        <v>1.8647003301014364E-3</v>
      </c>
      <c r="G40" s="304">
        <v>2.3515252086067054E-3</v>
      </c>
      <c r="H40" s="304">
        <v>3.365756192043733E-3</v>
      </c>
      <c r="I40" s="304"/>
      <c r="J40" s="304">
        <v>0.12835173602041416</v>
      </c>
      <c r="K40" s="304">
        <v>0.2080508710279263</v>
      </c>
      <c r="L40" s="304">
        <v>0.37695783075526151</v>
      </c>
      <c r="M40" s="304"/>
      <c r="N40" s="304">
        <v>0.35428608921767468</v>
      </c>
      <c r="O40" s="304">
        <v>0.46479482589817789</v>
      </c>
      <c r="P40" s="304">
        <v>0.65460653670400271</v>
      </c>
      <c r="Q40" s="306"/>
      <c r="R40" s="305">
        <v>0.20856963987747384</v>
      </c>
      <c r="S40" s="305">
        <v>0.22752832039409787</v>
      </c>
      <c r="T40" s="305">
        <v>0.24390789735017948</v>
      </c>
      <c r="U40" s="306"/>
      <c r="V40" s="305">
        <v>0.38874744543467632</v>
      </c>
      <c r="W40" s="305">
        <v>0.44633414037832392</v>
      </c>
      <c r="X40" s="305">
        <v>0.45164747402054345</v>
      </c>
      <c r="Y40" s="306"/>
      <c r="Z40" s="305">
        <v>3.0776384519398405</v>
      </c>
      <c r="AA40" s="305">
        <v>3.6217406199282585</v>
      </c>
      <c r="AB40" s="305">
        <v>3.7947186865899356</v>
      </c>
      <c r="AC40" s="306"/>
      <c r="AD40" s="305">
        <v>3.9546487745132954</v>
      </c>
      <c r="AE40" s="305">
        <v>4.5658847097131652</v>
      </c>
      <c r="AF40" s="305">
        <v>4.1040655926902341</v>
      </c>
      <c r="AG40" s="306"/>
      <c r="AH40" s="305">
        <v>2.951877265243533</v>
      </c>
      <c r="AI40" s="305">
        <v>2.427755048025884</v>
      </c>
      <c r="AJ40" s="305">
        <v>1.0046027372816926</v>
      </c>
      <c r="AK40" s="306"/>
      <c r="AL40" s="305">
        <v>1.8808558454634687</v>
      </c>
      <c r="AM40" s="305">
        <v>0.54467081745234713</v>
      </c>
      <c r="AN40" s="305">
        <v>0.17761904596444503</v>
      </c>
    </row>
    <row r="41" spans="1:40" x14ac:dyDescent="0.25">
      <c r="A41" s="39" t="str">
        <f t="shared" si="63"/>
        <v>Elementary occupations</v>
      </c>
      <c r="B41" s="307">
        <f t="shared" si="66"/>
        <v>3.6951749744433187</v>
      </c>
      <c r="C41" s="307">
        <f t="shared" si="64"/>
        <v>4.1937644646732304</v>
      </c>
      <c r="D41" s="307">
        <f>SUM(H41,L41,P41,T41,X41,AB41,AF41,AJ41,AN41)</f>
        <v>3.7258369951887236</v>
      </c>
      <c r="E41" s="307"/>
      <c r="F41" s="307">
        <v>5.4996622780953729E-3</v>
      </c>
      <c r="G41" s="307">
        <v>6.4859770143267832E-3</v>
      </c>
      <c r="H41" s="307">
        <v>9.7302671236644076E-3</v>
      </c>
      <c r="I41" s="307"/>
      <c r="J41" s="307">
        <v>3.4438420563254218E-2</v>
      </c>
      <c r="K41" s="307">
        <v>5.2480215523320731E-2</v>
      </c>
      <c r="L41" s="307">
        <v>8.3303626280319593E-2</v>
      </c>
      <c r="M41" s="307"/>
      <c r="N41" s="307">
        <v>0.13673515529927768</v>
      </c>
      <c r="O41" s="307">
        <v>0.24092677309915098</v>
      </c>
      <c r="P41" s="307">
        <v>0.33538205831343998</v>
      </c>
      <c r="Q41" s="308"/>
      <c r="R41" s="307">
        <v>9.2038167233853385E-2</v>
      </c>
      <c r="S41" s="307">
        <v>0.14609344623616102</v>
      </c>
      <c r="T41" s="307">
        <v>0.20067413480548343</v>
      </c>
      <c r="U41" s="308"/>
      <c r="V41" s="307">
        <v>7.0611951181010296E-2</v>
      </c>
      <c r="W41" s="307">
        <v>0.11496356865008488</v>
      </c>
      <c r="X41" s="307">
        <v>0.14501068132428774</v>
      </c>
      <c r="Y41" s="308"/>
      <c r="Z41" s="307">
        <v>0.41614761070145301</v>
      </c>
      <c r="AA41" s="307">
        <v>0.53697647047046926</v>
      </c>
      <c r="AB41" s="307">
        <v>0.54002701204101644</v>
      </c>
      <c r="AC41" s="308"/>
      <c r="AD41" s="307">
        <v>0.90385129340681847</v>
      </c>
      <c r="AE41" s="307">
        <v>1.2283016660960735</v>
      </c>
      <c r="AF41" s="307">
        <v>1.1391285776867177</v>
      </c>
      <c r="AG41" s="308"/>
      <c r="AH41" s="307">
        <v>1.2807030150320196</v>
      </c>
      <c r="AI41" s="307">
        <v>1.4087847982833519</v>
      </c>
      <c r="AJ41" s="307">
        <v>1.034041254350178</v>
      </c>
      <c r="AK41" s="308"/>
      <c r="AL41" s="307">
        <v>0.75514969874753679</v>
      </c>
      <c r="AM41" s="307">
        <v>0.45875154930029077</v>
      </c>
      <c r="AN41" s="307">
        <v>0.23853938326361618</v>
      </c>
    </row>
    <row r="42" spans="1:40" x14ac:dyDescent="0.25">
      <c r="B42" s="32"/>
      <c r="C42" s="32"/>
      <c r="D42" s="32"/>
    </row>
    <row r="43" spans="1:40" ht="15.5" x14ac:dyDescent="0.35">
      <c r="A43" s="19" t="str">
        <f>CONCATENATE(A1," (Continued)")</f>
        <v>Basic Table 1  Employment by Industry Sector, Occupation Group and Qualification, 2020-2035, Black Country (Continued)</v>
      </c>
    </row>
    <row r="44" spans="1:40" ht="12.75" customHeight="1" x14ac:dyDescent="0.35">
      <c r="A44" s="19"/>
    </row>
    <row r="45" spans="1:40" ht="12.75" customHeight="1" x14ac:dyDescent="0.35">
      <c r="A45" s="19"/>
    </row>
    <row r="46" spans="1:40" ht="26.25" customHeight="1" x14ac:dyDescent="0.25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3" t="str">
        <f>N4</f>
        <v>RQF6 First degree</v>
      </c>
      <c r="O46" s="383"/>
      <c r="P46" s="383"/>
      <c r="Q46" s="78"/>
      <c r="R46" s="383" t="str">
        <f>R4</f>
        <v>RQF5 Foundation degree;Nursing;Teaching</v>
      </c>
      <c r="S46" s="383"/>
      <c r="T46" s="383"/>
      <c r="U46" s="78"/>
      <c r="V46" s="383" t="str">
        <f>V4</f>
        <v>RQF4 HE below degree level</v>
      </c>
      <c r="W46" s="383"/>
      <c r="X46" s="383"/>
      <c r="Y46" s="78"/>
      <c r="Z46" s="383" t="str">
        <f>Z4</f>
        <v>RQF3 A level &amp; equivalent</v>
      </c>
      <c r="AA46" s="383"/>
      <c r="AB46" s="383"/>
      <c r="AC46" s="78"/>
      <c r="AD46" s="383" t="str">
        <f>AD4</f>
        <v>RQF2 GCSE(A-C) &amp; equivalent</v>
      </c>
      <c r="AE46" s="383"/>
      <c r="AF46" s="383"/>
      <c r="AG46" s="78"/>
      <c r="AH46" s="383" t="str">
        <f>AH4</f>
        <v>RQF1 GCSE(below grade C) &amp; equivalent</v>
      </c>
      <c r="AI46" s="383"/>
      <c r="AJ46" s="383"/>
      <c r="AK46" s="78"/>
      <c r="AL46" s="383" t="str">
        <f>AL4</f>
        <v>No Qualification</v>
      </c>
      <c r="AM46" s="383"/>
      <c r="AN46" s="383"/>
    </row>
    <row r="47" spans="1:40" ht="13" x14ac:dyDescent="0.3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5">
      <c r="B48" s="32"/>
      <c r="C48" s="32"/>
      <c r="D48" s="32"/>
    </row>
    <row r="49" spans="1:40" ht="13" x14ac:dyDescent="0.3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5">
      <c r="A50" s="13" t="str">
        <f t="shared" ref="A50:A59" si="67">A8</f>
        <v>All occupations</v>
      </c>
      <c r="B50" s="305">
        <f>SUM(B51:B59)</f>
        <v>37.014999999999965</v>
      </c>
      <c r="C50" s="305">
        <f>SUM(C51:C59)</f>
        <v>36.904000000000003</v>
      </c>
      <c r="D50" s="305">
        <f>SUM(D51:D59)</f>
        <v>37.449999999999946</v>
      </c>
      <c r="E50" s="304"/>
      <c r="F50" s="305">
        <f>SUM(F51:F59)</f>
        <v>8.5356155031193343E-2</v>
      </c>
      <c r="G50" s="305">
        <f>SUM(G51:G59)</f>
        <v>0.11598527644390103</v>
      </c>
      <c r="H50" s="305">
        <f>SUM(H51:H59)</f>
        <v>0.21010318510339709</v>
      </c>
      <c r="I50" s="304"/>
      <c r="J50" s="305">
        <f>SUM(J51:J59)</f>
        <v>1.4212171203367399</v>
      </c>
      <c r="K50" s="305">
        <f>SUM(K51:K59)</f>
        <v>1.9148240974119601</v>
      </c>
      <c r="L50" s="305">
        <f>SUM(L51:L59)</f>
        <v>3.0970352107124515</v>
      </c>
      <c r="M50" s="304"/>
      <c r="N50" s="305">
        <f>SUM(N51:N59)</f>
        <v>2.8723124673265796</v>
      </c>
      <c r="O50" s="305">
        <f>SUM(O51:O59)</f>
        <v>3.0213038702368911</v>
      </c>
      <c r="P50" s="305">
        <f>SUM(P51:P59)</f>
        <v>3.4775355251240545</v>
      </c>
      <c r="Q50" s="304"/>
      <c r="R50" s="305">
        <f>SUM(R51:R59)</f>
        <v>1.1110359345139003</v>
      </c>
      <c r="S50" s="305">
        <f>SUM(S51:S59)</f>
        <v>1.1867926671600968</v>
      </c>
      <c r="T50" s="305">
        <f>SUM(T51:T59)</f>
        <v>1.4719920020553834</v>
      </c>
      <c r="U50" s="304"/>
      <c r="V50" s="305">
        <f>SUM(V51:V59)</f>
        <v>2.1867277586761227</v>
      </c>
      <c r="W50" s="305">
        <f>SUM(W51:W59)</f>
        <v>2.2633580084345986</v>
      </c>
      <c r="X50" s="305">
        <f>SUM(X51:X59)</f>
        <v>2.6985459587890661</v>
      </c>
      <c r="Y50" s="304"/>
      <c r="Z50" s="305">
        <f>SUM(Z51:Z59)</f>
        <v>11.095422836279688</v>
      </c>
      <c r="AA50" s="305">
        <f>SUM(AA51:AA59)</f>
        <v>11.414987084989498</v>
      </c>
      <c r="AB50" s="305">
        <f>SUM(AB51:AB59)</f>
        <v>11.949482014742683</v>
      </c>
      <c r="AC50" s="304"/>
      <c r="AD50" s="305">
        <f>SUM(AD51:AD59)</f>
        <v>9.5894610665231284</v>
      </c>
      <c r="AE50" s="305">
        <f>SUM(AE51:AE59)</f>
        <v>10.471040338122027</v>
      </c>
      <c r="AF50" s="305">
        <f>SUM(AF51:AF59)</f>
        <v>10.493181349266417</v>
      </c>
      <c r="AG50" s="304"/>
      <c r="AH50" s="305">
        <f>SUM(AH51:AH59)</f>
        <v>5.5085978714102843</v>
      </c>
      <c r="AI50" s="305">
        <f>SUM(AI51:AI59)</f>
        <v>4.8560817921817181</v>
      </c>
      <c r="AJ50" s="305">
        <f>SUM(AJ51:AJ59)</f>
        <v>3.5071986085810654</v>
      </c>
      <c r="AK50" s="304"/>
      <c r="AL50" s="305">
        <f>SUM(AL51:AL59)</f>
        <v>3.1448687899023255</v>
      </c>
      <c r="AM50" s="305">
        <f>SUM(AM51:AM59)</f>
        <v>1.6596268650193062</v>
      </c>
      <c r="AN50" s="305">
        <f>SUM(AN51:AN59)</f>
        <v>0.54492614562542252</v>
      </c>
    </row>
    <row r="51" spans="1:40" x14ac:dyDescent="0.25">
      <c r="A51" s="13" t="str">
        <f t="shared" si="67"/>
        <v>Managers, directors and senior officials</v>
      </c>
      <c r="B51" s="304">
        <f>SUM(F51,J51,N51,R51,V51,Z51,AD51,AH51,AL51)</f>
        <v>3.3585950511358451</v>
      </c>
      <c r="C51" s="304">
        <f t="shared" ref="C51:D51" si="68">SUM(G51,K51,O51,S51,W51,AA51,AE51,AI51,AM51)</f>
        <v>2.9945881995622718</v>
      </c>
      <c r="D51" s="304">
        <f t="shared" si="68"/>
        <v>3.4157589212002621</v>
      </c>
      <c r="E51" s="304"/>
      <c r="F51" s="304">
        <v>8.596922587334483E-3</v>
      </c>
      <c r="G51" s="304">
        <v>1.0884843264687746E-2</v>
      </c>
      <c r="H51" s="304">
        <v>1.8602356594327515E-2</v>
      </c>
      <c r="I51" s="304"/>
      <c r="J51" s="304">
        <v>0.34658594090146394</v>
      </c>
      <c r="K51" s="304">
        <v>0.41275049701048178</v>
      </c>
      <c r="L51" s="304">
        <v>0.71479567183054782</v>
      </c>
      <c r="M51" s="304"/>
      <c r="N51" s="304">
        <v>0.54893782686347503</v>
      </c>
      <c r="O51" s="304">
        <v>0.49130111279138067</v>
      </c>
      <c r="P51" s="304">
        <v>0.52239568734805852</v>
      </c>
      <c r="Q51" s="304"/>
      <c r="R51" s="304">
        <v>0.16171396775678326</v>
      </c>
      <c r="S51" s="304">
        <v>0.1405507554158571</v>
      </c>
      <c r="T51" s="304">
        <v>0.15197533647918937</v>
      </c>
      <c r="U51" s="304"/>
      <c r="V51" s="304">
        <v>0.3564890317398125</v>
      </c>
      <c r="W51" s="304">
        <v>0.31719092752880412</v>
      </c>
      <c r="X51" s="304">
        <v>0.36640790471318707</v>
      </c>
      <c r="Y51" s="304"/>
      <c r="Z51" s="304">
        <v>0.8612178393093558</v>
      </c>
      <c r="AA51" s="304">
        <v>0.77838774171917235</v>
      </c>
      <c r="AB51" s="304">
        <v>0.97916743390402694</v>
      </c>
      <c r="AC51" s="304"/>
      <c r="AD51" s="304">
        <v>0.49177543947272701</v>
      </c>
      <c r="AE51" s="304">
        <v>0.42611925444195703</v>
      </c>
      <c r="AF51" s="304">
        <v>0.3740562807642655</v>
      </c>
      <c r="AG51" s="304"/>
      <c r="AH51" s="304">
        <v>0.33356949544272163</v>
      </c>
      <c r="AI51" s="304">
        <v>0.24836645176326966</v>
      </c>
      <c r="AJ51" s="304">
        <v>0.16937308662985523</v>
      </c>
      <c r="AK51" s="304"/>
      <c r="AL51" s="304">
        <v>0.24970858706217117</v>
      </c>
      <c r="AM51" s="304">
        <v>0.16903661562666109</v>
      </c>
      <c r="AN51" s="304">
        <v>0.1189851629368044</v>
      </c>
    </row>
    <row r="52" spans="1:40" x14ac:dyDescent="0.25">
      <c r="A52" s="13" t="str">
        <f t="shared" si="67"/>
        <v>Professional occupations</v>
      </c>
      <c r="B52" s="304">
        <f t="shared" ref="B52:B59" si="69">SUM(F52,J52,N52,R52,V52,Z52,AD52,AH52,AL52)</f>
        <v>4.381820726064503</v>
      </c>
      <c r="C52" s="304">
        <f t="shared" ref="C52:C59" si="70">SUM(G52,K52,O52,S52,W52,AA52,AE52,AI52,AM52)</f>
        <v>4.7144737855086349</v>
      </c>
      <c r="D52" s="304">
        <f t="shared" ref="D52:D59" si="71">SUM(H52,L52,P52,T52,X52,AB52,AF52,AJ52,AN52)</f>
        <v>5.4389305617287542</v>
      </c>
      <c r="E52" s="304"/>
      <c r="F52" s="304">
        <v>3.9770703666938696E-2</v>
      </c>
      <c r="G52" s="304">
        <v>5.1990822783596805E-2</v>
      </c>
      <c r="H52" s="304">
        <v>7.2359790094956883E-2</v>
      </c>
      <c r="I52" s="304"/>
      <c r="J52" s="304">
        <v>0.52930462494110397</v>
      </c>
      <c r="K52" s="304">
        <v>0.73587812163476318</v>
      </c>
      <c r="L52" s="304">
        <v>1.1342145623104662</v>
      </c>
      <c r="M52" s="304"/>
      <c r="N52" s="304">
        <v>0.87471599665273225</v>
      </c>
      <c r="O52" s="304">
        <v>0.84422935568496205</v>
      </c>
      <c r="P52" s="304">
        <v>0.85469099361756384</v>
      </c>
      <c r="Q52" s="304"/>
      <c r="R52" s="304">
        <v>0.13393057803464586</v>
      </c>
      <c r="S52" s="304">
        <v>0.10437796992160053</v>
      </c>
      <c r="T52" s="304">
        <v>0.11544259382426668</v>
      </c>
      <c r="U52" s="304"/>
      <c r="V52" s="304">
        <v>0.37040768260368934</v>
      </c>
      <c r="W52" s="304">
        <v>0.31214122458971322</v>
      </c>
      <c r="X52" s="304">
        <v>0.23608905948109629</v>
      </c>
      <c r="Y52" s="304"/>
      <c r="Z52" s="304">
        <v>1.2729583957485289</v>
      </c>
      <c r="AA52" s="304">
        <v>1.4567423443627636</v>
      </c>
      <c r="AB52" s="304">
        <v>1.8531812340622531</v>
      </c>
      <c r="AC52" s="304"/>
      <c r="AD52" s="304">
        <v>0.72929793047200642</v>
      </c>
      <c r="AE52" s="304">
        <v>0.87261674590108862</v>
      </c>
      <c r="AF52" s="304">
        <v>0.97355284629016547</v>
      </c>
      <c r="AG52" s="304"/>
      <c r="AH52" s="304">
        <v>0.25465467701020567</v>
      </c>
      <c r="AI52" s="304">
        <v>0.21698525849620134</v>
      </c>
      <c r="AJ52" s="304">
        <v>0.14318158112600049</v>
      </c>
      <c r="AK52" s="304"/>
      <c r="AL52" s="304">
        <v>0.1767801369346518</v>
      </c>
      <c r="AM52" s="304">
        <v>0.11951194213394627</v>
      </c>
      <c r="AN52" s="304">
        <v>5.621790092198517E-2</v>
      </c>
    </row>
    <row r="53" spans="1:40" x14ac:dyDescent="0.25">
      <c r="A53" s="13" t="str">
        <f t="shared" si="67"/>
        <v>Associate professional occupations</v>
      </c>
      <c r="B53" s="304">
        <f t="shared" si="69"/>
        <v>2.0304095854349655</v>
      </c>
      <c r="C53" s="304">
        <f t="shared" si="70"/>
        <v>1.9496744175973906</v>
      </c>
      <c r="D53" s="304">
        <f t="shared" si="71"/>
        <v>2.1598016118100851</v>
      </c>
      <c r="E53" s="304"/>
      <c r="F53" s="304">
        <v>4.649626862554844E-3</v>
      </c>
      <c r="G53" s="304">
        <v>5.8314014588035923E-3</v>
      </c>
      <c r="H53" s="304">
        <v>1.0055327276547647E-2</v>
      </c>
      <c r="I53" s="304"/>
      <c r="J53" s="304">
        <v>0.16128995947816654</v>
      </c>
      <c r="K53" s="304">
        <v>0.21367400750333951</v>
      </c>
      <c r="L53" s="304">
        <v>0.36340588386056488</v>
      </c>
      <c r="M53" s="304"/>
      <c r="N53" s="304">
        <v>0.32592952245275431</v>
      </c>
      <c r="O53" s="304">
        <v>0.32311503990075574</v>
      </c>
      <c r="P53" s="304">
        <v>0.36334744834772936</v>
      </c>
      <c r="Q53" s="304"/>
      <c r="R53" s="304">
        <v>0.14213382002439004</v>
      </c>
      <c r="S53" s="304">
        <v>0.15000795398323416</v>
      </c>
      <c r="T53" s="304">
        <v>0.18700785648944127</v>
      </c>
      <c r="U53" s="304"/>
      <c r="V53" s="304">
        <v>0.29416902832332231</v>
      </c>
      <c r="W53" s="304">
        <v>0.28290594881761366</v>
      </c>
      <c r="X53" s="304">
        <v>0.33203650466087459</v>
      </c>
      <c r="Y53" s="304"/>
      <c r="Z53" s="304">
        <v>0.3806462317224511</v>
      </c>
      <c r="AA53" s="304">
        <v>0.31552127899230914</v>
      </c>
      <c r="AB53" s="304">
        <v>0.29444028082774504</v>
      </c>
      <c r="AC53" s="304"/>
      <c r="AD53" s="304">
        <v>0.35849562857287176</v>
      </c>
      <c r="AE53" s="304">
        <v>0.35536131581810604</v>
      </c>
      <c r="AF53" s="304">
        <v>0.38057006406332677</v>
      </c>
      <c r="AG53" s="304"/>
      <c r="AH53" s="304">
        <v>0.28634612438282953</v>
      </c>
      <c r="AI53" s="304">
        <v>0.25625676511704343</v>
      </c>
      <c r="AJ53" s="304">
        <v>0.19401488170433581</v>
      </c>
      <c r="AK53" s="304"/>
      <c r="AL53" s="304">
        <v>7.6749643615625293E-2</v>
      </c>
      <c r="AM53" s="304">
        <v>4.7000706006185104E-2</v>
      </c>
      <c r="AN53" s="304">
        <v>3.4923364579519826E-2</v>
      </c>
    </row>
    <row r="54" spans="1:40" x14ac:dyDescent="0.25">
      <c r="A54" s="13" t="str">
        <f t="shared" si="67"/>
        <v>Administrative and secretarial occupations</v>
      </c>
      <c r="B54" s="304">
        <f t="shared" si="69"/>
        <v>2.9010138688997964</v>
      </c>
      <c r="C54" s="304">
        <f t="shared" si="70"/>
        <v>2.8282584288154875</v>
      </c>
      <c r="D54" s="304">
        <f t="shared" si="71"/>
        <v>2.6956468097313864</v>
      </c>
      <c r="E54" s="304"/>
      <c r="F54" s="304">
        <v>2.3212585792164238E-2</v>
      </c>
      <c r="G54" s="304">
        <v>3.4680669667287917E-2</v>
      </c>
      <c r="H54" s="304">
        <v>8.8351092302666787E-2</v>
      </c>
      <c r="I54" s="304"/>
      <c r="J54" s="304">
        <v>0.16127848236168782</v>
      </c>
      <c r="K54" s="304">
        <v>0.23109405978168798</v>
      </c>
      <c r="L54" s="304">
        <v>0.36001187604015988</v>
      </c>
      <c r="M54" s="304"/>
      <c r="N54" s="304">
        <v>0.44720845450085023</v>
      </c>
      <c r="O54" s="304">
        <v>0.53667978528372218</v>
      </c>
      <c r="P54" s="304">
        <v>0.70051531518562271</v>
      </c>
      <c r="Q54" s="304"/>
      <c r="R54" s="304">
        <v>0.28147494051984873</v>
      </c>
      <c r="S54" s="304">
        <v>0.31590629777577761</v>
      </c>
      <c r="T54" s="304">
        <v>0.41683072645111707</v>
      </c>
      <c r="U54" s="304"/>
      <c r="V54" s="304">
        <v>0.15411336304687945</v>
      </c>
      <c r="W54" s="304">
        <v>0.16669258699915035</v>
      </c>
      <c r="X54" s="304">
        <v>0.24687661625716645</v>
      </c>
      <c r="Y54" s="304"/>
      <c r="Z54" s="304">
        <v>0.492839298614409</v>
      </c>
      <c r="AA54" s="304">
        <v>0.44087761652274393</v>
      </c>
      <c r="AB54" s="304">
        <v>0.31638284317482895</v>
      </c>
      <c r="AC54" s="304"/>
      <c r="AD54" s="304">
        <v>0.46694834991633227</v>
      </c>
      <c r="AE54" s="304">
        <v>0.37451974027775792</v>
      </c>
      <c r="AF54" s="304">
        <v>0.18295109833490039</v>
      </c>
      <c r="AG54" s="304"/>
      <c r="AH54" s="304">
        <v>0.66137868214627649</v>
      </c>
      <c r="AI54" s="304">
        <v>0.64533523642926405</v>
      </c>
      <c r="AJ54" s="304">
        <v>0.37207212651212346</v>
      </c>
      <c r="AK54" s="304"/>
      <c r="AL54" s="304">
        <v>0.21255971200134821</v>
      </c>
      <c r="AM54" s="304">
        <v>8.2472436078095512E-2</v>
      </c>
      <c r="AN54" s="304">
        <v>1.1655115472800506E-2</v>
      </c>
    </row>
    <row r="55" spans="1:40" x14ac:dyDescent="0.25">
      <c r="A55" s="13" t="str">
        <f t="shared" si="67"/>
        <v>Skilled trades occupations</v>
      </c>
      <c r="B55" s="304">
        <f t="shared" si="69"/>
        <v>18.510631440875201</v>
      </c>
      <c r="C55" s="304">
        <f t="shared" si="70"/>
        <v>18.235025536099684</v>
      </c>
      <c r="D55" s="304">
        <f t="shared" si="71"/>
        <v>17.013953475951443</v>
      </c>
      <c r="E55" s="304"/>
      <c r="F55" s="304">
        <v>1.972061679245944E-3</v>
      </c>
      <c r="G55" s="304">
        <v>2.6469514485697029E-3</v>
      </c>
      <c r="H55" s="304">
        <v>3.5285403409370968E-3</v>
      </c>
      <c r="I55" s="304"/>
      <c r="J55" s="304">
        <v>0.13211843245374866</v>
      </c>
      <c r="K55" s="304">
        <v>0.18849472323449798</v>
      </c>
      <c r="L55" s="304">
        <v>0.2950481212779697</v>
      </c>
      <c r="M55" s="304"/>
      <c r="N55" s="304">
        <v>0.47518526754672052</v>
      </c>
      <c r="O55" s="304">
        <v>0.57778519821279362</v>
      </c>
      <c r="P55" s="304">
        <v>0.70983939944960772</v>
      </c>
      <c r="Q55" s="304"/>
      <c r="R55" s="304">
        <v>0.30328486748044575</v>
      </c>
      <c r="S55" s="304">
        <v>0.36090327824186458</v>
      </c>
      <c r="T55" s="304">
        <v>0.43928817005198117</v>
      </c>
      <c r="U55" s="304"/>
      <c r="V55" s="304">
        <v>0.79125410890676351</v>
      </c>
      <c r="W55" s="304">
        <v>0.90872579160691092</v>
      </c>
      <c r="X55" s="304">
        <v>1.1674824280728635</v>
      </c>
      <c r="Y55" s="304"/>
      <c r="Z55" s="304">
        <v>6.5527351025248093</v>
      </c>
      <c r="AA55" s="304">
        <v>6.5573189738481847</v>
      </c>
      <c r="AB55" s="304">
        <v>6.0614935557889167</v>
      </c>
      <c r="AC55" s="304"/>
      <c r="AD55" s="304">
        <v>5.8154763852931231</v>
      </c>
      <c r="AE55" s="304">
        <v>6.399365382526442</v>
      </c>
      <c r="AF55" s="304">
        <v>6.3186793058745128</v>
      </c>
      <c r="AG55" s="304"/>
      <c r="AH55" s="304">
        <v>2.6608357504525659</v>
      </c>
      <c r="AI55" s="304">
        <v>2.3185523387409019</v>
      </c>
      <c r="AJ55" s="304">
        <v>1.8268922918823034</v>
      </c>
      <c r="AK55" s="304"/>
      <c r="AL55" s="304">
        <v>1.7777694645377782</v>
      </c>
      <c r="AM55" s="304">
        <v>0.92123289823952026</v>
      </c>
      <c r="AN55" s="304">
        <v>0.19170166321235071</v>
      </c>
    </row>
    <row r="56" spans="1:40" x14ac:dyDescent="0.25">
      <c r="A56" s="13" t="str">
        <f t="shared" si="67"/>
        <v>Caring, leisure and other service occupations</v>
      </c>
      <c r="B56" s="304">
        <f t="shared" si="69"/>
        <v>8.397592561711327E-2</v>
      </c>
      <c r="C56" s="304">
        <f t="shared" si="70"/>
        <v>7.7033632130407148E-2</v>
      </c>
      <c r="D56" s="304">
        <f t="shared" si="71"/>
        <v>8.3167700186319193E-2</v>
      </c>
      <c r="E56" s="304"/>
      <c r="F56" s="304">
        <v>3.5891556322976204E-5</v>
      </c>
      <c r="G56" s="304">
        <v>4.401241698951985E-5</v>
      </c>
      <c r="H56" s="304">
        <v>9.6969322106474129E-5</v>
      </c>
      <c r="I56" s="304"/>
      <c r="J56" s="304">
        <v>4.9399379877649811E-3</v>
      </c>
      <c r="K56" s="304">
        <v>5.6867047421764426E-3</v>
      </c>
      <c r="L56" s="304">
        <v>7.7858564525092062E-3</v>
      </c>
      <c r="M56" s="304"/>
      <c r="N56" s="304">
        <v>5.6608750314588487E-3</v>
      </c>
      <c r="O56" s="304">
        <v>5.3289163112820639E-3</v>
      </c>
      <c r="P56" s="304">
        <v>6.1418478088521994E-3</v>
      </c>
      <c r="Q56" s="304"/>
      <c r="R56" s="304">
        <v>1.1298062093172423E-3</v>
      </c>
      <c r="S56" s="304">
        <v>1.0903649537123226E-3</v>
      </c>
      <c r="T56" s="304">
        <v>1.3069543986466722E-3</v>
      </c>
      <c r="U56" s="304"/>
      <c r="V56" s="304">
        <v>2.4408638669893594E-3</v>
      </c>
      <c r="W56" s="304">
        <v>2.3904200723703557E-3</v>
      </c>
      <c r="X56" s="304">
        <v>2.6603216577736227E-3</v>
      </c>
      <c r="Y56" s="304"/>
      <c r="Z56" s="304">
        <v>2.9864573476826615E-2</v>
      </c>
      <c r="AA56" s="304">
        <v>3.2266270398715179E-2</v>
      </c>
      <c r="AB56" s="304">
        <v>3.9651948123521998E-2</v>
      </c>
      <c r="AC56" s="304"/>
      <c r="AD56" s="304">
        <v>9.2831198984882832E-3</v>
      </c>
      <c r="AE56" s="304">
        <v>8.5553854086967245E-3</v>
      </c>
      <c r="AF56" s="304">
        <v>9.6903620072613678E-3</v>
      </c>
      <c r="AG56" s="304"/>
      <c r="AH56" s="304">
        <v>1.5774814031947835E-2</v>
      </c>
      <c r="AI56" s="304">
        <v>1.2416425050436825E-2</v>
      </c>
      <c r="AJ56" s="304">
        <v>1.0722702638638898E-2</v>
      </c>
      <c r="AK56" s="304"/>
      <c r="AL56" s="304">
        <v>1.4846043557997124E-2</v>
      </c>
      <c r="AM56" s="304">
        <v>9.2551327760277101E-3</v>
      </c>
      <c r="AN56" s="304">
        <v>5.1107377770087722E-3</v>
      </c>
    </row>
    <row r="57" spans="1:40" x14ac:dyDescent="0.25">
      <c r="A57" s="13" t="str">
        <f t="shared" si="67"/>
        <v>Sales and customer service occupations</v>
      </c>
      <c r="B57" s="304">
        <f t="shared" si="69"/>
        <v>0.69772238280973387</v>
      </c>
      <c r="C57" s="304">
        <f t="shared" si="70"/>
        <v>0.7160234621952124</v>
      </c>
      <c r="D57" s="304">
        <f t="shared" si="71"/>
        <v>0.7352049914257861</v>
      </c>
      <c r="E57" s="304"/>
      <c r="F57" s="304">
        <v>1.267361114735059E-3</v>
      </c>
      <c r="G57" s="304">
        <v>1.7539487863339487E-3</v>
      </c>
      <c r="H57" s="304">
        <v>3.5310455061040376E-3</v>
      </c>
      <c r="I57" s="304"/>
      <c r="J57" s="304">
        <v>3.92170355558124E-2</v>
      </c>
      <c r="K57" s="304">
        <v>5.0874007708363637E-2</v>
      </c>
      <c r="L57" s="304">
        <v>7.3574635825756129E-2</v>
      </c>
      <c r="M57" s="304"/>
      <c r="N57" s="304">
        <v>0.11113209495031902</v>
      </c>
      <c r="O57" s="304">
        <v>0.12462204034423718</v>
      </c>
      <c r="P57" s="304">
        <v>0.14482814080496062</v>
      </c>
      <c r="Q57" s="304"/>
      <c r="R57" s="304">
        <v>3.1967609512555888E-2</v>
      </c>
      <c r="S57" s="304">
        <v>3.9124247056766918E-2</v>
      </c>
      <c r="T57" s="304">
        <v>4.7120580735659785E-2</v>
      </c>
      <c r="U57" s="304"/>
      <c r="V57" s="304">
        <v>4.0492470729689575E-2</v>
      </c>
      <c r="W57" s="304">
        <v>4.5352051624248498E-2</v>
      </c>
      <c r="X57" s="304">
        <v>5.1725011512674023E-2</v>
      </c>
      <c r="Y57" s="304"/>
      <c r="Z57" s="304">
        <v>0.24956594866440873</v>
      </c>
      <c r="AA57" s="304">
        <v>0.26931277844770579</v>
      </c>
      <c r="AB57" s="304">
        <v>0.29911996570463434</v>
      </c>
      <c r="AC57" s="304"/>
      <c r="AD57" s="304">
        <v>4.3403412798944038E-2</v>
      </c>
      <c r="AE57" s="304">
        <v>3.950449367173401E-2</v>
      </c>
      <c r="AF57" s="304">
        <v>2.1648665679023012E-2</v>
      </c>
      <c r="AG57" s="304"/>
      <c r="AH57" s="304">
        <v>7.1907691103894916E-2</v>
      </c>
      <c r="AI57" s="304">
        <v>6.1856457352908151E-2</v>
      </c>
      <c r="AJ57" s="304">
        <v>2.9124083323985767E-2</v>
      </c>
      <c r="AK57" s="304"/>
      <c r="AL57" s="304">
        <v>0.10876875837937418</v>
      </c>
      <c r="AM57" s="304">
        <v>8.3623437202914194E-2</v>
      </c>
      <c r="AN57" s="304">
        <v>6.4532862332988397E-2</v>
      </c>
    </row>
    <row r="58" spans="1:40" x14ac:dyDescent="0.25">
      <c r="A58" s="13" t="str">
        <f t="shared" si="67"/>
        <v>Process, plant and machine operatives</v>
      </c>
      <c r="B58" s="304">
        <f t="shared" si="69"/>
        <v>2.7562178440691261</v>
      </c>
      <c r="C58" s="304">
        <f t="shared" si="70"/>
        <v>2.9228111263503123</v>
      </c>
      <c r="D58" s="304">
        <f t="shared" si="71"/>
        <v>3.0784535432522997</v>
      </c>
      <c r="E58" s="304"/>
      <c r="F58" s="304">
        <v>5.6555144353839151E-3</v>
      </c>
      <c r="G58" s="304">
        <v>7.9281567658935626E-3</v>
      </c>
      <c r="H58" s="304">
        <v>1.3162751298684204E-2</v>
      </c>
      <c r="I58" s="304"/>
      <c r="J58" s="304">
        <v>2.7759494788050443E-2</v>
      </c>
      <c r="K58" s="304">
        <v>4.5470516360058992E-2</v>
      </c>
      <c r="L58" s="304">
        <v>8.8817780139575281E-2</v>
      </c>
      <c r="M58" s="304"/>
      <c r="N58" s="304">
        <v>4.6561218239389822E-2</v>
      </c>
      <c r="O58" s="304">
        <v>6.5017685395039854E-2</v>
      </c>
      <c r="P58" s="304">
        <v>0.10765503339717901</v>
      </c>
      <c r="Q58" s="304"/>
      <c r="R58" s="304">
        <v>4.4189391663275526E-2</v>
      </c>
      <c r="S58" s="304">
        <v>6.2016892674783525E-2</v>
      </c>
      <c r="T58" s="304">
        <v>9.8727041303694335E-2</v>
      </c>
      <c r="U58" s="304"/>
      <c r="V58" s="304">
        <v>0.10682450271219628</v>
      </c>
      <c r="W58" s="304">
        <v>0.12693950154860498</v>
      </c>
      <c r="X58" s="304">
        <v>0.16001450244352286</v>
      </c>
      <c r="Y58" s="304"/>
      <c r="Z58" s="304">
        <v>0.69139778384127271</v>
      </c>
      <c r="AA58" s="304">
        <v>0.82094506449679561</v>
      </c>
      <c r="AB58" s="304">
        <v>1.0170145188887756</v>
      </c>
      <c r="AC58" s="304"/>
      <c r="AD58" s="304">
        <v>0.98698544382220033</v>
      </c>
      <c r="AE58" s="304">
        <v>1.1554131209357412</v>
      </c>
      <c r="AF58" s="304">
        <v>1.2217125747072906</v>
      </c>
      <c r="AG58" s="304"/>
      <c r="AH58" s="304">
        <v>0.64173272853297192</v>
      </c>
      <c r="AI58" s="304">
        <v>0.54134178743121597</v>
      </c>
      <c r="AJ58" s="304">
        <v>0.34114523311231243</v>
      </c>
      <c r="AK58" s="304"/>
      <c r="AL58" s="304">
        <v>0.2051117660343848</v>
      </c>
      <c r="AM58" s="304">
        <v>9.773840074217871E-2</v>
      </c>
      <c r="AN58" s="304">
        <v>3.0204107961265162E-2</v>
      </c>
    </row>
    <row r="59" spans="1:40" x14ac:dyDescent="0.25">
      <c r="A59" s="13" t="str">
        <f t="shared" si="67"/>
        <v>Elementary occupations</v>
      </c>
      <c r="B59" s="304">
        <f t="shared" si="69"/>
        <v>2.2946131750936782</v>
      </c>
      <c r="C59" s="304">
        <f t="shared" si="70"/>
        <v>2.466111411740596</v>
      </c>
      <c r="D59" s="304">
        <f t="shared" si="71"/>
        <v>2.8290823847136077</v>
      </c>
      <c r="E59" s="304"/>
      <c r="F59" s="304">
        <v>1.9548733651318699E-4</v>
      </c>
      <c r="G59" s="304">
        <v>2.2446985173822285E-4</v>
      </c>
      <c r="H59" s="304">
        <v>4.1531236706641631E-4</v>
      </c>
      <c r="I59" s="304"/>
      <c r="J59" s="304">
        <v>1.8723211868941193E-2</v>
      </c>
      <c r="K59" s="304">
        <v>3.0901459436590534E-2</v>
      </c>
      <c r="L59" s="304">
        <v>5.9380822974902089E-2</v>
      </c>
      <c r="M59" s="304"/>
      <c r="N59" s="304">
        <v>3.6981211088879133E-2</v>
      </c>
      <c r="O59" s="304">
        <v>5.3224736312717569E-2</v>
      </c>
      <c r="P59" s="304">
        <v>6.8121659164480389E-2</v>
      </c>
      <c r="Q59" s="304"/>
      <c r="R59" s="304">
        <v>1.1210953312637903E-2</v>
      </c>
      <c r="S59" s="304">
        <v>1.2814907136500008E-2</v>
      </c>
      <c r="T59" s="304">
        <v>1.4292742321387298E-2</v>
      </c>
      <c r="U59" s="304"/>
      <c r="V59" s="304">
        <v>7.0536706746780559E-2</v>
      </c>
      <c r="W59" s="304">
        <v>0.10101955564718254</v>
      </c>
      <c r="X59" s="304">
        <v>0.13525360998990782</v>
      </c>
      <c r="Y59" s="304"/>
      <c r="Z59" s="304">
        <v>0.56419766237762603</v>
      </c>
      <c r="AA59" s="304">
        <v>0.74361501620110881</v>
      </c>
      <c r="AB59" s="304">
        <v>1.0890302342679823</v>
      </c>
      <c r="AC59" s="304"/>
      <c r="AD59" s="304">
        <v>0.68779535627643462</v>
      </c>
      <c r="AE59" s="304">
        <v>0.83958489914050438</v>
      </c>
      <c r="AF59" s="304">
        <v>1.0103201515456721</v>
      </c>
      <c r="AG59" s="304"/>
      <c r="AH59" s="304">
        <v>0.58239790830687044</v>
      </c>
      <c r="AI59" s="304">
        <v>0.55497107180047645</v>
      </c>
      <c r="AJ59" s="304">
        <v>0.42067262165150954</v>
      </c>
      <c r="AK59" s="304"/>
      <c r="AL59" s="304">
        <v>0.32257467777899484</v>
      </c>
      <c r="AM59" s="304">
        <v>0.12975529621377752</v>
      </c>
      <c r="AN59" s="304">
        <v>3.1595230430699589E-2</v>
      </c>
    </row>
    <row r="60" spans="1:40" x14ac:dyDescent="0.25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ht="13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5">
      <c r="A62" s="13" t="str">
        <f t="shared" ref="A62:A71" si="72">A8</f>
        <v>All occupations</v>
      </c>
      <c r="B62" s="305">
        <f>SUM(B63:B71)</f>
        <v>144.72400000000007</v>
      </c>
      <c r="C62" s="305">
        <f>SUM(C63:C71)</f>
        <v>150.00999999999996</v>
      </c>
      <c r="D62" s="305">
        <f>SUM(D63:D71)</f>
        <v>155.95599999999988</v>
      </c>
      <c r="E62" s="304"/>
      <c r="F62" s="305">
        <f>SUM(F63:F71)</f>
        <v>0.43358437262113558</v>
      </c>
      <c r="G62" s="305">
        <f>SUM(G63:G71)</f>
        <v>0.64032759765618086</v>
      </c>
      <c r="H62" s="305">
        <f>SUM(H63:H71)</f>
        <v>1.221218239010945</v>
      </c>
      <c r="I62" s="304"/>
      <c r="J62" s="305">
        <f>SUM(J63:J71)</f>
        <v>5.199867890952488</v>
      </c>
      <c r="K62" s="305">
        <f>SUM(K63:K71)</f>
        <v>7.3882621396555557</v>
      </c>
      <c r="L62" s="305">
        <f>SUM(L63:L71)</f>
        <v>13.694227498965668</v>
      </c>
      <c r="M62" s="304"/>
      <c r="N62" s="305">
        <f>SUM(N63:N71)</f>
        <v>18.355295597942714</v>
      </c>
      <c r="O62" s="305">
        <f>SUM(O63:O71)</f>
        <v>21.309379279544228</v>
      </c>
      <c r="P62" s="305">
        <f>SUM(P63:P71)</f>
        <v>28.55052326877032</v>
      </c>
      <c r="Q62" s="304"/>
      <c r="R62" s="305">
        <f>SUM(R63:R71)</f>
        <v>5.4638510253587436</v>
      </c>
      <c r="S62" s="305">
        <f>SUM(S63:S71)</f>
        <v>6.1620895095866004</v>
      </c>
      <c r="T62" s="305">
        <f>SUM(T63:T71)</f>
        <v>8.3008347578328383</v>
      </c>
      <c r="U62" s="304"/>
      <c r="V62" s="305">
        <f>SUM(V63:V71)</f>
        <v>6.5100204982302898</v>
      </c>
      <c r="W62" s="305">
        <f>SUM(W63:W71)</f>
        <v>7.2257808369024454</v>
      </c>
      <c r="X62" s="305">
        <f>SUM(X63:X71)</f>
        <v>9.2123820452425029</v>
      </c>
      <c r="Y62" s="304"/>
      <c r="Z62" s="305">
        <f>SUM(Z63:Z71)</f>
        <v>32.679894061116975</v>
      </c>
      <c r="AA62" s="305">
        <f>SUM(AA63:AA71)</f>
        <v>35.369590242671144</v>
      </c>
      <c r="AB62" s="305">
        <f>SUM(AB63:AB71)</f>
        <v>38.213182439458926</v>
      </c>
      <c r="AC62" s="304"/>
      <c r="AD62" s="305">
        <f>SUM(AD63:AD71)</f>
        <v>36.624070193482758</v>
      </c>
      <c r="AE62" s="305">
        <f>SUM(AE63:AE71)</f>
        <v>40.337471472556956</v>
      </c>
      <c r="AF62" s="305">
        <f>SUM(AF63:AF71)</f>
        <v>37.736038291997161</v>
      </c>
      <c r="AG62" s="304"/>
      <c r="AH62" s="305">
        <f>SUM(AH63:AH71)</f>
        <v>25.053922388613827</v>
      </c>
      <c r="AI62" s="305">
        <f>SUM(AI63:AI71)</f>
        <v>22.338689818872826</v>
      </c>
      <c r="AJ62" s="305">
        <f>SUM(AJ63:AJ71)</f>
        <v>13.570962075492101</v>
      </c>
      <c r="AK62" s="304"/>
      <c r="AL62" s="305">
        <f>SUM(AL63:AL71)</f>
        <v>14.403493971681147</v>
      </c>
      <c r="AM62" s="305">
        <f>SUM(AM63:AM71)</f>
        <v>9.2384091025540318</v>
      </c>
      <c r="AN62" s="305">
        <f>SUM(AN63:AN71)</f>
        <v>5.4566313832294062</v>
      </c>
    </row>
    <row r="63" spans="1:40" x14ac:dyDescent="0.25">
      <c r="A63" s="13" t="str">
        <f t="shared" si="72"/>
        <v>Managers, directors and senior officials</v>
      </c>
      <c r="B63" s="304">
        <f>SUM(F63,J63,N63,R63,V63,Z63,AD63,AH63,AL63)</f>
        <v>19.60291365785061</v>
      </c>
      <c r="C63" s="304">
        <f t="shared" ref="C63:C71" si="73">SUM(G63,K63,O63,S63,W63,AA63,AE63,AI63,AM63)</f>
        <v>18.906490556185492</v>
      </c>
      <c r="D63" s="304">
        <f t="shared" ref="D63:D71" si="74">SUM(H63,L63,P63,T63,X63,AB63,AF63,AJ63,AN63)</f>
        <v>21.626485527941011</v>
      </c>
      <c r="E63" s="304"/>
      <c r="F63" s="304">
        <v>6.967447574993936E-2</v>
      </c>
      <c r="G63" s="304">
        <v>9.6846830704234985E-2</v>
      </c>
      <c r="H63" s="304">
        <v>0.19081612501860509</v>
      </c>
      <c r="I63" s="304"/>
      <c r="J63" s="304">
        <v>1.1363844274413262</v>
      </c>
      <c r="K63" s="304">
        <v>1.4532881153466073</v>
      </c>
      <c r="L63" s="304">
        <v>2.7079573766201106</v>
      </c>
      <c r="M63" s="304"/>
      <c r="N63" s="304">
        <v>4.2231877127501303</v>
      </c>
      <c r="O63" s="304">
        <v>4.3890317894700361</v>
      </c>
      <c r="P63" s="304">
        <v>5.7068281990917473</v>
      </c>
      <c r="Q63" s="304"/>
      <c r="R63" s="304">
        <v>0.82580893915730003</v>
      </c>
      <c r="S63" s="304">
        <v>0.7944400926108629</v>
      </c>
      <c r="T63" s="304">
        <v>1.0439809179852437</v>
      </c>
      <c r="U63" s="304"/>
      <c r="V63" s="304">
        <v>1.123448009017725</v>
      </c>
      <c r="W63" s="304">
        <v>1.0773720083660958</v>
      </c>
      <c r="X63" s="304">
        <v>1.2643600912032233</v>
      </c>
      <c r="Y63" s="304"/>
      <c r="Z63" s="304">
        <v>3.9832477787750449</v>
      </c>
      <c r="AA63" s="304">
        <v>3.9057183596339997</v>
      </c>
      <c r="AB63" s="304">
        <v>4.5468418828942267</v>
      </c>
      <c r="AC63" s="304"/>
      <c r="AD63" s="304">
        <v>4.23468863770273</v>
      </c>
      <c r="AE63" s="304">
        <v>4.1085365131088221</v>
      </c>
      <c r="AF63" s="304">
        <v>3.920418828690178</v>
      </c>
      <c r="AG63" s="304"/>
      <c r="AH63" s="304">
        <v>3.2375635823032747</v>
      </c>
      <c r="AI63" s="304">
        <v>2.6148874440187995</v>
      </c>
      <c r="AJ63" s="304">
        <v>1.8892132581777816</v>
      </c>
      <c r="AK63" s="304"/>
      <c r="AL63" s="304">
        <v>0.76891009495313756</v>
      </c>
      <c r="AM63" s="304">
        <v>0.46636940292603418</v>
      </c>
      <c r="AN63" s="304">
        <v>0.35606884825989082</v>
      </c>
    </row>
    <row r="64" spans="1:40" x14ac:dyDescent="0.25">
      <c r="A64" s="13" t="str">
        <f t="shared" si="72"/>
        <v>Professional occupations</v>
      </c>
      <c r="B64" s="304">
        <f t="shared" ref="B64:B71" si="75">SUM(F64,J64,N64,R64,V64,Z64,AD64,AH64,AL64)</f>
        <v>12.823305753094225</v>
      </c>
      <c r="C64" s="304">
        <f t="shared" si="73"/>
        <v>14.297103546028989</v>
      </c>
      <c r="D64" s="304">
        <f t="shared" si="74"/>
        <v>16.671817025140236</v>
      </c>
      <c r="E64" s="304"/>
      <c r="F64" s="304">
        <v>0.17758321549450157</v>
      </c>
      <c r="G64" s="304">
        <v>0.26843786829190103</v>
      </c>
      <c r="H64" s="304">
        <v>0.49979333903312662</v>
      </c>
      <c r="I64" s="304"/>
      <c r="J64" s="304">
        <v>1.3850733294033741</v>
      </c>
      <c r="K64" s="304">
        <v>1.9866227249754969</v>
      </c>
      <c r="L64" s="304">
        <v>3.4996381166299191</v>
      </c>
      <c r="M64" s="304"/>
      <c r="N64" s="304">
        <v>3.1158949226245563</v>
      </c>
      <c r="O64" s="304">
        <v>3.650404498040666</v>
      </c>
      <c r="P64" s="304">
        <v>4.5895236002564577</v>
      </c>
      <c r="Q64" s="304"/>
      <c r="R64" s="304">
        <v>0.50929268386965898</v>
      </c>
      <c r="S64" s="304">
        <v>0.50091129705777326</v>
      </c>
      <c r="T64" s="304">
        <v>0.53175309700688</v>
      </c>
      <c r="U64" s="304"/>
      <c r="V64" s="304">
        <v>0.68315205543876967</v>
      </c>
      <c r="W64" s="304">
        <v>0.76168692002084037</v>
      </c>
      <c r="X64" s="304">
        <v>0.89511403538364609</v>
      </c>
      <c r="Y64" s="304"/>
      <c r="Z64" s="304">
        <v>2.804577440472535</v>
      </c>
      <c r="AA64" s="304">
        <v>3.1959367856485104</v>
      </c>
      <c r="AB64" s="304">
        <v>3.6365122866866195</v>
      </c>
      <c r="AC64" s="304"/>
      <c r="AD64" s="304">
        <v>2.2420673748945821</v>
      </c>
      <c r="AE64" s="304">
        <v>2.3463039544362476</v>
      </c>
      <c r="AF64" s="304">
        <v>1.9588990773292867</v>
      </c>
      <c r="AG64" s="304"/>
      <c r="AH64" s="304">
        <v>1.3750948562365188</v>
      </c>
      <c r="AI64" s="304">
        <v>1.2419195046231211</v>
      </c>
      <c r="AJ64" s="304">
        <v>0.74300676883565031</v>
      </c>
      <c r="AK64" s="304"/>
      <c r="AL64" s="304">
        <v>0.53056987465972916</v>
      </c>
      <c r="AM64" s="304">
        <v>0.34487999293443239</v>
      </c>
      <c r="AN64" s="304">
        <v>0.31757670397865168</v>
      </c>
    </row>
    <row r="65" spans="1:40" x14ac:dyDescent="0.25">
      <c r="A65" s="13" t="str">
        <f t="shared" si="72"/>
        <v>Associate professional occupations</v>
      </c>
      <c r="B65" s="304">
        <f t="shared" si="75"/>
        <v>10.999566940709785</v>
      </c>
      <c r="C65" s="304">
        <f t="shared" si="73"/>
        <v>11.237952916584966</v>
      </c>
      <c r="D65" s="304">
        <f t="shared" si="74"/>
        <v>12.450930209662506</v>
      </c>
      <c r="E65" s="304"/>
      <c r="F65" s="304">
        <v>5.8011259225309753E-2</v>
      </c>
      <c r="G65" s="304">
        <v>7.6470444242140528E-2</v>
      </c>
      <c r="H65" s="304">
        <v>0.13864673989773421</v>
      </c>
      <c r="I65" s="304"/>
      <c r="J65" s="304">
        <v>0.559008379297253</v>
      </c>
      <c r="K65" s="304">
        <v>0.74884859981912288</v>
      </c>
      <c r="L65" s="304">
        <v>1.2601073910906275</v>
      </c>
      <c r="M65" s="304"/>
      <c r="N65" s="304">
        <v>2.1030857153347728</v>
      </c>
      <c r="O65" s="304">
        <v>2.2634393445604695</v>
      </c>
      <c r="P65" s="304">
        <v>2.8457003711351323</v>
      </c>
      <c r="Q65" s="304"/>
      <c r="R65" s="304">
        <v>0.50212998858468894</v>
      </c>
      <c r="S65" s="304">
        <v>0.54378979984868092</v>
      </c>
      <c r="T65" s="304">
        <v>0.7367115517024998</v>
      </c>
      <c r="U65" s="304"/>
      <c r="V65" s="304">
        <v>0.62662518071062379</v>
      </c>
      <c r="W65" s="304">
        <v>0.6639493928897775</v>
      </c>
      <c r="X65" s="304">
        <v>0.82226240827792474</v>
      </c>
      <c r="Y65" s="304"/>
      <c r="Z65" s="304">
        <v>2.6460785854790601</v>
      </c>
      <c r="AA65" s="304">
        <v>2.7938432004543259</v>
      </c>
      <c r="AB65" s="304">
        <v>3.1319161517902763</v>
      </c>
      <c r="AC65" s="304"/>
      <c r="AD65" s="304">
        <v>2.4749573512430847</v>
      </c>
      <c r="AE65" s="304">
        <v>2.6640769481630451</v>
      </c>
      <c r="AF65" s="304">
        <v>2.6103145194415855</v>
      </c>
      <c r="AG65" s="304"/>
      <c r="AH65" s="304">
        <v>1.4460526391084048</v>
      </c>
      <c r="AI65" s="304">
        <v>1.1458077761632777</v>
      </c>
      <c r="AJ65" s="304">
        <v>0.63191382981526989</v>
      </c>
      <c r="AK65" s="304"/>
      <c r="AL65" s="304">
        <v>0.58361784172658782</v>
      </c>
      <c r="AM65" s="304">
        <v>0.33772741044412657</v>
      </c>
      <c r="AN65" s="304">
        <v>0.27335724651145588</v>
      </c>
    </row>
    <row r="66" spans="1:40" x14ac:dyDescent="0.25">
      <c r="A66" s="13" t="str">
        <f t="shared" si="72"/>
        <v>Administrative and secretarial occupations</v>
      </c>
      <c r="B66" s="304">
        <f t="shared" si="75"/>
        <v>14.755112755683989</v>
      </c>
      <c r="C66" s="304">
        <f t="shared" si="73"/>
        <v>15.869777409623397</v>
      </c>
      <c r="D66" s="304">
        <f t="shared" si="74"/>
        <v>16.962350177448066</v>
      </c>
      <c r="E66" s="304"/>
      <c r="F66" s="304">
        <v>3.0202417812953825E-2</v>
      </c>
      <c r="G66" s="304">
        <v>4.6179261633334266E-2</v>
      </c>
      <c r="H66" s="304">
        <v>8.5407034423091402E-2</v>
      </c>
      <c r="I66" s="304"/>
      <c r="J66" s="304">
        <v>0.58753088288610056</v>
      </c>
      <c r="K66" s="304">
        <v>0.87081090095969349</v>
      </c>
      <c r="L66" s="304">
        <v>1.5713706741439792</v>
      </c>
      <c r="M66" s="304"/>
      <c r="N66" s="304">
        <v>2.2009045261954823</v>
      </c>
      <c r="O66" s="304">
        <v>2.7440337974559683</v>
      </c>
      <c r="P66" s="304">
        <v>3.8734219466765514</v>
      </c>
      <c r="Q66" s="304"/>
      <c r="R66" s="304">
        <v>0.76017322473773308</v>
      </c>
      <c r="S66" s="304">
        <v>0.88065886716738773</v>
      </c>
      <c r="T66" s="304">
        <v>1.2046914934868356</v>
      </c>
      <c r="U66" s="304"/>
      <c r="V66" s="304">
        <v>0.77295104016512806</v>
      </c>
      <c r="W66" s="304">
        <v>0.84833084902435341</v>
      </c>
      <c r="X66" s="304">
        <v>1.0881997219798711</v>
      </c>
      <c r="Y66" s="304"/>
      <c r="Z66" s="304">
        <v>3.5070877593674221</v>
      </c>
      <c r="AA66" s="304">
        <v>3.8752813477992016</v>
      </c>
      <c r="AB66" s="304">
        <v>4.0494040194985894</v>
      </c>
      <c r="AC66" s="304"/>
      <c r="AD66" s="304">
        <v>4.4013286600036796</v>
      </c>
      <c r="AE66" s="304">
        <v>4.958044652285766</v>
      </c>
      <c r="AF66" s="304">
        <v>4.4840792792294595</v>
      </c>
      <c r="AG66" s="304"/>
      <c r="AH66" s="304">
        <v>1.864175449610441</v>
      </c>
      <c r="AI66" s="304">
        <v>1.2697890648129655</v>
      </c>
      <c r="AJ66" s="304">
        <v>0.40991015097276173</v>
      </c>
      <c r="AK66" s="304"/>
      <c r="AL66" s="304">
        <v>0.63075879490504783</v>
      </c>
      <c r="AM66" s="304">
        <v>0.37664866848472656</v>
      </c>
      <c r="AN66" s="304">
        <v>0.19586585703692591</v>
      </c>
    </row>
    <row r="67" spans="1:40" x14ac:dyDescent="0.25">
      <c r="A67" s="13" t="str">
        <f t="shared" si="72"/>
        <v>Skilled trades occupations</v>
      </c>
      <c r="B67" s="304">
        <f t="shared" si="75"/>
        <v>11.799010285639234</v>
      </c>
      <c r="C67" s="304">
        <f t="shared" si="73"/>
        <v>11.954632909335976</v>
      </c>
      <c r="D67" s="304">
        <f t="shared" si="74"/>
        <v>11.623603909737966</v>
      </c>
      <c r="E67" s="304"/>
      <c r="F67" s="304">
        <v>5.1821118375434162E-3</v>
      </c>
      <c r="G67" s="304">
        <v>7.5425891972228567E-3</v>
      </c>
      <c r="H67" s="304">
        <v>1.6737593517261232E-2</v>
      </c>
      <c r="I67" s="304"/>
      <c r="J67" s="304">
        <v>0.16280570892669466</v>
      </c>
      <c r="K67" s="304">
        <v>0.24816304437383405</v>
      </c>
      <c r="L67" s="304">
        <v>0.47544581814527931</v>
      </c>
      <c r="M67" s="304"/>
      <c r="N67" s="304">
        <v>0.55636111536206989</v>
      </c>
      <c r="O67" s="304">
        <v>0.70025917446074937</v>
      </c>
      <c r="P67" s="304">
        <v>0.94333320669190945</v>
      </c>
      <c r="Q67" s="304"/>
      <c r="R67" s="304">
        <v>0.2965714981230842</v>
      </c>
      <c r="S67" s="304">
        <v>0.32926389414701496</v>
      </c>
      <c r="T67" s="304">
        <v>0.41925292228779598</v>
      </c>
      <c r="U67" s="304"/>
      <c r="V67" s="304">
        <v>0.57970986796155821</v>
      </c>
      <c r="W67" s="304">
        <v>0.65897437892130328</v>
      </c>
      <c r="X67" s="304">
        <v>0.82067146660174373</v>
      </c>
      <c r="Y67" s="304"/>
      <c r="Z67" s="304">
        <v>3.9764369762295675</v>
      </c>
      <c r="AA67" s="304">
        <v>4.2925838393634255</v>
      </c>
      <c r="AB67" s="304">
        <v>4.3991904473879844</v>
      </c>
      <c r="AC67" s="304"/>
      <c r="AD67" s="304">
        <v>2.9064080224069198</v>
      </c>
      <c r="AE67" s="304">
        <v>3.0902957643506022</v>
      </c>
      <c r="AF67" s="304">
        <v>2.9934603632443455</v>
      </c>
      <c r="AG67" s="304"/>
      <c r="AH67" s="304">
        <v>1.8709725850246206</v>
      </c>
      <c r="AI67" s="304">
        <v>1.7290689718549705</v>
      </c>
      <c r="AJ67" s="304">
        <v>1.0303697154501397</v>
      </c>
      <c r="AK67" s="304"/>
      <c r="AL67" s="304">
        <v>1.4445623997671744</v>
      </c>
      <c r="AM67" s="304">
        <v>0.89848125266685352</v>
      </c>
      <c r="AN67" s="304">
        <v>0.52514237641150474</v>
      </c>
    </row>
    <row r="68" spans="1:40" x14ac:dyDescent="0.25">
      <c r="A68" s="13" t="str">
        <f t="shared" si="72"/>
        <v>Caring, leisure and other service occupations</v>
      </c>
      <c r="B68" s="304">
        <f t="shared" si="75"/>
        <v>3.8409367728645725</v>
      </c>
      <c r="C68" s="304">
        <f t="shared" si="73"/>
        <v>3.7127606865073277</v>
      </c>
      <c r="D68" s="304">
        <f t="shared" si="74"/>
        <v>4.1772518361539026</v>
      </c>
      <c r="E68" s="304"/>
      <c r="F68" s="304">
        <v>5.2514343399271352E-3</v>
      </c>
      <c r="G68" s="304">
        <v>8.3594218040464116E-3</v>
      </c>
      <c r="H68" s="304">
        <v>1.8282105631933276E-2</v>
      </c>
      <c r="I68" s="304"/>
      <c r="J68" s="304">
        <v>8.2032543186732379E-2</v>
      </c>
      <c r="K68" s="304">
        <v>0.11105244980159977</v>
      </c>
      <c r="L68" s="304">
        <v>0.21787186995109006</v>
      </c>
      <c r="M68" s="304"/>
      <c r="N68" s="304">
        <v>0.45599119157942342</v>
      </c>
      <c r="O68" s="304">
        <v>0.49594076810858456</v>
      </c>
      <c r="P68" s="304">
        <v>0.64557025693208114</v>
      </c>
      <c r="Q68" s="304"/>
      <c r="R68" s="304">
        <v>0.38200385454284014</v>
      </c>
      <c r="S68" s="304">
        <v>0.42800053466354471</v>
      </c>
      <c r="T68" s="304">
        <v>0.64172390590037909</v>
      </c>
      <c r="U68" s="304"/>
      <c r="V68" s="304">
        <v>0.3476023045948835</v>
      </c>
      <c r="W68" s="304">
        <v>0.35488667791784767</v>
      </c>
      <c r="X68" s="304">
        <v>0.49575374168881192</v>
      </c>
      <c r="Y68" s="304"/>
      <c r="Z68" s="304">
        <v>0.7475453214694705</v>
      </c>
      <c r="AA68" s="304">
        <v>0.75116278989710272</v>
      </c>
      <c r="AB68" s="304">
        <v>0.84094138362224091</v>
      </c>
      <c r="AC68" s="304"/>
      <c r="AD68" s="304">
        <v>0.92849275507156392</v>
      </c>
      <c r="AE68" s="304">
        <v>0.93180941444514798</v>
      </c>
      <c r="AF68" s="304">
        <v>0.90707899350297061</v>
      </c>
      <c r="AG68" s="304"/>
      <c r="AH68" s="304">
        <v>0.45878181052315314</v>
      </c>
      <c r="AI68" s="304">
        <v>0.4052267353339325</v>
      </c>
      <c r="AJ68" s="304">
        <v>0.26636752386606272</v>
      </c>
      <c r="AK68" s="304"/>
      <c r="AL68" s="304">
        <v>0.43323555755657811</v>
      </c>
      <c r="AM68" s="304">
        <v>0.22632189453552157</v>
      </c>
      <c r="AN68" s="304">
        <v>0.14366205505833271</v>
      </c>
    </row>
    <row r="69" spans="1:40" x14ac:dyDescent="0.25">
      <c r="A69" s="13" t="str">
        <f t="shared" si="72"/>
        <v>Sales and customer service occupations</v>
      </c>
      <c r="B69" s="304">
        <f t="shared" si="75"/>
        <v>26.617469007736624</v>
      </c>
      <c r="C69" s="304">
        <f t="shared" si="73"/>
        <v>25.940162931905697</v>
      </c>
      <c r="D69" s="304">
        <f t="shared" si="74"/>
        <v>25.180984193866461</v>
      </c>
      <c r="E69" s="304"/>
      <c r="F69" s="304">
        <v>2.5531968529848674E-2</v>
      </c>
      <c r="G69" s="304">
        <v>3.4578489963556953E-2</v>
      </c>
      <c r="H69" s="304">
        <v>5.4943442248896579E-2</v>
      </c>
      <c r="I69" s="304"/>
      <c r="J69" s="304">
        <v>0.63963845605764447</v>
      </c>
      <c r="K69" s="304">
        <v>0.94080857448672495</v>
      </c>
      <c r="L69" s="304">
        <v>1.8699378771414688</v>
      </c>
      <c r="M69" s="304"/>
      <c r="N69" s="304">
        <v>2.9939907794398946</v>
      </c>
      <c r="O69" s="304">
        <v>3.4279506612505557</v>
      </c>
      <c r="P69" s="304">
        <v>4.7664692300857041</v>
      </c>
      <c r="Q69" s="304"/>
      <c r="R69" s="304">
        <v>0.96675020295185166</v>
      </c>
      <c r="S69" s="304">
        <v>1.0196613680782622</v>
      </c>
      <c r="T69" s="304">
        <v>1.3559637919901157</v>
      </c>
      <c r="U69" s="304"/>
      <c r="V69" s="304">
        <v>0.77591788593260891</v>
      </c>
      <c r="W69" s="304">
        <v>0.74105936856189214</v>
      </c>
      <c r="X69" s="304">
        <v>0.90992228903972028</v>
      </c>
      <c r="Y69" s="304"/>
      <c r="Z69" s="304">
        <v>7.1328405476956211</v>
      </c>
      <c r="AA69" s="304">
        <v>7.5137289356594206</v>
      </c>
      <c r="AB69" s="304">
        <v>7.8670509308438934</v>
      </c>
      <c r="AC69" s="304"/>
      <c r="AD69" s="304">
        <v>7.0694438610540216</v>
      </c>
      <c r="AE69" s="304">
        <v>7.2675158977673897</v>
      </c>
      <c r="AF69" s="304">
        <v>6.0815378987365758</v>
      </c>
      <c r="AG69" s="304"/>
      <c r="AH69" s="304">
        <v>4.3848982042117033</v>
      </c>
      <c r="AI69" s="304">
        <v>3.5593501934543847</v>
      </c>
      <c r="AJ69" s="304">
        <v>1.5789228247476312</v>
      </c>
      <c r="AK69" s="304"/>
      <c r="AL69" s="304">
        <v>2.6284571018634306</v>
      </c>
      <c r="AM69" s="304">
        <v>1.4355094426835118</v>
      </c>
      <c r="AN69" s="304">
        <v>0.69623590903245103</v>
      </c>
    </row>
    <row r="70" spans="1:40" x14ac:dyDescent="0.25">
      <c r="A70" s="13" t="str">
        <f t="shared" si="72"/>
        <v>Process, plant and machine operatives</v>
      </c>
      <c r="B70" s="304">
        <f t="shared" si="75"/>
        <v>20.243733627236534</v>
      </c>
      <c r="C70" s="304">
        <f t="shared" si="73"/>
        <v>21.757185425433406</v>
      </c>
      <c r="D70" s="304">
        <f t="shared" si="74"/>
        <v>22.050174180085104</v>
      </c>
      <c r="E70" s="304"/>
      <c r="F70" s="304">
        <v>5.3851577221874336E-2</v>
      </c>
      <c r="G70" s="304">
        <v>9.0245360254978035E-2</v>
      </c>
      <c r="H70" s="304">
        <v>0.1965543934938167</v>
      </c>
      <c r="I70" s="304"/>
      <c r="J70" s="304">
        <v>0.19978801230093615</v>
      </c>
      <c r="K70" s="304">
        <v>0.32615231152357993</v>
      </c>
      <c r="L70" s="304">
        <v>0.62261793169660895</v>
      </c>
      <c r="M70" s="304"/>
      <c r="N70" s="304">
        <v>0.86465186875550959</v>
      </c>
      <c r="O70" s="304">
        <v>1.2388383400643046</v>
      </c>
      <c r="P70" s="304">
        <v>2.0249711336933438</v>
      </c>
      <c r="Q70" s="304"/>
      <c r="R70" s="304">
        <v>0.38641997020403052</v>
      </c>
      <c r="S70" s="304">
        <v>0.50680164038974251</v>
      </c>
      <c r="T70" s="304">
        <v>0.68109951611913955</v>
      </c>
      <c r="U70" s="304"/>
      <c r="V70" s="304">
        <v>0.65422536404109177</v>
      </c>
      <c r="W70" s="304">
        <v>0.81205981095679169</v>
      </c>
      <c r="X70" s="304">
        <v>1.1383713040601027</v>
      </c>
      <c r="Y70" s="304"/>
      <c r="Z70" s="304">
        <v>3.5389569283229925</v>
      </c>
      <c r="AA70" s="304">
        <v>4.3520969279558912</v>
      </c>
      <c r="AB70" s="304">
        <v>5.0969326381404496</v>
      </c>
      <c r="AC70" s="304"/>
      <c r="AD70" s="304">
        <v>6.0414869510037121</v>
      </c>
      <c r="AE70" s="304">
        <v>7.5498623340232749</v>
      </c>
      <c r="AF70" s="304">
        <v>7.9539474360773648</v>
      </c>
      <c r="AG70" s="304"/>
      <c r="AH70" s="304">
        <v>5.286060939253753</v>
      </c>
      <c r="AI70" s="304">
        <v>5.0997427614192148</v>
      </c>
      <c r="AJ70" s="304">
        <v>3.6565975253919691</v>
      </c>
      <c r="AK70" s="304"/>
      <c r="AL70" s="304">
        <v>3.2182920161326334</v>
      </c>
      <c r="AM70" s="304">
        <v>1.7813859388456277</v>
      </c>
      <c r="AN70" s="304">
        <v>0.67908230141230697</v>
      </c>
    </row>
    <row r="71" spans="1:40" x14ac:dyDescent="0.25">
      <c r="A71" s="13" t="str">
        <f t="shared" si="72"/>
        <v>Elementary occupations</v>
      </c>
      <c r="B71" s="304">
        <f t="shared" si="75"/>
        <v>24.041951199184506</v>
      </c>
      <c r="C71" s="304">
        <f t="shared" si="73"/>
        <v>26.33393361839472</v>
      </c>
      <c r="D71" s="304">
        <f t="shared" si="74"/>
        <v>25.212402939964619</v>
      </c>
      <c r="E71" s="304"/>
      <c r="F71" s="304">
        <v>8.2959124092374971E-3</v>
      </c>
      <c r="G71" s="304">
        <v>1.1667331564765696E-2</v>
      </c>
      <c r="H71" s="304">
        <v>2.0037465746479775E-2</v>
      </c>
      <c r="I71" s="304"/>
      <c r="J71" s="304">
        <v>0.44760615145242572</v>
      </c>
      <c r="K71" s="304">
        <v>0.70251541836889753</v>
      </c>
      <c r="L71" s="304">
        <v>1.4692804435465832</v>
      </c>
      <c r="M71" s="304"/>
      <c r="N71" s="304">
        <v>1.8412277659008738</v>
      </c>
      <c r="O71" s="304">
        <v>2.3994809061328968</v>
      </c>
      <c r="P71" s="304">
        <v>3.1547053242073888</v>
      </c>
      <c r="Q71" s="304"/>
      <c r="R71" s="304">
        <v>0.83470066318755543</v>
      </c>
      <c r="S71" s="304">
        <v>1.1585620156233323</v>
      </c>
      <c r="T71" s="304">
        <v>1.6856575613539482</v>
      </c>
      <c r="U71" s="304"/>
      <c r="V71" s="304">
        <v>0.94638879036790047</v>
      </c>
      <c r="W71" s="304">
        <v>1.307461430243543</v>
      </c>
      <c r="X71" s="304">
        <v>1.7777269870074597</v>
      </c>
      <c r="Y71" s="304"/>
      <c r="Z71" s="304">
        <v>4.3431227233052629</v>
      </c>
      <c r="AA71" s="304">
        <v>4.6892380562592617</v>
      </c>
      <c r="AB71" s="304">
        <v>4.6443926985946442</v>
      </c>
      <c r="AC71" s="304"/>
      <c r="AD71" s="304">
        <v>6.3251965801024648</v>
      </c>
      <c r="AE71" s="304">
        <v>7.4210259939766665</v>
      </c>
      <c r="AF71" s="304">
        <v>6.826301895745396</v>
      </c>
      <c r="AG71" s="304"/>
      <c r="AH71" s="304">
        <v>5.1303223223419607</v>
      </c>
      <c r="AI71" s="304">
        <v>5.2728973671921588</v>
      </c>
      <c r="AJ71" s="304">
        <v>3.3646604782348359</v>
      </c>
      <c r="AK71" s="304"/>
      <c r="AL71" s="304">
        <v>4.1650902901168267</v>
      </c>
      <c r="AM71" s="304">
        <v>3.3710850990331984</v>
      </c>
      <c r="AN71" s="304">
        <v>2.2696400855278864</v>
      </c>
    </row>
    <row r="72" spans="1:40" x14ac:dyDescent="0.25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ht="13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5">
      <c r="A74" s="13" t="str">
        <f t="shared" ref="A74:A83" si="76">A8</f>
        <v>All occupations</v>
      </c>
      <c r="B74" s="305">
        <f>SUM(B75:B83)</f>
        <v>111.41800000000001</v>
      </c>
      <c r="C74" s="305">
        <f>SUM(C75:C83)</f>
        <v>113.29000000000003</v>
      </c>
      <c r="D74" s="305">
        <f>SUM(D75:D83)</f>
        <v>117.91200000000001</v>
      </c>
      <c r="E74" s="304"/>
      <c r="F74" s="305">
        <f>SUM(F75:F83)</f>
        <v>1.6008032836529522</v>
      </c>
      <c r="G74" s="305">
        <f>SUM(G75:G83)</f>
        <v>2.0590487507199526</v>
      </c>
      <c r="H74" s="305">
        <f>SUM(H75:H83)</f>
        <v>2.9975004978351385</v>
      </c>
      <c r="I74" s="304"/>
      <c r="J74" s="305">
        <f>SUM(J75:J83)</f>
        <v>13.742415997153294</v>
      </c>
      <c r="K74" s="305">
        <f>SUM(K75:K83)</f>
        <v>17.32728959669214</v>
      </c>
      <c r="L74" s="305">
        <f>SUM(L75:L83)</f>
        <v>25.389871269067989</v>
      </c>
      <c r="M74" s="304"/>
      <c r="N74" s="305">
        <f>SUM(N75:N83)</f>
        <v>27.702113783735399</v>
      </c>
      <c r="O74" s="305">
        <f>SUM(O75:O83)</f>
        <v>28.245413094457025</v>
      </c>
      <c r="P74" s="305">
        <f>SUM(P75:P83)</f>
        <v>30.731687554636402</v>
      </c>
      <c r="Q74" s="304"/>
      <c r="R74" s="305">
        <f>SUM(R75:R83)</f>
        <v>5.8855318999796422</v>
      </c>
      <c r="S74" s="305">
        <f>SUM(S75:S83)</f>
        <v>6.1677667300370826</v>
      </c>
      <c r="T74" s="305">
        <f>SUM(T75:T83)</f>
        <v>7.1801802908887131</v>
      </c>
      <c r="U74" s="304"/>
      <c r="V74" s="305">
        <f>SUM(V75:V83)</f>
        <v>6.9807569838471268</v>
      </c>
      <c r="W74" s="305">
        <f>SUM(W75:W83)</f>
        <v>7.1146711240077831</v>
      </c>
      <c r="X74" s="305">
        <f>SUM(X75:X83)</f>
        <v>7.9781040929125684</v>
      </c>
      <c r="Y74" s="304"/>
      <c r="Z74" s="305">
        <f>SUM(Z75:Z83)</f>
        <v>17.624273648377109</v>
      </c>
      <c r="AA74" s="305">
        <f>SUM(AA75:AA83)</f>
        <v>17.109737755478896</v>
      </c>
      <c r="AB74" s="305">
        <f>SUM(AB75:AB83)</f>
        <v>15.967772174040823</v>
      </c>
      <c r="AC74" s="304"/>
      <c r="AD74" s="305">
        <f>SUM(AD75:AD83)</f>
        <v>18.414401265324436</v>
      </c>
      <c r="AE74" s="305">
        <f>SUM(AE75:AE83)</f>
        <v>18.917884771076842</v>
      </c>
      <c r="AF74" s="305">
        <f>SUM(AF75:AF83)</f>
        <v>16.331177016184387</v>
      </c>
      <c r="AG74" s="304"/>
      <c r="AH74" s="305">
        <f>SUM(AH75:AH83)</f>
        <v>12.754018573213557</v>
      </c>
      <c r="AI74" s="305">
        <f>SUM(AI75:AI83)</f>
        <v>11.442074137421024</v>
      </c>
      <c r="AJ74" s="305">
        <f>SUM(AJ75:AJ83)</f>
        <v>7.7910020241823794</v>
      </c>
      <c r="AK74" s="304"/>
      <c r="AL74" s="305">
        <f>SUM(AL75:AL83)</f>
        <v>6.713684564716468</v>
      </c>
      <c r="AM74" s="305">
        <f>SUM(AM75:AM83)</f>
        <v>4.906114040109264</v>
      </c>
      <c r="AN74" s="305">
        <f>SUM(AN75:AN83)</f>
        <v>3.5447050802515987</v>
      </c>
    </row>
    <row r="75" spans="1:40" x14ac:dyDescent="0.25">
      <c r="A75" s="13" t="str">
        <f t="shared" si="76"/>
        <v>Managers, directors and senior officials</v>
      </c>
      <c r="B75" s="305">
        <f>SUM(F75,J75,N75,R75,V75,Z75,AD75,AH75,AL75)</f>
        <v>12.127586197499495</v>
      </c>
      <c r="C75" s="305">
        <f t="shared" ref="C75:C83" si="77">SUM(G75,K75,O75,S75,W75,AA75,AE75,AI75,AM75)</f>
        <v>11.266351511482352</v>
      </c>
      <c r="D75" s="305">
        <f t="shared" ref="D75:D83" si="78">SUM(H75,L75,P75,T75,X75,AB75,AF75,AJ75,AN75)</f>
        <v>12.143709790382587</v>
      </c>
      <c r="E75" s="304"/>
      <c r="F75" s="304">
        <v>0.22973694114136914</v>
      </c>
      <c r="G75" s="304">
        <v>0.27542587322214684</v>
      </c>
      <c r="H75" s="304">
        <v>0.41955216074237023</v>
      </c>
      <c r="I75" s="304"/>
      <c r="J75" s="304">
        <v>1.7817793549854157</v>
      </c>
      <c r="K75" s="304">
        <v>2.0583730936616513</v>
      </c>
      <c r="L75" s="304">
        <v>3.056341119547314</v>
      </c>
      <c r="M75" s="304"/>
      <c r="N75" s="304">
        <v>3.6648388309615094</v>
      </c>
      <c r="O75" s="304">
        <v>3.3682398770024573</v>
      </c>
      <c r="P75" s="304">
        <v>3.6758474736437825</v>
      </c>
      <c r="Q75" s="304"/>
      <c r="R75" s="304">
        <v>0.41485181703146545</v>
      </c>
      <c r="S75" s="304">
        <v>0.36075108001492406</v>
      </c>
      <c r="T75" s="304">
        <v>0.37060240815622975</v>
      </c>
      <c r="U75" s="304"/>
      <c r="V75" s="304">
        <v>1.0388614171787067</v>
      </c>
      <c r="W75" s="304">
        <v>0.95547882235230319</v>
      </c>
      <c r="X75" s="304">
        <v>1.0602229569761752</v>
      </c>
      <c r="Y75" s="304"/>
      <c r="Z75" s="304">
        <v>1.9923360762328566</v>
      </c>
      <c r="AA75" s="304">
        <v>1.7130306065194438</v>
      </c>
      <c r="AB75" s="304">
        <v>1.6178242559269913</v>
      </c>
      <c r="AC75" s="304"/>
      <c r="AD75" s="304">
        <v>1.441893243468261</v>
      </c>
      <c r="AE75" s="304">
        <v>1.288141230053828</v>
      </c>
      <c r="AF75" s="304">
        <v>1.0390713845156383</v>
      </c>
      <c r="AG75" s="304"/>
      <c r="AH75" s="304">
        <v>1.1055545547701509</v>
      </c>
      <c r="AI75" s="304">
        <v>0.93083490895829979</v>
      </c>
      <c r="AJ75" s="304">
        <v>0.69281312303222753</v>
      </c>
      <c r="AK75" s="304"/>
      <c r="AL75" s="304">
        <v>0.45773396172976005</v>
      </c>
      <c r="AM75" s="304">
        <v>0.3160760196972992</v>
      </c>
      <c r="AN75" s="304">
        <v>0.21143490784185712</v>
      </c>
    </row>
    <row r="76" spans="1:40" x14ac:dyDescent="0.25">
      <c r="A76" s="13" t="str">
        <f t="shared" si="76"/>
        <v>Professional occupations</v>
      </c>
      <c r="B76" s="305">
        <f t="shared" ref="B76:B83" si="79">SUM(F76,J76,N76,R76,V76,Z76,AD76,AH76,AL76)</f>
        <v>25.35502908970594</v>
      </c>
      <c r="C76" s="305">
        <f t="shared" si="77"/>
        <v>27.226075995706754</v>
      </c>
      <c r="D76" s="305">
        <f>SUM(H76,L76,P76,T76,X76,AB76,AF76,AJ76,AN76)</f>
        <v>29.917478903825032</v>
      </c>
      <c r="E76" s="304"/>
      <c r="F76" s="304">
        <v>0.87103854150315818</v>
      </c>
      <c r="G76" s="304">
        <v>1.1237498399793007</v>
      </c>
      <c r="H76" s="304">
        <v>1.5366294294160956</v>
      </c>
      <c r="I76" s="304"/>
      <c r="J76" s="304">
        <v>5.9351751352878663</v>
      </c>
      <c r="K76" s="304">
        <v>7.5278952768343643</v>
      </c>
      <c r="L76" s="304">
        <v>10.378198842998323</v>
      </c>
      <c r="M76" s="304"/>
      <c r="N76" s="304">
        <v>9.4658875299044816</v>
      </c>
      <c r="O76" s="304">
        <v>9.5163567750107934</v>
      </c>
      <c r="P76" s="304">
        <v>9.4340548774340967</v>
      </c>
      <c r="Q76" s="304"/>
      <c r="R76" s="304">
        <v>0.95052597641554926</v>
      </c>
      <c r="S76" s="304">
        <v>0.97094044463851004</v>
      </c>
      <c r="T76" s="304">
        <v>1.0635211730899752</v>
      </c>
      <c r="U76" s="304"/>
      <c r="V76" s="304">
        <v>1.5612957517468511</v>
      </c>
      <c r="W76" s="304">
        <v>1.5488402662018241</v>
      </c>
      <c r="X76" s="304">
        <v>1.632811413031656</v>
      </c>
      <c r="Y76" s="304"/>
      <c r="Z76" s="304">
        <v>2.8253146832372122</v>
      </c>
      <c r="AA76" s="304">
        <v>2.9191770010420677</v>
      </c>
      <c r="AB76" s="304">
        <v>2.9348738831391099</v>
      </c>
      <c r="AC76" s="304"/>
      <c r="AD76" s="304">
        <v>2.0454578982389617</v>
      </c>
      <c r="AE76" s="304">
        <v>2.1227861180357546</v>
      </c>
      <c r="AF76" s="304">
        <v>1.9020466909431091</v>
      </c>
      <c r="AG76" s="304"/>
      <c r="AH76" s="304">
        <v>1.1418675083127554</v>
      </c>
      <c r="AI76" s="304">
        <v>1.0273892901558761</v>
      </c>
      <c r="AJ76" s="304">
        <v>0.66790137593944687</v>
      </c>
      <c r="AK76" s="304"/>
      <c r="AL76" s="304">
        <v>0.55846606505910268</v>
      </c>
      <c r="AM76" s="304">
        <v>0.46894098380825527</v>
      </c>
      <c r="AN76" s="304">
        <v>0.36744121783321848</v>
      </c>
    </row>
    <row r="77" spans="1:40" x14ac:dyDescent="0.25">
      <c r="A77" s="13" t="str">
        <f t="shared" si="76"/>
        <v>Associate professional occupations</v>
      </c>
      <c r="B77" s="305">
        <f t="shared" si="79"/>
        <v>21.04189553389341</v>
      </c>
      <c r="C77" s="305">
        <f t="shared" si="77"/>
        <v>20.527914634010649</v>
      </c>
      <c r="D77" s="305">
        <f t="shared" si="78"/>
        <v>22.114629074017568</v>
      </c>
      <c r="E77" s="304"/>
      <c r="F77" s="304">
        <v>0.28669592516216497</v>
      </c>
      <c r="G77" s="304">
        <v>0.36327778194681049</v>
      </c>
      <c r="H77" s="304">
        <v>0.55282425489051457</v>
      </c>
      <c r="I77" s="304"/>
      <c r="J77" s="304">
        <v>3.344695811596456</v>
      </c>
      <c r="K77" s="304">
        <v>4.0499929680406392</v>
      </c>
      <c r="L77" s="304">
        <v>6.0047974793162613</v>
      </c>
      <c r="M77" s="304"/>
      <c r="N77" s="304">
        <v>6.4477856460983327</v>
      </c>
      <c r="O77" s="304">
        <v>6.1452219178872367</v>
      </c>
      <c r="P77" s="304">
        <v>6.4375032797938205</v>
      </c>
      <c r="Q77" s="304"/>
      <c r="R77" s="304">
        <v>1.4299734496903718</v>
      </c>
      <c r="S77" s="304">
        <v>1.4688182228827089</v>
      </c>
      <c r="T77" s="304">
        <v>1.7182403391628911</v>
      </c>
      <c r="U77" s="304"/>
      <c r="V77" s="304">
        <v>1.3219345540261036</v>
      </c>
      <c r="W77" s="304">
        <v>1.2679181908988142</v>
      </c>
      <c r="X77" s="304">
        <v>1.3184120372527977</v>
      </c>
      <c r="Y77" s="304"/>
      <c r="Z77" s="304">
        <v>3.3109212608754253</v>
      </c>
      <c r="AA77" s="304">
        <v>3.0485233281475383</v>
      </c>
      <c r="AB77" s="304">
        <v>2.8553993178016652</v>
      </c>
      <c r="AC77" s="304"/>
      <c r="AD77" s="304">
        <v>2.4383409993229299</v>
      </c>
      <c r="AE77" s="304">
        <v>2.2473167912514644</v>
      </c>
      <c r="AF77" s="304">
        <v>1.7672763853305384</v>
      </c>
      <c r="AG77" s="304"/>
      <c r="AH77" s="304">
        <v>1.6738664206411842</v>
      </c>
      <c r="AI77" s="304">
        <v>1.3580579998617908</v>
      </c>
      <c r="AJ77" s="304">
        <v>0.95216764102043172</v>
      </c>
      <c r="AK77" s="304"/>
      <c r="AL77" s="304">
        <v>0.78768146648044157</v>
      </c>
      <c r="AM77" s="304">
        <v>0.57878743309364289</v>
      </c>
      <c r="AN77" s="304">
        <v>0.50800833944864854</v>
      </c>
    </row>
    <row r="78" spans="1:40" x14ac:dyDescent="0.25">
      <c r="A78" s="13" t="str">
        <f t="shared" si="76"/>
        <v>Administrative and secretarial occupations</v>
      </c>
      <c r="B78" s="305">
        <f t="shared" si="79"/>
        <v>19.509833119389647</v>
      </c>
      <c r="C78" s="305">
        <f t="shared" si="77"/>
        <v>20.182695876718896</v>
      </c>
      <c r="D78" s="305">
        <f t="shared" si="78"/>
        <v>19.249430413595988</v>
      </c>
      <c r="E78" s="304"/>
      <c r="F78" s="304">
        <v>0.13574905044203464</v>
      </c>
      <c r="G78" s="304">
        <v>0.18693660375304258</v>
      </c>
      <c r="H78" s="304">
        <v>0.3077004144347365</v>
      </c>
      <c r="I78" s="304"/>
      <c r="J78" s="304">
        <v>1.3675355878089805</v>
      </c>
      <c r="K78" s="304">
        <v>1.8701858661040365</v>
      </c>
      <c r="L78" s="304">
        <v>2.8284728440293407</v>
      </c>
      <c r="M78" s="304"/>
      <c r="N78" s="304">
        <v>4.3307846680451521</v>
      </c>
      <c r="O78" s="304">
        <v>4.9533148154563795</v>
      </c>
      <c r="P78" s="304">
        <v>5.7998310448495438</v>
      </c>
      <c r="Q78" s="304"/>
      <c r="R78" s="304">
        <v>1.2895129497353668</v>
      </c>
      <c r="S78" s="304">
        <v>1.394705549001229</v>
      </c>
      <c r="T78" s="304">
        <v>1.5608986578715882</v>
      </c>
      <c r="U78" s="304"/>
      <c r="V78" s="304">
        <v>1.440820159638956</v>
      </c>
      <c r="W78" s="304">
        <v>1.5313904911873055</v>
      </c>
      <c r="X78" s="304">
        <v>1.7257046060625916</v>
      </c>
      <c r="Y78" s="304"/>
      <c r="Z78" s="304">
        <v>3.4702484572054062</v>
      </c>
      <c r="AA78" s="304">
        <v>3.2924541380436261</v>
      </c>
      <c r="AB78" s="304">
        <v>2.5296572561449508</v>
      </c>
      <c r="AC78" s="304"/>
      <c r="AD78" s="304">
        <v>4.2183010084728201</v>
      </c>
      <c r="AE78" s="304">
        <v>4.2256061680844885</v>
      </c>
      <c r="AF78" s="304">
        <v>2.9888879399132149</v>
      </c>
      <c r="AG78" s="304"/>
      <c r="AH78" s="304">
        <v>1.9512158004854046</v>
      </c>
      <c r="AI78" s="304">
        <v>1.6325001306808931</v>
      </c>
      <c r="AJ78" s="304">
        <v>0.51892924827991416</v>
      </c>
      <c r="AK78" s="304"/>
      <c r="AL78" s="304">
        <v>1.305665437555525</v>
      </c>
      <c r="AM78" s="304">
        <v>1.0956021144078958</v>
      </c>
      <c r="AN78" s="304">
        <v>0.98934840201010876</v>
      </c>
    </row>
    <row r="79" spans="1:40" x14ac:dyDescent="0.25">
      <c r="A79" s="13" t="str">
        <f t="shared" si="76"/>
        <v>Skilled trades occupations</v>
      </c>
      <c r="B79" s="305">
        <f t="shared" si="79"/>
        <v>3.0244972943202049</v>
      </c>
      <c r="C79" s="305">
        <f t="shared" si="77"/>
        <v>3.1134261861395029</v>
      </c>
      <c r="D79" s="305">
        <f t="shared" si="78"/>
        <v>3.0707183427241458</v>
      </c>
      <c r="E79" s="304"/>
      <c r="F79" s="304">
        <v>1.3453014427279742E-2</v>
      </c>
      <c r="G79" s="304">
        <v>1.8423001942475536E-2</v>
      </c>
      <c r="H79" s="304">
        <v>2.6000147505460029E-2</v>
      </c>
      <c r="I79" s="304"/>
      <c r="J79" s="304">
        <v>0.20264542280778569</v>
      </c>
      <c r="K79" s="304">
        <v>0.29152019362654913</v>
      </c>
      <c r="L79" s="304">
        <v>0.4456480074877851</v>
      </c>
      <c r="M79" s="304"/>
      <c r="N79" s="304">
        <v>0.39022134451238688</v>
      </c>
      <c r="O79" s="304">
        <v>0.42531004143750006</v>
      </c>
      <c r="P79" s="304">
        <v>0.50700071370783006</v>
      </c>
      <c r="Q79" s="304"/>
      <c r="R79" s="304">
        <v>0.15623236368522017</v>
      </c>
      <c r="S79" s="304">
        <v>0.17745412816614134</v>
      </c>
      <c r="T79" s="304">
        <v>0.24105163327836934</v>
      </c>
      <c r="U79" s="304"/>
      <c r="V79" s="304">
        <v>0.18491891106199801</v>
      </c>
      <c r="W79" s="304">
        <v>0.1898436765961739</v>
      </c>
      <c r="X79" s="304">
        <v>0.2015299998567685</v>
      </c>
      <c r="Y79" s="304"/>
      <c r="Z79" s="304">
        <v>0.66252422231478358</v>
      </c>
      <c r="AA79" s="304">
        <v>0.66961827862536316</v>
      </c>
      <c r="AB79" s="304">
        <v>0.62579273357700493</v>
      </c>
      <c r="AC79" s="304"/>
      <c r="AD79" s="304">
        <v>0.62945515368183769</v>
      </c>
      <c r="AE79" s="304">
        <v>0.64714777123773304</v>
      </c>
      <c r="AF79" s="304">
        <v>0.54750191167258067</v>
      </c>
      <c r="AG79" s="304"/>
      <c r="AH79" s="304">
        <v>0.4174972559522262</v>
      </c>
      <c r="AI79" s="304">
        <v>0.37938369249864584</v>
      </c>
      <c r="AJ79" s="304">
        <v>0.2464898343764596</v>
      </c>
      <c r="AK79" s="304"/>
      <c r="AL79" s="304">
        <v>0.367549605876687</v>
      </c>
      <c r="AM79" s="304">
        <v>0.31472540200892107</v>
      </c>
      <c r="AN79" s="304">
        <v>0.22970336126188784</v>
      </c>
    </row>
    <row r="80" spans="1:40" x14ac:dyDescent="0.25">
      <c r="A80" s="13" t="str">
        <f t="shared" si="76"/>
        <v>Caring, leisure and other service occupations</v>
      </c>
      <c r="B80" s="305">
        <f t="shared" si="79"/>
        <v>8.2279093244389188</v>
      </c>
      <c r="C80" s="305">
        <f t="shared" si="77"/>
        <v>8.0652771353359842</v>
      </c>
      <c r="D80" s="305">
        <f t="shared" si="78"/>
        <v>8.3301023389638207</v>
      </c>
      <c r="E80" s="304"/>
      <c r="F80" s="304">
        <v>6.1495853782680002E-3</v>
      </c>
      <c r="G80" s="304">
        <v>7.8728906874922996E-3</v>
      </c>
      <c r="H80" s="304">
        <v>1.3941019888103501E-2</v>
      </c>
      <c r="I80" s="304"/>
      <c r="J80" s="304">
        <v>0.38461570840599812</v>
      </c>
      <c r="K80" s="304">
        <v>0.51573139595971107</v>
      </c>
      <c r="L80" s="304">
        <v>0.94664728793036812</v>
      </c>
      <c r="M80" s="304"/>
      <c r="N80" s="304">
        <v>1.0846967838373645</v>
      </c>
      <c r="O80" s="304">
        <v>1.232119859553557</v>
      </c>
      <c r="P80" s="304">
        <v>1.6470647446767843</v>
      </c>
      <c r="Q80" s="304"/>
      <c r="R80" s="304">
        <v>0.77780695472999195</v>
      </c>
      <c r="S80" s="304">
        <v>0.81680801498156141</v>
      </c>
      <c r="T80" s="304">
        <v>0.98886919432455467</v>
      </c>
      <c r="U80" s="304"/>
      <c r="V80" s="304">
        <v>0.46426950811797368</v>
      </c>
      <c r="W80" s="304">
        <v>0.5017255715942226</v>
      </c>
      <c r="X80" s="304">
        <v>0.66860156363323042</v>
      </c>
      <c r="Y80" s="304"/>
      <c r="Z80" s="304">
        <v>1.9793288308951218</v>
      </c>
      <c r="AA80" s="304">
        <v>1.903791322131593</v>
      </c>
      <c r="AB80" s="304">
        <v>1.7988686735764645</v>
      </c>
      <c r="AC80" s="304"/>
      <c r="AD80" s="304">
        <v>1.8584465278409357</v>
      </c>
      <c r="AE80" s="304">
        <v>1.7556763758715694</v>
      </c>
      <c r="AF80" s="304">
        <v>1.3992093761023032</v>
      </c>
      <c r="AG80" s="304"/>
      <c r="AH80" s="304">
        <v>1.1694107663988715</v>
      </c>
      <c r="AI80" s="304">
        <v>1.0085815373650535</v>
      </c>
      <c r="AJ80" s="304">
        <v>0.66359787519649394</v>
      </c>
      <c r="AK80" s="304"/>
      <c r="AL80" s="304">
        <v>0.50318465883439245</v>
      </c>
      <c r="AM80" s="304">
        <v>0.3229701671912234</v>
      </c>
      <c r="AN80" s="304">
        <v>0.20330260363551694</v>
      </c>
    </row>
    <row r="81" spans="1:40" x14ac:dyDescent="0.25">
      <c r="A81" s="13" t="str">
        <f t="shared" si="76"/>
        <v>Sales and customer service occupations</v>
      </c>
      <c r="B81" s="305">
        <f t="shared" si="79"/>
        <v>8.0190318619093635</v>
      </c>
      <c r="C81" s="305">
        <f t="shared" si="77"/>
        <v>8.6604414588191929</v>
      </c>
      <c r="D81" s="305">
        <f t="shared" si="78"/>
        <v>9.1848713086622471</v>
      </c>
      <c r="E81" s="304"/>
      <c r="F81" s="304">
        <v>3.7234052138504531E-2</v>
      </c>
      <c r="G81" s="304">
        <v>5.4317269605691242E-2</v>
      </c>
      <c r="H81" s="304">
        <v>9.3273610171996424E-2</v>
      </c>
      <c r="I81" s="304"/>
      <c r="J81" s="304">
        <v>0.3911631045176806</v>
      </c>
      <c r="K81" s="304">
        <v>0.53128482302547986</v>
      </c>
      <c r="L81" s="304">
        <v>0.86452148583031618</v>
      </c>
      <c r="M81" s="304"/>
      <c r="N81" s="304">
        <v>1.4380998519147725</v>
      </c>
      <c r="O81" s="304">
        <v>1.6040293498422158</v>
      </c>
      <c r="P81" s="304">
        <v>1.9730121872672925</v>
      </c>
      <c r="Q81" s="304"/>
      <c r="R81" s="304">
        <v>0.44290042955751874</v>
      </c>
      <c r="S81" s="304">
        <v>0.50691023500823917</v>
      </c>
      <c r="T81" s="304">
        <v>0.65870080018622001</v>
      </c>
      <c r="U81" s="304"/>
      <c r="V81" s="304">
        <v>0.67708025035224395</v>
      </c>
      <c r="W81" s="304">
        <v>0.80350774378795353</v>
      </c>
      <c r="X81" s="304">
        <v>0.96177973507960512</v>
      </c>
      <c r="Y81" s="304"/>
      <c r="Z81" s="304">
        <v>1.6884040704247592</v>
      </c>
      <c r="AA81" s="304">
        <v>1.8548056017305088</v>
      </c>
      <c r="AB81" s="304">
        <v>1.8339004234287455</v>
      </c>
      <c r="AC81" s="304"/>
      <c r="AD81" s="304">
        <v>1.870407479820972</v>
      </c>
      <c r="AE81" s="304">
        <v>2.0208520240802557</v>
      </c>
      <c r="AF81" s="304">
        <v>1.8269388004999116</v>
      </c>
      <c r="AG81" s="304"/>
      <c r="AH81" s="304">
        <v>0.99298800183212232</v>
      </c>
      <c r="AI81" s="304">
        <v>0.90218741668882563</v>
      </c>
      <c r="AJ81" s="304">
        <v>0.66544767210220745</v>
      </c>
      <c r="AK81" s="304"/>
      <c r="AL81" s="304">
        <v>0.48075462135078828</v>
      </c>
      <c r="AM81" s="304">
        <v>0.38254699505002254</v>
      </c>
      <c r="AN81" s="304">
        <v>0.30729659409595339</v>
      </c>
    </row>
    <row r="82" spans="1:40" x14ac:dyDescent="0.25">
      <c r="A82" s="13" t="str">
        <f t="shared" si="76"/>
        <v>Process, plant and machine operatives</v>
      </c>
      <c r="B82" s="305">
        <f t="shared" si="79"/>
        <v>2.16435899871369</v>
      </c>
      <c r="C82" s="305">
        <f t="shared" si="77"/>
        <v>2.1966330795334859</v>
      </c>
      <c r="D82" s="305">
        <f t="shared" si="78"/>
        <v>1.9535366583094671</v>
      </c>
      <c r="E82" s="304"/>
      <c r="F82" s="304">
        <v>5.8101625867947905E-3</v>
      </c>
      <c r="G82" s="304">
        <v>8.5941892725875327E-3</v>
      </c>
      <c r="H82" s="304">
        <v>1.2249629416009121E-2</v>
      </c>
      <c r="I82" s="304"/>
      <c r="J82" s="304">
        <v>7.1903743867448577E-2</v>
      </c>
      <c r="K82" s="304">
        <v>0.10427859641590428</v>
      </c>
      <c r="L82" s="304">
        <v>0.16008781622272011</v>
      </c>
      <c r="M82" s="304"/>
      <c r="N82" s="304">
        <v>0.13460540417888572</v>
      </c>
      <c r="O82" s="304">
        <v>0.1657133104056363</v>
      </c>
      <c r="P82" s="304">
        <v>0.19745864760308832</v>
      </c>
      <c r="Q82" s="304"/>
      <c r="R82" s="304">
        <v>4.7718991383853444E-2</v>
      </c>
      <c r="S82" s="304">
        <v>5.8437931616781173E-2</v>
      </c>
      <c r="T82" s="304">
        <v>6.859508616633439E-2</v>
      </c>
      <c r="U82" s="304"/>
      <c r="V82" s="304">
        <v>6.2325166026817869E-2</v>
      </c>
      <c r="W82" s="304">
        <v>7.5519570978057518E-2</v>
      </c>
      <c r="X82" s="304">
        <v>9.0526641593354884E-2</v>
      </c>
      <c r="Y82" s="304"/>
      <c r="Z82" s="304">
        <v>0.44847462536700944</v>
      </c>
      <c r="AA82" s="304">
        <v>0.52771955262481363</v>
      </c>
      <c r="AB82" s="304">
        <v>0.5873201524908177</v>
      </c>
      <c r="AC82" s="304"/>
      <c r="AD82" s="304">
        <v>0.4426373698649203</v>
      </c>
      <c r="AE82" s="304">
        <v>0.50130775807249173</v>
      </c>
      <c r="AF82" s="304">
        <v>0.45030016352459729</v>
      </c>
      <c r="AG82" s="304"/>
      <c r="AH82" s="304">
        <v>0.43321511854084011</v>
      </c>
      <c r="AI82" s="304">
        <v>0.38066706877244127</v>
      </c>
      <c r="AJ82" s="304">
        <v>0.23029574347945961</v>
      </c>
      <c r="AK82" s="304"/>
      <c r="AL82" s="304">
        <v>0.51766841689711984</v>
      </c>
      <c r="AM82" s="304">
        <v>0.37439510137477261</v>
      </c>
      <c r="AN82" s="304">
        <v>0.15670277781308564</v>
      </c>
    </row>
    <row r="83" spans="1:40" x14ac:dyDescent="0.25">
      <c r="A83" s="39" t="str">
        <f t="shared" si="76"/>
        <v>Elementary occupations</v>
      </c>
      <c r="B83" s="307">
        <f t="shared" si="79"/>
        <v>11.947858580129324</v>
      </c>
      <c r="C83" s="307">
        <f t="shared" si="77"/>
        <v>12.051184122253204</v>
      </c>
      <c r="D83" s="307">
        <f t="shared" si="78"/>
        <v>11.94752316951914</v>
      </c>
      <c r="E83" s="307"/>
      <c r="F83" s="307">
        <v>1.4936010873378029E-2</v>
      </c>
      <c r="G83" s="307">
        <v>2.0451300310405578E-2</v>
      </c>
      <c r="H83" s="307">
        <v>3.5329831369852384E-2</v>
      </c>
      <c r="I83" s="307"/>
      <c r="J83" s="307">
        <v>0.26290212787566264</v>
      </c>
      <c r="K83" s="307">
        <v>0.37802738302380334</v>
      </c>
      <c r="L83" s="307">
        <v>0.70515638570555661</v>
      </c>
      <c r="M83" s="307"/>
      <c r="N83" s="307">
        <v>0.7451937242825164</v>
      </c>
      <c r="O83" s="307">
        <v>0.8351071478612494</v>
      </c>
      <c r="P83" s="307">
        <v>1.0599145856601648</v>
      </c>
      <c r="Q83" s="307"/>
      <c r="R83" s="307">
        <v>0.37600896775030329</v>
      </c>
      <c r="S83" s="307">
        <v>0.41294112372698677</v>
      </c>
      <c r="T83" s="307">
        <v>0.5097009986525507</v>
      </c>
      <c r="U83" s="307"/>
      <c r="V83" s="307">
        <v>0.22925126569747686</v>
      </c>
      <c r="W83" s="307">
        <v>0.24044679041112879</v>
      </c>
      <c r="X83" s="307">
        <v>0.31851513942638854</v>
      </c>
      <c r="Y83" s="307"/>
      <c r="Z83" s="307">
        <v>1.2467214218245342</v>
      </c>
      <c r="AA83" s="307">
        <v>1.1806179266139456</v>
      </c>
      <c r="AB83" s="307">
        <v>1.1841354779550728</v>
      </c>
      <c r="AC83" s="307"/>
      <c r="AD83" s="307">
        <v>3.4694615846127976</v>
      </c>
      <c r="AE83" s="307">
        <v>4.1090505343892554</v>
      </c>
      <c r="AF83" s="307">
        <v>4.4099443636824933</v>
      </c>
      <c r="AG83" s="307"/>
      <c r="AH83" s="307">
        <v>3.8684031462800026</v>
      </c>
      <c r="AI83" s="307">
        <v>3.8224720924391993</v>
      </c>
      <c r="AJ83" s="307">
        <v>3.1533595107557399</v>
      </c>
      <c r="AK83" s="307"/>
      <c r="AL83" s="307">
        <v>1.7349803309326515</v>
      </c>
      <c r="AM83" s="307">
        <v>1.0520698234772312</v>
      </c>
      <c r="AN83" s="307">
        <v>0.57146687631132198</v>
      </c>
    </row>
    <row r="84" spans="1:40" x14ac:dyDescent="0.25">
      <c r="B84" s="32"/>
      <c r="C84" s="32"/>
      <c r="D84" s="32"/>
    </row>
    <row r="85" spans="1:40" ht="15.5" x14ac:dyDescent="0.35">
      <c r="A85" s="19" t="str">
        <f>CONCATENATE(A1," (Continued)")</f>
        <v>Basic Table 1  Employment by Industry Sector, Occupation Group and Qualification, 2020-2035, Black Country (Continued)</v>
      </c>
    </row>
    <row r="86" spans="1:40" ht="12.75" customHeight="1" x14ac:dyDescent="0.35">
      <c r="A86" s="19"/>
    </row>
    <row r="87" spans="1:40" ht="12.75" customHeight="1" x14ac:dyDescent="0.35">
      <c r="A87" s="19"/>
    </row>
    <row r="88" spans="1:40" ht="26.25" customHeight="1" x14ac:dyDescent="0.25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3" t="str">
        <f>N4</f>
        <v>RQF6 First degree</v>
      </c>
      <c r="O88" s="383"/>
      <c r="P88" s="383"/>
      <c r="Q88" s="78"/>
      <c r="R88" s="383" t="str">
        <f>R4</f>
        <v>RQF5 Foundation degree;Nursing;Teaching</v>
      </c>
      <c r="S88" s="383"/>
      <c r="T88" s="383"/>
      <c r="U88" s="78"/>
      <c r="V88" s="383" t="str">
        <f>V4</f>
        <v>RQF4 HE below degree level</v>
      </c>
      <c r="W88" s="383"/>
      <c r="X88" s="383"/>
      <c r="Y88" s="78"/>
      <c r="Z88" s="383" t="str">
        <f>Z4</f>
        <v>RQF3 A level &amp; equivalent</v>
      </c>
      <c r="AA88" s="383"/>
      <c r="AB88" s="383"/>
      <c r="AC88" s="78"/>
      <c r="AD88" s="383" t="str">
        <f>AD4</f>
        <v>RQF2 GCSE(A-C) &amp; equivalent</v>
      </c>
      <c r="AE88" s="383"/>
      <c r="AF88" s="383"/>
      <c r="AG88" s="78"/>
      <c r="AH88" s="383" t="str">
        <f>AH4</f>
        <v>RQF1 GCSE(below grade C) &amp; equivalent</v>
      </c>
      <c r="AI88" s="383"/>
      <c r="AJ88" s="383"/>
      <c r="AK88" s="78"/>
      <c r="AL88" s="78"/>
      <c r="AM88" s="79" t="str">
        <f>AL4</f>
        <v>No Qualification</v>
      </c>
      <c r="AN88" s="78"/>
    </row>
    <row r="89" spans="1:40" ht="13" x14ac:dyDescent="0.3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5">
      <c r="B90" s="32"/>
      <c r="C90" s="32"/>
      <c r="D90" s="32"/>
    </row>
    <row r="91" spans="1:40" ht="13" x14ac:dyDescent="0.3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5">
      <c r="A92" s="13" t="str">
        <f t="shared" ref="A92:A101" si="80">A8</f>
        <v>All occupations</v>
      </c>
      <c r="B92" s="305">
        <f>SUM(B93:B101)</f>
        <v>132.11399999999995</v>
      </c>
      <c r="C92" s="305">
        <f>SUM(C93:C101)</f>
        <v>138.34700000000004</v>
      </c>
      <c r="D92" s="305">
        <f>SUM(D93:D101)</f>
        <v>146.59199999999993</v>
      </c>
      <c r="E92" s="304"/>
      <c r="F92" s="305">
        <f>SUM(F93:F101)</f>
        <v>4.2441868259555546</v>
      </c>
      <c r="G92" s="305">
        <f>SUM(G93:G101)</f>
        <v>5.4203796881834245</v>
      </c>
      <c r="H92" s="305">
        <f>SUM(H93:H101)</f>
        <v>7.7609939003338955</v>
      </c>
      <c r="I92" s="304"/>
      <c r="J92" s="305">
        <f>SUM(J93:J101)</f>
        <v>23.507531258689419</v>
      </c>
      <c r="K92" s="305">
        <f>SUM(K93:K101)</f>
        <v>28.973535041877859</v>
      </c>
      <c r="L92" s="305">
        <f>SUM(L93:L101)</f>
        <v>39.777790282768336</v>
      </c>
      <c r="M92" s="304"/>
      <c r="N92" s="305">
        <f>SUM(N93:N101)</f>
        <v>32.243752157124987</v>
      </c>
      <c r="O92" s="305">
        <f>SUM(O93:O101)</f>
        <v>34.774154011827882</v>
      </c>
      <c r="P92" s="305">
        <f>SUM(P93:P101)</f>
        <v>39.068263296341684</v>
      </c>
      <c r="Q92" s="304"/>
      <c r="R92" s="305">
        <f>SUM(R93:R101)</f>
        <v>13.038248873495624</v>
      </c>
      <c r="S92" s="305">
        <f>SUM(S93:S101)</f>
        <v>11.150130725367958</v>
      </c>
      <c r="T92" s="305">
        <f>SUM(T93:T101)</f>
        <v>9.840645677588487</v>
      </c>
      <c r="U92" s="304"/>
      <c r="V92" s="305">
        <f>SUM(V93:V101)</f>
        <v>5.7957979244219864</v>
      </c>
      <c r="W92" s="305">
        <f>SUM(W93:W101)</f>
        <v>5.8185535544256943</v>
      </c>
      <c r="X92" s="305">
        <f>SUM(X93:X101)</f>
        <v>6.3917452622985076</v>
      </c>
      <c r="Y92" s="304"/>
      <c r="Z92" s="305">
        <f>SUM(Z93:Z101)</f>
        <v>25.856945804231756</v>
      </c>
      <c r="AA92" s="305">
        <f>SUM(AA93:AA101)</f>
        <v>27.535297847066555</v>
      </c>
      <c r="AB92" s="305">
        <f>SUM(AB93:AB101)</f>
        <v>27.029102739451151</v>
      </c>
      <c r="AC92" s="304"/>
      <c r="AD92" s="305">
        <f>SUM(AD93:AD101)</f>
        <v>19.234193700425735</v>
      </c>
      <c r="AE92" s="305">
        <f>SUM(AE93:AE101)</f>
        <v>18.966298016924522</v>
      </c>
      <c r="AF92" s="305">
        <f>SUM(AF93:AF101)</f>
        <v>13.722078338675864</v>
      </c>
      <c r="AG92" s="304"/>
      <c r="AH92" s="305">
        <f>SUM(AH93:AH101)</f>
        <v>6.3437240226542997</v>
      </c>
      <c r="AI92" s="305">
        <f>SUM(AI93:AI101)</f>
        <v>4.5406229290577622</v>
      </c>
      <c r="AJ92" s="305">
        <f>SUM(AJ93:AJ101)</f>
        <v>2.1190026309516607</v>
      </c>
      <c r="AK92" s="304"/>
      <c r="AL92" s="305">
        <f>SUM(AL93:AL101)</f>
        <v>1.8496194330005553</v>
      </c>
      <c r="AM92" s="305">
        <f>SUM(AM93:AM101)</f>
        <v>1.1680281852683678</v>
      </c>
      <c r="AN92" s="305">
        <f>SUM(AN93:AN101)</f>
        <v>0.88237787159037173</v>
      </c>
    </row>
    <row r="93" spans="1:40" x14ac:dyDescent="0.25">
      <c r="A93" s="13" t="str">
        <f t="shared" si="80"/>
        <v>Managers, directors and senior officials</v>
      </c>
      <c r="B93" s="305">
        <f>SUM(F93,J93,N93,R93,V93,Z93,AD93,AH93,AL93)</f>
        <v>5.5703397146661198</v>
      </c>
      <c r="C93" s="305">
        <f t="shared" ref="C93:D93" si="81">SUM(G93,K93,O93,S93,W93,AA93,AE93,AI93,AM93)</f>
        <v>5.3911850378259336</v>
      </c>
      <c r="D93" s="305">
        <f t="shared" si="81"/>
        <v>6.0187889982408791</v>
      </c>
      <c r="E93" s="304"/>
      <c r="F93" s="304">
        <v>0.11572485114635901</v>
      </c>
      <c r="G93" s="304">
        <v>0.14930718072355759</v>
      </c>
      <c r="H93" s="304">
        <v>0.24578286853193873</v>
      </c>
      <c r="I93" s="304"/>
      <c r="J93" s="304">
        <v>1.0822263381649451</v>
      </c>
      <c r="K93" s="304">
        <v>1.2026774172347476</v>
      </c>
      <c r="L93" s="304">
        <v>1.5981124790757264</v>
      </c>
      <c r="M93" s="304"/>
      <c r="N93" s="304">
        <v>1.661852822880443</v>
      </c>
      <c r="O93" s="304">
        <v>1.6102266953966566</v>
      </c>
      <c r="P93" s="304">
        <v>1.8060673649329453</v>
      </c>
      <c r="Q93" s="304"/>
      <c r="R93" s="304">
        <v>0.97713526838601727</v>
      </c>
      <c r="S93" s="304">
        <v>0.89981949730278743</v>
      </c>
      <c r="T93" s="304">
        <v>0.97964973169682024</v>
      </c>
      <c r="U93" s="304"/>
      <c r="V93" s="304">
        <v>0.21621382740385256</v>
      </c>
      <c r="W93" s="304">
        <v>0.17615482285947662</v>
      </c>
      <c r="X93" s="304">
        <v>0.16854905645675081</v>
      </c>
      <c r="Y93" s="304"/>
      <c r="Z93" s="304">
        <v>0.83098912652024592</v>
      </c>
      <c r="AA93" s="304">
        <v>0.75245532811575477</v>
      </c>
      <c r="AB93" s="304">
        <v>0.7042018960195614</v>
      </c>
      <c r="AC93" s="304"/>
      <c r="AD93" s="304">
        <v>0.40377973392161443</v>
      </c>
      <c r="AE93" s="304">
        <v>0.37412101287485566</v>
      </c>
      <c r="AF93" s="304">
        <v>0.32781081834731723</v>
      </c>
      <c r="AG93" s="304"/>
      <c r="AH93" s="304">
        <v>0.14414948925050383</v>
      </c>
      <c r="AI93" s="304">
        <v>0.11133663089398553</v>
      </c>
      <c r="AJ93" s="304">
        <v>7.6194062992789677E-2</v>
      </c>
      <c r="AK93" s="304"/>
      <c r="AL93" s="304">
        <v>0.13826825699213882</v>
      </c>
      <c r="AM93" s="304">
        <v>0.11508645242411178</v>
      </c>
      <c r="AN93" s="304">
        <v>0.11242072018702889</v>
      </c>
    </row>
    <row r="94" spans="1:40" x14ac:dyDescent="0.25">
      <c r="A94" s="13" t="str">
        <f t="shared" si="80"/>
        <v>Professional occupations</v>
      </c>
      <c r="B94" s="305">
        <f t="shared" ref="B94:B101" si="82">SUM(F94,J94,N94,R94,V94,Z94,AD94,AH94,AL94)</f>
        <v>49.692328732234813</v>
      </c>
      <c r="C94" s="305">
        <f t="shared" ref="C94:C101" si="83">SUM(G94,K94,O94,S94,W94,AA94,AE94,AI94,AM94)</f>
        <v>51.075328024947616</v>
      </c>
      <c r="D94" s="305">
        <f t="shared" ref="D94:D101" si="84">SUM(H94,L94,P94,T94,X94,AB94,AF94,AJ94,AN94)</f>
        <v>56.719950329840081</v>
      </c>
      <c r="E94" s="305"/>
      <c r="F94" s="304">
        <v>3.832140993223184</v>
      </c>
      <c r="G94" s="304">
        <v>4.8383938496847252</v>
      </c>
      <c r="H94" s="304">
        <v>6.7743342637430963</v>
      </c>
      <c r="I94" s="304"/>
      <c r="J94" s="304">
        <v>17.331356798007519</v>
      </c>
      <c r="K94" s="304">
        <v>20.450085172041007</v>
      </c>
      <c r="L94" s="304">
        <v>26.627012143651388</v>
      </c>
      <c r="M94" s="304"/>
      <c r="N94" s="304">
        <v>17.047181103325293</v>
      </c>
      <c r="O94" s="304">
        <v>16.284948033494192</v>
      </c>
      <c r="P94" s="304">
        <v>16.088545129993889</v>
      </c>
      <c r="Q94" s="304"/>
      <c r="R94" s="304">
        <v>3.865522321231194</v>
      </c>
      <c r="S94" s="304">
        <v>2.0652236842330294</v>
      </c>
      <c r="T94" s="304">
        <v>0.90110819242241247</v>
      </c>
      <c r="U94" s="304"/>
      <c r="V94" s="304">
        <v>1.0388903464161796</v>
      </c>
      <c r="W94" s="304">
        <v>1.0289592075137177</v>
      </c>
      <c r="X94" s="304">
        <v>1.0658835557750994</v>
      </c>
      <c r="Y94" s="304"/>
      <c r="Z94" s="304">
        <v>3.1365123528627374</v>
      </c>
      <c r="AA94" s="304">
        <v>3.1993411064576747</v>
      </c>
      <c r="AB94" s="304">
        <v>2.9877744051337243</v>
      </c>
      <c r="AC94" s="304"/>
      <c r="AD94" s="304">
        <v>2.0063573633075693</v>
      </c>
      <c r="AE94" s="304">
        <v>2.0042178189208801</v>
      </c>
      <c r="AF94" s="304">
        <v>1.5541522683907329</v>
      </c>
      <c r="AG94" s="304"/>
      <c r="AH94" s="304">
        <v>1.1822007664613099</v>
      </c>
      <c r="AI94" s="304">
        <v>1.0022800640933045</v>
      </c>
      <c r="AJ94" s="304">
        <v>0.54075695968644921</v>
      </c>
      <c r="AK94" s="304"/>
      <c r="AL94" s="304">
        <v>0.2521666873998224</v>
      </c>
      <c r="AM94" s="304">
        <v>0.20187908850908512</v>
      </c>
      <c r="AN94" s="304">
        <v>0.18038341104328615</v>
      </c>
    </row>
    <row r="95" spans="1:40" x14ac:dyDescent="0.25">
      <c r="A95" s="13" t="str">
        <f t="shared" si="80"/>
        <v>Associate professional occupations</v>
      </c>
      <c r="B95" s="305">
        <f t="shared" si="82"/>
        <v>19.102467495855407</v>
      </c>
      <c r="C95" s="305">
        <f t="shared" si="83"/>
        <v>24.316529197490144</v>
      </c>
      <c r="D95" s="305">
        <f t="shared" si="84"/>
        <v>27.879155045042204</v>
      </c>
      <c r="E95" s="305"/>
      <c r="F95" s="304">
        <v>0.15405410998344618</v>
      </c>
      <c r="G95" s="304">
        <v>0.24084984394939671</v>
      </c>
      <c r="H95" s="304">
        <v>0.46330974589785912</v>
      </c>
      <c r="I95" s="304"/>
      <c r="J95" s="304">
        <v>2.4257642228131377</v>
      </c>
      <c r="K95" s="304">
        <v>3.7627316958784123</v>
      </c>
      <c r="L95" s="304">
        <v>6.2454408856268024</v>
      </c>
      <c r="M95" s="304"/>
      <c r="N95" s="304">
        <v>5.8081682533860786</v>
      </c>
      <c r="O95" s="304">
        <v>8.0154209002916499</v>
      </c>
      <c r="P95" s="304">
        <v>10.132018336764945</v>
      </c>
      <c r="Q95" s="304"/>
      <c r="R95" s="304">
        <v>2.5847216423278163</v>
      </c>
      <c r="S95" s="304">
        <v>2.7069426198232489</v>
      </c>
      <c r="T95" s="304">
        <v>2.0208631760567775</v>
      </c>
      <c r="U95" s="304"/>
      <c r="V95" s="304">
        <v>0.99788256131886</v>
      </c>
      <c r="W95" s="304">
        <v>1.0718555000802632</v>
      </c>
      <c r="X95" s="304">
        <v>1.204875989039949</v>
      </c>
      <c r="Y95" s="304"/>
      <c r="Z95" s="304">
        <v>3.4648682488199496</v>
      </c>
      <c r="AA95" s="304">
        <v>4.4708252430232749</v>
      </c>
      <c r="AB95" s="304">
        <v>4.6610680399321511</v>
      </c>
      <c r="AC95" s="304"/>
      <c r="AD95" s="304">
        <v>2.3985740437712209</v>
      </c>
      <c r="AE95" s="304">
        <v>2.9446900483597394</v>
      </c>
      <c r="AF95" s="304">
        <v>2.3843250789287662</v>
      </c>
      <c r="AG95" s="304"/>
      <c r="AH95" s="304">
        <v>1.0576651083680908</v>
      </c>
      <c r="AI95" s="304">
        <v>0.94403750716140833</v>
      </c>
      <c r="AJ95" s="304">
        <v>0.56824289846036158</v>
      </c>
      <c r="AK95" s="304"/>
      <c r="AL95" s="304">
        <v>0.21076930506680938</v>
      </c>
      <c r="AM95" s="304">
        <v>0.15917583892275253</v>
      </c>
      <c r="AN95" s="304">
        <v>0.19901089433459254</v>
      </c>
    </row>
    <row r="96" spans="1:40" x14ac:dyDescent="0.25">
      <c r="A96" s="13" t="str">
        <f t="shared" si="80"/>
        <v>Administrative and secretarial occupations</v>
      </c>
      <c r="B96" s="305">
        <f t="shared" si="82"/>
        <v>13.342615228150416</v>
      </c>
      <c r="C96" s="305">
        <f t="shared" si="83"/>
        <v>12.886645077289629</v>
      </c>
      <c r="D96" s="305">
        <f t="shared" si="84"/>
        <v>9.4941324453997176</v>
      </c>
      <c r="E96" s="305"/>
      <c r="F96" s="304">
        <v>8.8375675220317862E-2</v>
      </c>
      <c r="G96" s="304">
        <v>0.11848249357871179</v>
      </c>
      <c r="H96" s="304">
        <v>0.17195519445554083</v>
      </c>
      <c r="I96" s="304"/>
      <c r="J96" s="304">
        <v>0.99740613465266303</v>
      </c>
      <c r="K96" s="304">
        <v>1.214423697486384</v>
      </c>
      <c r="L96" s="304">
        <v>1.0566002966903971</v>
      </c>
      <c r="M96" s="304"/>
      <c r="N96" s="304">
        <v>2.5250952761351053</v>
      </c>
      <c r="O96" s="304">
        <v>2.8018246797010362</v>
      </c>
      <c r="P96" s="304">
        <v>3.0897230308189458</v>
      </c>
      <c r="Q96" s="304"/>
      <c r="R96" s="304">
        <v>1.5019198882357392</v>
      </c>
      <c r="S96" s="304">
        <v>1.6320711303229847</v>
      </c>
      <c r="T96" s="304">
        <v>1.7916405499500057</v>
      </c>
      <c r="U96" s="304"/>
      <c r="V96" s="304">
        <v>0.9455056930411766</v>
      </c>
      <c r="W96" s="304">
        <v>0.94935387581901232</v>
      </c>
      <c r="X96" s="304">
        <v>0.95837035630627476</v>
      </c>
      <c r="Y96" s="304"/>
      <c r="Z96" s="304">
        <v>2.8656297790822354</v>
      </c>
      <c r="AA96" s="304">
        <v>2.8936476468238141</v>
      </c>
      <c r="AB96" s="304">
        <v>1.64509540051925</v>
      </c>
      <c r="AC96" s="304"/>
      <c r="AD96" s="304">
        <v>2.7068385447367276</v>
      </c>
      <c r="AE96" s="304">
        <v>2.2239298402228074</v>
      </c>
      <c r="AF96" s="304">
        <v>0.66703540502500891</v>
      </c>
      <c r="AG96" s="304"/>
      <c r="AH96" s="304">
        <v>1.429865045150446</v>
      </c>
      <c r="AI96" s="304">
        <v>0.90905786163313651</v>
      </c>
      <c r="AJ96" s="304">
        <v>9.3574486943783244E-2</v>
      </c>
      <c r="AK96" s="304"/>
      <c r="AL96" s="304">
        <v>0.2819791918960044</v>
      </c>
      <c r="AM96" s="304">
        <v>0.14385385170174236</v>
      </c>
      <c r="AN96" s="304">
        <v>2.0137724690510981E-2</v>
      </c>
    </row>
    <row r="97" spans="1:40" x14ac:dyDescent="0.25">
      <c r="A97" s="13" t="str">
        <f t="shared" si="80"/>
        <v>Skilled trades occupations</v>
      </c>
      <c r="B97" s="305">
        <f t="shared" si="82"/>
        <v>1.6489008636936555</v>
      </c>
      <c r="C97" s="305">
        <f t="shared" si="83"/>
        <v>1.5798936447771865</v>
      </c>
      <c r="D97" s="305">
        <f t="shared" si="84"/>
        <v>1.3611155619927866</v>
      </c>
      <c r="E97" s="304"/>
      <c r="F97" s="304">
        <v>1.3774953522858265E-2</v>
      </c>
      <c r="G97" s="304">
        <v>1.6989894631730302E-2</v>
      </c>
      <c r="H97" s="304">
        <v>1.6626431726968864E-2</v>
      </c>
      <c r="I97" s="304"/>
      <c r="J97" s="304">
        <v>3.7319774053924823E-2</v>
      </c>
      <c r="K97" s="304">
        <v>5.0722012288559673E-2</v>
      </c>
      <c r="L97" s="304">
        <v>6.0903185639310693E-2</v>
      </c>
      <c r="M97" s="304"/>
      <c r="N97" s="304">
        <v>0.17628642318130072</v>
      </c>
      <c r="O97" s="304">
        <v>0.22836430519008233</v>
      </c>
      <c r="P97" s="304">
        <v>0.29878734039438692</v>
      </c>
      <c r="Q97" s="304"/>
      <c r="R97" s="304">
        <v>7.4354271543250014E-2</v>
      </c>
      <c r="S97" s="304">
        <v>7.6201569586860363E-2</v>
      </c>
      <c r="T97" s="304">
        <v>8.2754150309499702E-2</v>
      </c>
      <c r="U97" s="304"/>
      <c r="V97" s="304">
        <v>5.659450224574334E-2</v>
      </c>
      <c r="W97" s="304">
        <v>5.5857945489114914E-2</v>
      </c>
      <c r="X97" s="304">
        <v>6.2357225670755016E-2</v>
      </c>
      <c r="Y97" s="304"/>
      <c r="Z97" s="304">
        <v>0.37739652746128427</v>
      </c>
      <c r="AA97" s="304">
        <v>0.34021752755777523</v>
      </c>
      <c r="AB97" s="304">
        <v>0.28710231403048797</v>
      </c>
      <c r="AC97" s="304"/>
      <c r="AD97" s="304">
        <v>0.51783209425367438</v>
      </c>
      <c r="AE97" s="304">
        <v>0.48372891876339075</v>
      </c>
      <c r="AF97" s="304">
        <v>0.28670002435167619</v>
      </c>
      <c r="AG97" s="304"/>
      <c r="AH97" s="304">
        <v>0.30269621136082553</v>
      </c>
      <c r="AI97" s="304">
        <v>0.26663935071454659</v>
      </c>
      <c r="AJ97" s="304">
        <v>0.23333673005816899</v>
      </c>
      <c r="AK97" s="304"/>
      <c r="AL97" s="304">
        <v>9.2646106070793849E-2</v>
      </c>
      <c r="AM97" s="304">
        <v>6.1172120555126441E-2</v>
      </c>
      <c r="AN97" s="304">
        <v>3.2548159811532175E-2</v>
      </c>
    </row>
    <row r="98" spans="1:40" x14ac:dyDescent="0.25">
      <c r="A98" s="13" t="str">
        <f t="shared" si="80"/>
        <v>Caring, leisure and other service occupations</v>
      </c>
      <c r="B98" s="305">
        <f t="shared" si="82"/>
        <v>36.212854428398991</v>
      </c>
      <c r="C98" s="305">
        <f t="shared" si="83"/>
        <v>37.491933289364084</v>
      </c>
      <c r="D98" s="305">
        <f t="shared" si="84"/>
        <v>40.415576052231174</v>
      </c>
      <c r="E98" s="304"/>
      <c r="F98" s="304">
        <v>2.1582606497569733E-2</v>
      </c>
      <c r="G98" s="304">
        <v>2.9690175972360001E-2</v>
      </c>
      <c r="H98" s="304">
        <v>5.2046099299938628E-2</v>
      </c>
      <c r="I98" s="304"/>
      <c r="J98" s="304">
        <v>1.3972111620617091</v>
      </c>
      <c r="K98" s="304">
        <v>1.9989535111628287</v>
      </c>
      <c r="L98" s="304">
        <v>3.8191483401299564</v>
      </c>
      <c r="M98" s="304"/>
      <c r="N98" s="304">
        <v>4.4089520392190842</v>
      </c>
      <c r="O98" s="304">
        <v>5.1141929694316257</v>
      </c>
      <c r="P98" s="304">
        <v>6.7381907958058989</v>
      </c>
      <c r="Q98" s="304"/>
      <c r="R98" s="304">
        <v>3.6545079501350743</v>
      </c>
      <c r="S98" s="304">
        <v>3.3905460915263217</v>
      </c>
      <c r="T98" s="304">
        <v>3.6446235050728411</v>
      </c>
      <c r="U98" s="304"/>
      <c r="V98" s="304">
        <v>2.2025267828193371</v>
      </c>
      <c r="W98" s="304">
        <v>2.1532796598347765</v>
      </c>
      <c r="X98" s="304">
        <v>2.4695978199752213</v>
      </c>
      <c r="Y98" s="304"/>
      <c r="Z98" s="304">
        <v>13.823227677879121</v>
      </c>
      <c r="AA98" s="304">
        <v>14.630063685915824</v>
      </c>
      <c r="AB98" s="304">
        <v>15.679608200870545</v>
      </c>
      <c r="AC98" s="304"/>
      <c r="AD98" s="304">
        <v>9.4490972312708266</v>
      </c>
      <c r="AE98" s="304">
        <v>9.4807438325757953</v>
      </c>
      <c r="AF98" s="304">
        <v>7.6247742193847463</v>
      </c>
      <c r="AG98" s="304"/>
      <c r="AH98" s="304">
        <v>1.0189153863151912</v>
      </c>
      <c r="AI98" s="304">
        <v>0.54455341569367488</v>
      </c>
      <c r="AJ98" s="304">
        <v>0.31328643355621599</v>
      </c>
      <c r="AK98" s="304"/>
      <c r="AL98" s="304">
        <v>0.2368335922010826</v>
      </c>
      <c r="AM98" s="304">
        <v>0.14990994725087667</v>
      </c>
      <c r="AN98" s="304">
        <v>7.4300638135810282E-2</v>
      </c>
    </row>
    <row r="99" spans="1:40" x14ac:dyDescent="0.25">
      <c r="A99" s="13" t="str">
        <f t="shared" si="80"/>
        <v>Sales and customer service occupations</v>
      </c>
      <c r="B99" s="305">
        <f t="shared" si="82"/>
        <v>1.532500798758023</v>
      </c>
      <c r="C99" s="305">
        <f t="shared" si="83"/>
        <v>1.6651541371323886</v>
      </c>
      <c r="D99" s="305">
        <f>SUM(H99,L99,P99,T99,X99,AB99,AF99,AJ99,AN99)</f>
        <v>1.6892344680277074</v>
      </c>
      <c r="E99" s="304"/>
      <c r="F99" s="304">
        <v>8.1704741335544683E-3</v>
      </c>
      <c r="G99" s="304">
        <v>1.1835068065081734E-2</v>
      </c>
      <c r="H99" s="304">
        <v>1.6886957499996795E-2</v>
      </c>
      <c r="I99" s="304"/>
      <c r="J99" s="304">
        <v>0.16027892926963655</v>
      </c>
      <c r="K99" s="304">
        <v>0.207494094922127</v>
      </c>
      <c r="L99" s="304">
        <v>0.26082107262276094</v>
      </c>
      <c r="M99" s="304"/>
      <c r="N99" s="304">
        <v>0.36078075355153172</v>
      </c>
      <c r="O99" s="304">
        <v>0.4073001579042026</v>
      </c>
      <c r="P99" s="304">
        <v>0.46972235890041292</v>
      </c>
      <c r="Q99" s="304"/>
      <c r="R99" s="304">
        <v>0.19848914572955723</v>
      </c>
      <c r="S99" s="304">
        <v>0.18109291320184367</v>
      </c>
      <c r="T99" s="304">
        <v>0.18512138278845278</v>
      </c>
      <c r="U99" s="304"/>
      <c r="V99" s="304">
        <v>0.12272532974193072</v>
      </c>
      <c r="W99" s="304">
        <v>0.13915563286066585</v>
      </c>
      <c r="X99" s="304">
        <v>0.15846605495093974</v>
      </c>
      <c r="Y99" s="304"/>
      <c r="Z99" s="304">
        <v>0.30150577645588822</v>
      </c>
      <c r="AA99" s="304">
        <v>0.32968125964130451</v>
      </c>
      <c r="AB99" s="304">
        <v>0.32141504617511946</v>
      </c>
      <c r="AC99" s="304"/>
      <c r="AD99" s="304">
        <v>0.25127823169742119</v>
      </c>
      <c r="AE99" s="304">
        <v>0.26712489369676473</v>
      </c>
      <c r="AF99" s="304">
        <v>0.1838782580878239</v>
      </c>
      <c r="AG99" s="304"/>
      <c r="AH99" s="304">
        <v>7.9111176092035773E-2</v>
      </c>
      <c r="AI99" s="304">
        <v>7.3643857325748865E-2</v>
      </c>
      <c r="AJ99" s="304">
        <v>4.088008444654035E-2</v>
      </c>
      <c r="AK99" s="304"/>
      <c r="AL99" s="304">
        <v>5.0160982086467243E-2</v>
      </c>
      <c r="AM99" s="304">
        <v>4.7826259514649541E-2</v>
      </c>
      <c r="AN99" s="304">
        <v>5.2043252555660301E-2</v>
      </c>
    </row>
    <row r="100" spans="1:40" x14ac:dyDescent="0.25">
      <c r="A100" s="13" t="str">
        <f t="shared" si="80"/>
        <v>Process, plant and machine operatives</v>
      </c>
      <c r="B100" s="305">
        <f t="shared" si="82"/>
        <v>1.3675197828572854</v>
      </c>
      <c r="C100" s="305">
        <f t="shared" si="83"/>
        <v>1.4567831158613098</v>
      </c>
      <c r="D100" s="305">
        <f t="shared" si="84"/>
        <v>1.4005598929876544</v>
      </c>
      <c r="E100" s="304"/>
      <c r="F100" s="304">
        <v>8.8115180528432046E-3</v>
      </c>
      <c r="G100" s="304">
        <v>1.3046386840296756E-2</v>
      </c>
      <c r="H100" s="304">
        <v>1.8209308225429679E-2</v>
      </c>
      <c r="I100" s="304"/>
      <c r="J100" s="304">
        <v>2.8560546269939317E-2</v>
      </c>
      <c r="K100" s="304">
        <v>4.9257937244949174E-2</v>
      </c>
      <c r="L100" s="304">
        <v>8.6688544180584887E-2</v>
      </c>
      <c r="M100" s="304"/>
      <c r="N100" s="304">
        <v>9.1544077875492263E-2</v>
      </c>
      <c r="O100" s="304">
        <v>0.12692368388870287</v>
      </c>
      <c r="P100" s="304">
        <v>0.18180063555740855</v>
      </c>
      <c r="Q100" s="304"/>
      <c r="R100" s="304">
        <v>4.1253457642248248E-2</v>
      </c>
      <c r="S100" s="304">
        <v>5.449932204081992E-2</v>
      </c>
      <c r="T100" s="304">
        <v>6.670999920530632E-2</v>
      </c>
      <c r="U100" s="304"/>
      <c r="V100" s="304">
        <v>0.11333725059984937</v>
      </c>
      <c r="W100" s="304">
        <v>0.13001478390152987</v>
      </c>
      <c r="X100" s="304">
        <v>0.1582885427712262</v>
      </c>
      <c r="Y100" s="304"/>
      <c r="Z100" s="304">
        <v>0.38309769400204086</v>
      </c>
      <c r="AA100" s="304">
        <v>0.43755907540453204</v>
      </c>
      <c r="AB100" s="304">
        <v>0.46663674152205592</v>
      </c>
      <c r="AC100" s="304"/>
      <c r="AD100" s="304">
        <v>0.28121716781267608</v>
      </c>
      <c r="AE100" s="304">
        <v>0.30147505145219422</v>
      </c>
      <c r="AF100" s="304">
        <v>0.20596924341281408</v>
      </c>
      <c r="AG100" s="304"/>
      <c r="AH100" s="304">
        <v>0.29465532085095564</v>
      </c>
      <c r="AI100" s="304">
        <v>0.25923410335045721</v>
      </c>
      <c r="AJ100" s="304">
        <v>0.14966693168393039</v>
      </c>
      <c r="AK100" s="304"/>
      <c r="AL100" s="304">
        <v>0.12504274975124027</v>
      </c>
      <c r="AM100" s="304">
        <v>8.4772771737827782E-2</v>
      </c>
      <c r="AN100" s="304">
        <v>6.6589946428898261E-2</v>
      </c>
    </row>
    <row r="101" spans="1:40" x14ac:dyDescent="0.25">
      <c r="A101" s="39" t="str">
        <f t="shared" si="80"/>
        <v>Elementary occupations</v>
      </c>
      <c r="B101" s="307">
        <f t="shared" si="82"/>
        <v>3.6444729553852162</v>
      </c>
      <c r="C101" s="307">
        <f t="shared" si="83"/>
        <v>2.4835484753117392</v>
      </c>
      <c r="D101" s="307">
        <f t="shared" si="84"/>
        <v>1.6134872062377612</v>
      </c>
      <c r="E101" s="307"/>
      <c r="F101" s="307">
        <v>1.5516441754216237E-3</v>
      </c>
      <c r="G101" s="307">
        <v>1.7847947375654316E-3</v>
      </c>
      <c r="H101" s="307">
        <v>1.8430309531261538E-3</v>
      </c>
      <c r="I101" s="307"/>
      <c r="J101" s="307">
        <v>4.7407353395946712E-2</v>
      </c>
      <c r="K101" s="307">
        <v>3.7189503618849415E-2</v>
      </c>
      <c r="L101" s="307">
        <v>2.3063335151409525E-2</v>
      </c>
      <c r="M101" s="307"/>
      <c r="N101" s="307">
        <v>0.16389140757065762</v>
      </c>
      <c r="O101" s="307">
        <v>0.18495258652972674</v>
      </c>
      <c r="P101" s="307">
        <v>0.26340830317285241</v>
      </c>
      <c r="Q101" s="307"/>
      <c r="R101" s="307">
        <v>0.14034492826472961</v>
      </c>
      <c r="S101" s="307">
        <v>0.14373389733006234</v>
      </c>
      <c r="T101" s="307">
        <v>0.16817499008637268</v>
      </c>
      <c r="U101" s="307"/>
      <c r="V101" s="307">
        <v>0.10212163083505771</v>
      </c>
      <c r="W101" s="307">
        <v>0.11392212606713731</v>
      </c>
      <c r="X101" s="307">
        <v>0.14535666135229153</v>
      </c>
      <c r="Y101" s="307"/>
      <c r="Z101" s="307">
        <v>0.67371862114825753</v>
      </c>
      <c r="AA101" s="307">
        <v>0.48150697412660376</v>
      </c>
      <c r="AB101" s="307">
        <v>0.27620069524825691</v>
      </c>
      <c r="AC101" s="307"/>
      <c r="AD101" s="307">
        <v>1.2192192896540066</v>
      </c>
      <c r="AE101" s="307">
        <v>0.88626660005809876</v>
      </c>
      <c r="AF101" s="307">
        <v>0.48743302274697853</v>
      </c>
      <c r="AG101" s="307"/>
      <c r="AH101" s="307">
        <v>0.83446551880494213</v>
      </c>
      <c r="AI101" s="307">
        <v>0.4298401381914998</v>
      </c>
      <c r="AJ101" s="307">
        <v>0.10306404312342105</v>
      </c>
      <c r="AK101" s="307"/>
      <c r="AL101" s="307">
        <v>0.46175256153619643</v>
      </c>
      <c r="AM101" s="307">
        <v>0.2043518546521956</v>
      </c>
      <c r="AN101" s="307">
        <v>0.14494312440305226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82" t="str">
        <f>CONCATENATE("Basic Table 2  Employment Change by Occupation and Replacement Demand, ",name!F4,", ",B$6,"-",F$6,", ",Info!B5)</f>
        <v>Basic Table 2  Employment Change by Occupation and Replacement Demand, RQF8 Doctorate, 2015-2035, Black Country</v>
      </c>
      <c r="B1" s="382"/>
      <c r="C1" s="382"/>
      <c r="D1" s="382"/>
      <c r="E1" s="382"/>
      <c r="F1" s="382"/>
      <c r="G1" s="382"/>
      <c r="H1" s="382"/>
      <c r="I1" s="382"/>
      <c r="J1" s="382"/>
      <c r="L1" s="382" t="str">
        <f>CONCATENATE("Basic Table 2.1  Employment Change by Occupation and Replacement Demand, ",name!F5,", ",M$6,"-",Q$6,", ",Info!B5)</f>
        <v>Basic Table 2.1  Employment Change by Occupation and Replacement Demand, RQF7 Other higher degree, 2015-2035, Black Country</v>
      </c>
      <c r="M1" s="382"/>
      <c r="N1" s="382"/>
      <c r="O1" s="382"/>
      <c r="P1" s="382"/>
      <c r="Q1" s="382"/>
      <c r="R1" s="382"/>
      <c r="S1" s="382"/>
      <c r="T1" s="382"/>
      <c r="U1" s="382"/>
      <c r="W1" s="382" t="str">
        <f>CONCATENATE("Basic Table 2.2  Employment Change by Occupation and Replacement Demand, ",name!F6,", ",X$6,"-",AB$6,", ",Info!B5)</f>
        <v>Basic Table 2.2  Employment Change by Occupation and Replacement Demand, RQF6 First degree, 2015-2035, Black Country</v>
      </c>
      <c r="X1" s="382"/>
      <c r="Y1" s="382"/>
      <c r="Z1" s="382"/>
      <c r="AA1" s="382"/>
      <c r="AB1" s="382"/>
      <c r="AC1" s="382"/>
      <c r="AD1" s="382"/>
      <c r="AE1" s="382"/>
      <c r="AF1" s="382"/>
      <c r="AH1" s="382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Black Country</v>
      </c>
      <c r="AI1" s="382"/>
      <c r="AJ1" s="382"/>
      <c r="AK1" s="382"/>
      <c r="AL1" s="382"/>
      <c r="AM1" s="382"/>
      <c r="AN1" s="382"/>
      <c r="AO1" s="382"/>
      <c r="AP1" s="382"/>
      <c r="AQ1" s="382"/>
      <c r="AS1" s="382" t="str">
        <f>CONCATENATE("Basic Table 2.4  Employment Change by Occupation and Replacement Demand, ",name!F8,", ",AT$6,"-",AX$6,", ",Info!B5)</f>
        <v>Basic Table 2.4  Employment Change by Occupation and Replacement Demand, RQF4 HE below degree level, 2015-2035, Black Country</v>
      </c>
      <c r="AT1" s="382"/>
      <c r="AU1" s="382"/>
      <c r="AV1" s="382"/>
      <c r="AW1" s="382"/>
      <c r="AX1" s="382"/>
      <c r="AY1" s="382"/>
      <c r="AZ1" s="382"/>
      <c r="BA1" s="382"/>
      <c r="BB1" s="382"/>
      <c r="BD1" s="382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Black Country</v>
      </c>
      <c r="BE1" s="382"/>
      <c r="BF1" s="382"/>
      <c r="BG1" s="382"/>
      <c r="BH1" s="382"/>
      <c r="BI1" s="382"/>
      <c r="BJ1" s="382"/>
      <c r="BK1" s="382"/>
      <c r="BL1" s="382"/>
      <c r="BM1" s="382"/>
      <c r="BO1" s="382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Black Country</v>
      </c>
      <c r="BP1" s="382"/>
      <c r="BQ1" s="382"/>
      <c r="BR1" s="382"/>
      <c r="BS1" s="382"/>
      <c r="BT1" s="382"/>
      <c r="BU1" s="382"/>
      <c r="BV1" s="382"/>
      <c r="BW1" s="382"/>
      <c r="BX1" s="382"/>
      <c r="BZ1" s="382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Black Country</v>
      </c>
      <c r="CA1" s="382"/>
      <c r="CB1" s="382"/>
      <c r="CC1" s="382"/>
      <c r="CD1" s="382"/>
      <c r="CE1" s="382"/>
      <c r="CF1" s="382"/>
      <c r="CG1" s="382"/>
      <c r="CH1" s="382"/>
      <c r="CI1" s="382"/>
      <c r="CK1" s="382" t="str">
        <f>CONCATENATE("Basic Table 2.8  Employment Change by Occupation and Replacement Demand, ",name!F12,", ",CL$6,"-",CP$6,", ",Info!B5)</f>
        <v>Basic Table 2.8  Employment Change by Occupation and Replacement Demand, No Qualification, 2015-2035, Black Country</v>
      </c>
      <c r="CL1" s="382"/>
      <c r="CM1" s="382"/>
      <c r="CN1" s="382"/>
      <c r="CO1" s="382"/>
      <c r="CP1" s="382"/>
      <c r="CQ1" s="382"/>
      <c r="CR1" s="382"/>
      <c r="CS1" s="382"/>
      <c r="CT1" s="382"/>
    </row>
    <row r="2" spans="1:98" ht="12.75" customHeight="1" x14ac:dyDescent="0.3">
      <c r="A2" s="365" t="s">
        <v>525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ht="13" x14ac:dyDescent="0.3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5">
      <c r="A8" s="10" t="str">
        <f>name!D4</f>
        <v>11 Corporate managers and directors</v>
      </c>
      <c r="B8" s="69">
        <v>0.32952629992394905</v>
      </c>
      <c r="C8" s="69">
        <v>0.43510609943742701</v>
      </c>
      <c r="D8" s="69">
        <v>0.40248138315331627</v>
      </c>
      <c r="E8" s="69">
        <v>0.46927451532956344</v>
      </c>
      <c r="F8" s="69">
        <v>0.72566654154476073</v>
      </c>
      <c r="G8" s="10"/>
      <c r="H8" s="69">
        <f>F8-D8</f>
        <v>0.32318515839144446</v>
      </c>
      <c r="I8" s="69">
        <f>'RD T1'!E36</f>
        <v>0.27787918007691015</v>
      </c>
      <c r="J8" s="69">
        <f>SUM(H8:I8)</f>
        <v>0.60106433846835461</v>
      </c>
      <c r="L8" t="str">
        <f>A8</f>
        <v>11 Corporate managers and directors</v>
      </c>
      <c r="M8" s="69">
        <v>2.6603163445567062</v>
      </c>
      <c r="N8" s="69">
        <v>3.9405446932787176</v>
      </c>
      <c r="O8" s="69">
        <v>3.8038285278720316</v>
      </c>
      <c r="P8" s="69">
        <v>4.2917913376840016</v>
      </c>
      <c r="Q8" s="69">
        <v>6.3959460319249226</v>
      </c>
      <c r="R8" s="10"/>
      <c r="S8" s="69">
        <f>Q8-O8</f>
        <v>2.592117504052891</v>
      </c>
      <c r="T8" s="69">
        <f>'RD T1'!E65</f>
        <v>2.5219523718987791</v>
      </c>
      <c r="U8" s="69">
        <f>SUM(S8:T8)</f>
        <v>5.1140698759516701</v>
      </c>
      <c r="W8" t="str">
        <f>A8</f>
        <v>11 Corporate managers and directors</v>
      </c>
      <c r="X8" s="69">
        <v>8.0053953834364879</v>
      </c>
      <c r="Y8" s="69">
        <v>8.444445686978348</v>
      </c>
      <c r="Z8" s="69">
        <v>9.0860895159996602</v>
      </c>
      <c r="AA8" s="69">
        <v>8.4405811700246609</v>
      </c>
      <c r="AB8" s="69">
        <v>9.5835726234253187</v>
      </c>
      <c r="AC8" s="69"/>
      <c r="AD8" s="69">
        <f>AB8-Z8</f>
        <v>0.49748310742565849</v>
      </c>
      <c r="AE8" s="69">
        <f>'RD T1'!E94</f>
        <v>5.1696196509464221</v>
      </c>
      <c r="AF8" s="69">
        <f>SUM(AD8:AE8)</f>
        <v>5.6671027583720806</v>
      </c>
      <c r="AH8" t="str">
        <f>L8</f>
        <v>11 Corporate managers and directors</v>
      </c>
      <c r="AI8" s="69">
        <v>1.6119410646429821</v>
      </c>
      <c r="AJ8" s="69">
        <v>1.7216431146204501</v>
      </c>
      <c r="AK8" s="69">
        <v>1.9094439541107</v>
      </c>
      <c r="AL8" s="69">
        <v>1.6990859539036449</v>
      </c>
      <c r="AM8" s="69">
        <v>1.8574307593287285</v>
      </c>
      <c r="AN8" s="69"/>
      <c r="AO8" s="69">
        <f>AM8-AK8</f>
        <v>-5.2013194781971528E-2</v>
      </c>
      <c r="AP8" s="69">
        <f>'RD T1'!E123</f>
        <v>0.94987487233303081</v>
      </c>
      <c r="AQ8" s="69">
        <f>SUM(AO8:AP8)</f>
        <v>0.89786167755105928</v>
      </c>
      <c r="AS8" t="str">
        <f>W8</f>
        <v>11 Corporate managers and directors</v>
      </c>
      <c r="AT8" s="69">
        <v>2.5052896304501844</v>
      </c>
      <c r="AU8" s="69">
        <v>2.4979953086488114</v>
      </c>
      <c r="AV8" s="69">
        <v>2.6572479443795842</v>
      </c>
      <c r="AW8" s="69">
        <v>2.2710891294293147</v>
      </c>
      <c r="AX8" s="69">
        <v>2.4109149599121791</v>
      </c>
      <c r="AY8" s="69"/>
      <c r="AZ8" s="69">
        <f>AX8-AV8</f>
        <v>-0.24633298446740515</v>
      </c>
      <c r="BA8" s="69">
        <f>'RD T1'!E152</f>
        <v>1.2574346204155671</v>
      </c>
      <c r="BB8" s="69">
        <f>SUM(AZ8:BA8)</f>
        <v>1.0111016359481619</v>
      </c>
      <c r="BD8" t="str">
        <f>AH8</f>
        <v>11 Corporate managers and directors</v>
      </c>
      <c r="BE8" s="69">
        <v>5.3003854030503783</v>
      </c>
      <c r="BF8" s="69">
        <v>6.4420865934037481</v>
      </c>
      <c r="BG8" s="69">
        <v>6.6115979009734014</v>
      </c>
      <c r="BH8" s="69">
        <v>5.8982561065238377</v>
      </c>
      <c r="BI8" s="69">
        <v>6.3573571749324245</v>
      </c>
      <c r="BJ8" s="69"/>
      <c r="BK8" s="69">
        <f>BI8-BG8</f>
        <v>-0.25424072604097692</v>
      </c>
      <c r="BL8" s="69">
        <f>'RD T1'!E181</f>
        <v>2.7226179474130774</v>
      </c>
      <c r="BM8" s="69">
        <f>SUM(BK8:BL8)</f>
        <v>2.4683772213721005</v>
      </c>
      <c r="BO8" t="str">
        <f>AS8</f>
        <v>11 Corporate managers and directors</v>
      </c>
      <c r="BP8" s="69">
        <v>4.8570519320931078</v>
      </c>
      <c r="BQ8" s="69">
        <v>5.443444220051993</v>
      </c>
      <c r="BR8" s="69">
        <v>5.086022668189452</v>
      </c>
      <c r="BS8" s="69">
        <v>4.4470267877352407</v>
      </c>
      <c r="BT8" s="69">
        <v>3.8961023255819129</v>
      </c>
      <c r="BU8" s="69"/>
      <c r="BV8" s="69">
        <f>BT8-BR8</f>
        <v>-1.1899203426075391</v>
      </c>
      <c r="BW8" s="69">
        <f>'RD T1'!E210</f>
        <v>2.1026754299904944</v>
      </c>
      <c r="BX8" s="69">
        <f>SUM(BV8:BW8)</f>
        <v>0.9127550873829553</v>
      </c>
      <c r="BZ8" t="str">
        <f>BD8</f>
        <v>11 Corporate managers and directors</v>
      </c>
      <c r="CA8" s="69">
        <v>3.565259753171528</v>
      </c>
      <c r="CB8" s="69">
        <v>3.6786653561979481</v>
      </c>
      <c r="CC8" s="69">
        <v>3.8267385849460345</v>
      </c>
      <c r="CD8" s="69">
        <v>2.9077719089183414</v>
      </c>
      <c r="CE8" s="69">
        <v>2.0777259126382361</v>
      </c>
      <c r="CF8" s="69"/>
      <c r="CG8" s="69">
        <f>CE8-CC8</f>
        <v>-1.7490126723077983</v>
      </c>
      <c r="CH8" s="69">
        <f>'RD T1'!E239</f>
        <v>1.2238474971931859</v>
      </c>
      <c r="CI8" s="69">
        <f>SUM(CG8:CH8)</f>
        <v>-0.52516517511461247</v>
      </c>
      <c r="CK8" t="str">
        <f>BO8</f>
        <v>11 Corporate managers and directors</v>
      </c>
      <c r="CL8" s="69">
        <v>1.0456199895560978</v>
      </c>
      <c r="CM8" s="69">
        <v>1.0668500770303138</v>
      </c>
      <c r="CN8" s="69">
        <v>1.1738990392941775</v>
      </c>
      <c r="CO8" s="69">
        <v>0.74735386175788998</v>
      </c>
      <c r="CP8" s="69">
        <v>0.62025634705124544</v>
      </c>
      <c r="CQ8" s="69"/>
      <c r="CR8" s="69">
        <f>CP8-CN8</f>
        <v>-0.55364269224293206</v>
      </c>
      <c r="CS8" s="69">
        <f>'RD T1'!E268</f>
        <v>0.26406488953692731</v>
      </c>
      <c r="CT8" s="69">
        <f>SUM(CR8:CS8)</f>
        <v>-0.28957780270600475</v>
      </c>
    </row>
    <row r="9" spans="1:98" x14ac:dyDescent="0.25">
      <c r="A9" s="10" t="str">
        <f>name!D5</f>
        <v>12 Other managers and proprietors</v>
      </c>
      <c r="B9" s="69">
        <v>0.11090071235374135</v>
      </c>
      <c r="C9" s="69">
        <v>0.14643252306643267</v>
      </c>
      <c r="D9" s="69">
        <v>0.13066544136148342</v>
      </c>
      <c r="E9" s="69">
        <v>0.17657140471776822</v>
      </c>
      <c r="F9" s="69">
        <v>0.29701842172908133</v>
      </c>
      <c r="H9" s="69">
        <f t="shared" ref="H9:H32" si="26">F9-D9</f>
        <v>0.16635298036759791</v>
      </c>
      <c r="I9" s="69">
        <f>'RD T1'!E37</f>
        <v>0.12582060951872073</v>
      </c>
      <c r="J9" s="69">
        <f t="shared" ref="J9:J32" si="27">SUM(H9:I9)</f>
        <v>0.29217358988631864</v>
      </c>
      <c r="L9" t="str">
        <f t="shared" ref="L9:L32" si="28">A9</f>
        <v>12 Other managers and proprietors</v>
      </c>
      <c r="M9" s="69">
        <v>0.95023764238651298</v>
      </c>
      <c r="N9" s="69">
        <v>1.2821517033710415</v>
      </c>
      <c r="O9" s="69">
        <v>1.3074081049131188</v>
      </c>
      <c r="P9" s="69">
        <v>1.6796081767308624</v>
      </c>
      <c r="Q9" s="69">
        <v>2.7865399387226071</v>
      </c>
      <c r="S9" s="69">
        <f t="shared" ref="S9:S35" si="29">Q9-O9</f>
        <v>1.4791318338094883</v>
      </c>
      <c r="T9" s="69">
        <f>'RD T1'!E66</f>
        <v>1.1578210284877681</v>
      </c>
      <c r="U9" s="69">
        <f t="shared" ref="U9:U32" si="30">SUM(S9:T9)</f>
        <v>2.6369528622972567</v>
      </c>
      <c r="W9" t="str">
        <f t="shared" ref="W9:W32" si="31">A9</f>
        <v>12 Other managers and proprietors</v>
      </c>
      <c r="X9" s="69">
        <v>2.5632033798567835</v>
      </c>
      <c r="Y9" s="69">
        <v>2.4818139210139685</v>
      </c>
      <c r="Z9" s="69">
        <v>2.848200738809759</v>
      </c>
      <c r="AA9" s="69">
        <v>3.052429182291621</v>
      </c>
      <c r="AB9" s="69">
        <v>3.7279925828699461</v>
      </c>
      <c r="AC9" s="69"/>
      <c r="AD9" s="69">
        <f t="shared" ref="AD9:AD32" si="32">AB9-Z9</f>
        <v>0.87979184406018707</v>
      </c>
      <c r="AE9" s="69">
        <f>'RD T1'!E95</f>
        <v>2.1587161270679656</v>
      </c>
      <c r="AF9" s="69">
        <f t="shared" ref="AF9:AF32" si="33">SUM(AD9:AE9)</f>
        <v>3.0385079711281526</v>
      </c>
      <c r="AH9" t="str">
        <f t="shared" ref="AH9:AH32" si="34">L9</f>
        <v>12 Other managers and proprietors</v>
      </c>
      <c r="AI9" s="69">
        <v>0.74066317121287706</v>
      </c>
      <c r="AJ9" s="69">
        <v>0.7192802744769583</v>
      </c>
      <c r="AK9" s="69">
        <v>0.85331775459581505</v>
      </c>
      <c r="AL9" s="69">
        <v>0.83764078993565039</v>
      </c>
      <c r="AM9" s="69">
        <v>1.0168574588571169</v>
      </c>
      <c r="AN9" s="69"/>
      <c r="AO9" s="69">
        <f t="shared" ref="AO9:AO32" si="35">AM9-AK9</f>
        <v>0.16353970426130182</v>
      </c>
      <c r="AP9" s="69">
        <f>'RD T1'!E124</f>
        <v>0.58385732480830577</v>
      </c>
      <c r="AQ9" s="69">
        <f t="shared" ref="AQ9:AQ32" si="36">SUM(AO9:AP9)</f>
        <v>0.74739702906960759</v>
      </c>
      <c r="AS9" t="str">
        <f t="shared" ref="AS9:AS32" si="37">W9</f>
        <v>12 Other managers and proprietors</v>
      </c>
      <c r="AT9" s="69">
        <v>0.87633517457121812</v>
      </c>
      <c r="AU9" s="69">
        <v>0.8288831778350858</v>
      </c>
      <c r="AV9" s="69">
        <v>0.94037846112169443</v>
      </c>
      <c r="AW9" s="69">
        <v>0.99703080131613653</v>
      </c>
      <c r="AX9" s="69">
        <v>1.1648520226712309</v>
      </c>
      <c r="AY9" s="69"/>
      <c r="AZ9" s="69">
        <f t="shared" ref="AZ9:AZ32" si="38">AX9-AV9</f>
        <v>0.22447356154953646</v>
      </c>
      <c r="BA9" s="69">
        <f>'RD T1'!E153</f>
        <v>0.63606430956603832</v>
      </c>
      <c r="BB9" s="69">
        <f t="shared" ref="BB9:BB32" si="39">SUM(AZ9:BA9)</f>
        <v>0.86053787111557478</v>
      </c>
      <c r="BD9" t="str">
        <f t="shared" ref="BD9:BD32" si="40">AH9</f>
        <v>12 Other managers and proprietors</v>
      </c>
      <c r="BE9" s="69">
        <v>2.2466478544764241</v>
      </c>
      <c r="BF9" s="69">
        <v>2.3208351129364355</v>
      </c>
      <c r="BG9" s="69">
        <v>2.2907918513365759</v>
      </c>
      <c r="BH9" s="69">
        <v>2.3104202390834989</v>
      </c>
      <c r="BI9" s="69">
        <v>2.4476089278189153</v>
      </c>
      <c r="BJ9" s="69"/>
      <c r="BK9" s="69">
        <f t="shared" ref="BK9:BK32" si="41">BI9-BG9</f>
        <v>0.15681707648233933</v>
      </c>
      <c r="BL9" s="69">
        <f>'RD T1'!E182</f>
        <v>1.0852522504674289</v>
      </c>
      <c r="BM9" s="69">
        <f t="shared" ref="BM9:BM32" si="42">SUM(BK9:BL9)</f>
        <v>1.2420693269497682</v>
      </c>
      <c r="BO9" t="str">
        <f t="shared" ref="BO9:BO32" si="43">AS9</f>
        <v>12 Other managers and proprietors</v>
      </c>
      <c r="BP9" s="69">
        <v>2.5094494597288515</v>
      </c>
      <c r="BQ9" s="69">
        <v>2.5768022714671015</v>
      </c>
      <c r="BR9" s="69">
        <v>2.5276817401733664</v>
      </c>
      <c r="BS9" s="69">
        <v>2.6566587486519171</v>
      </c>
      <c r="BT9" s="69">
        <v>2.4985238007386519</v>
      </c>
      <c r="BU9" s="69"/>
      <c r="BV9" s="69">
        <f t="shared" ref="BV9:BV32" si="44">BT9-BR9</f>
        <v>-2.9157939434714564E-2</v>
      </c>
      <c r="BW9" s="69">
        <f>'RD T1'!E211</f>
        <v>1.4999047787227111</v>
      </c>
      <c r="BX9" s="69">
        <f t="shared" ref="BX9:BX32" si="45">SUM(BV9:BW9)</f>
        <v>1.4707468392879965</v>
      </c>
      <c r="BZ9" t="str">
        <f t="shared" ref="BZ9:BZ32" si="46">BD9</f>
        <v>12 Other managers and proprietors</v>
      </c>
      <c r="CA9" s="69">
        <v>1.6908695032650667</v>
      </c>
      <c r="CB9" s="69">
        <v>1.588154508314894</v>
      </c>
      <c r="CC9" s="69">
        <v>1.5970832855337915</v>
      </c>
      <c r="CD9" s="69">
        <v>1.4173379638640651</v>
      </c>
      <c r="CE9" s="69">
        <v>1.0066421930107869</v>
      </c>
      <c r="CF9" s="69"/>
      <c r="CG9" s="69">
        <f t="shared" ref="CG9:CG32" si="47">CE9-CC9</f>
        <v>-0.59044109252300458</v>
      </c>
      <c r="CH9" s="69">
        <f>'RD T1'!E240</f>
        <v>0.63545812200606844</v>
      </c>
      <c r="CI9" s="69">
        <f t="shared" ref="CI9:CI32" si="48">SUM(CG9:CH9)</f>
        <v>4.5017029483063853E-2</v>
      </c>
      <c r="CK9" t="str">
        <f t="shared" ref="CK9:CK32" si="49">BO9</f>
        <v>12 Other managers and proprietors</v>
      </c>
      <c r="CL9" s="69">
        <v>0.82362791726746543</v>
      </c>
      <c r="CM9" s="69">
        <v>0.73001336744757195</v>
      </c>
      <c r="CN9" s="69">
        <v>0.7474905956119029</v>
      </c>
      <c r="CO9" s="69">
        <v>0.53689617304528126</v>
      </c>
      <c r="CP9" s="69">
        <v>0.35517126377611108</v>
      </c>
      <c r="CQ9" s="69"/>
      <c r="CR9" s="69">
        <f t="shared" ref="CR9:CR32" si="50">CP9-CN9</f>
        <v>-0.39231933183579182</v>
      </c>
      <c r="CS9" s="69">
        <f>'RD T1'!E269</f>
        <v>0.18836469138738829</v>
      </c>
      <c r="CT9" s="69">
        <f t="shared" ref="CT9:CT32" si="51">SUM(CR9:CS9)</f>
        <v>-0.20395464044840353</v>
      </c>
    </row>
    <row r="10" spans="1:98" x14ac:dyDescent="0.25">
      <c r="A10" s="10" t="str">
        <f>name!D6</f>
        <v>21 Science, research, engineering and technology professionals</v>
      </c>
      <c r="B10" s="69">
        <v>1.0399451750158979</v>
      </c>
      <c r="C10" s="69">
        <v>1.3628446896094981</v>
      </c>
      <c r="D10" s="69">
        <v>1.2276512560906556</v>
      </c>
      <c r="E10" s="69">
        <v>1.7684948528482027</v>
      </c>
      <c r="F10" s="69">
        <v>2.5621667941035926</v>
      </c>
      <c r="G10" s="11"/>
      <c r="H10" s="69">
        <f t="shared" si="26"/>
        <v>1.334515538012937</v>
      </c>
      <c r="I10" s="69">
        <f>'RD T1'!E38</f>
        <v>0.71304965448868407</v>
      </c>
      <c r="J10" s="69">
        <f t="shared" si="27"/>
        <v>2.0475651925016209</v>
      </c>
      <c r="L10" t="str">
        <f t="shared" si="28"/>
        <v>21 Science, research, engineering and technology professionals</v>
      </c>
      <c r="M10" s="69">
        <v>3.5047539909738039</v>
      </c>
      <c r="N10" s="69">
        <v>4.7238752386180289</v>
      </c>
      <c r="O10" s="69">
        <v>4.4636264902997853</v>
      </c>
      <c r="P10" s="69">
        <v>6.7480817572599934</v>
      </c>
      <c r="Q10" s="69">
        <v>9.9240874227107234</v>
      </c>
      <c r="R10" s="11"/>
      <c r="S10" s="69">
        <f t="shared" si="29"/>
        <v>5.4604609324109381</v>
      </c>
      <c r="T10" s="69">
        <f>'RD T1'!E67</f>
        <v>2.8848472507252017</v>
      </c>
      <c r="U10" s="69">
        <f t="shared" si="30"/>
        <v>8.3453081831361402</v>
      </c>
      <c r="W10" t="str">
        <f t="shared" si="31"/>
        <v>21 Science, research, engineering and technology professionals</v>
      </c>
      <c r="X10" s="69">
        <v>7.9581804236608704</v>
      </c>
      <c r="Y10" s="69">
        <v>7.5621441795730631</v>
      </c>
      <c r="Z10" s="69">
        <v>8.276537217990823</v>
      </c>
      <c r="AA10" s="69">
        <v>9.6325045417269308</v>
      </c>
      <c r="AB10" s="69">
        <v>10.303929765786842</v>
      </c>
      <c r="AC10" s="69"/>
      <c r="AD10" s="69">
        <f t="shared" si="32"/>
        <v>2.0273925477960191</v>
      </c>
      <c r="AE10" s="69">
        <f>'RD T1'!E96</f>
        <v>3.852796819771847</v>
      </c>
      <c r="AF10" s="69">
        <f t="shared" si="33"/>
        <v>5.8801893675678656</v>
      </c>
      <c r="AH10" t="str">
        <f t="shared" si="34"/>
        <v>21 Science, research, engineering and technology professionals</v>
      </c>
      <c r="AI10" s="69">
        <v>0.88439478892663603</v>
      </c>
      <c r="AJ10" s="69">
        <v>0.80511886590287995</v>
      </c>
      <c r="AK10" s="69">
        <v>0.91795069522373196</v>
      </c>
      <c r="AL10" s="69">
        <v>1.0406863922797958</v>
      </c>
      <c r="AM10" s="69">
        <v>1.125634376725285</v>
      </c>
      <c r="AN10" s="69"/>
      <c r="AO10" s="69">
        <f t="shared" si="35"/>
        <v>0.20768368150155303</v>
      </c>
      <c r="AP10" s="69">
        <f>'RD T1'!E125</f>
        <v>0.40705455461583162</v>
      </c>
      <c r="AQ10" s="69">
        <f t="shared" si="36"/>
        <v>0.61473823611738465</v>
      </c>
      <c r="AS10" t="str">
        <f t="shared" si="37"/>
        <v>21 Science, research, engineering and technology professionals</v>
      </c>
      <c r="AT10" s="69">
        <v>2.538601942936479</v>
      </c>
      <c r="AU10" s="69">
        <v>2.3790033575668219</v>
      </c>
      <c r="AV10" s="69">
        <v>2.5907172598473176</v>
      </c>
      <c r="AW10" s="69">
        <v>2.7719604892288929</v>
      </c>
      <c r="AX10" s="69">
        <v>2.7657882842073427</v>
      </c>
      <c r="AY10" s="69"/>
      <c r="AZ10" s="69">
        <f t="shared" si="38"/>
        <v>0.17507102436002508</v>
      </c>
      <c r="BA10" s="69">
        <f>'RD T1'!E154</f>
        <v>0.96863590356318841</v>
      </c>
      <c r="BB10" s="69">
        <f t="shared" si="39"/>
        <v>1.1437069279232135</v>
      </c>
      <c r="BD10" t="str">
        <f t="shared" si="40"/>
        <v>21 Science, research, engineering and technology professionals</v>
      </c>
      <c r="BE10" s="69">
        <v>3.3115592108585132</v>
      </c>
      <c r="BF10" s="69">
        <v>3.8605079980293602</v>
      </c>
      <c r="BG10" s="69">
        <v>4.1254865509646281</v>
      </c>
      <c r="BH10" s="69">
        <v>4.8115774768909736</v>
      </c>
      <c r="BI10" s="69">
        <v>5.1015064905764831</v>
      </c>
      <c r="BJ10" s="69"/>
      <c r="BK10" s="69">
        <f t="shared" si="41"/>
        <v>0.97601993961185496</v>
      </c>
      <c r="BL10" s="69">
        <f>'RD T1'!E183</f>
        <v>1.4564788465396696</v>
      </c>
      <c r="BM10" s="69">
        <f t="shared" si="42"/>
        <v>2.4324987861515246</v>
      </c>
      <c r="BO10" t="str">
        <f t="shared" si="43"/>
        <v>21 Science, research, engineering and technology professionals</v>
      </c>
      <c r="BP10" s="69">
        <v>2.4923559423354007</v>
      </c>
      <c r="BQ10" s="69">
        <v>2.7989036590314607</v>
      </c>
      <c r="BR10" s="69">
        <v>2.8180475615815084</v>
      </c>
      <c r="BS10" s="69">
        <v>3.3387324775296325</v>
      </c>
      <c r="BT10" s="69">
        <v>3.0553176144291125</v>
      </c>
      <c r="BU10" s="69"/>
      <c r="BV10" s="69">
        <f t="shared" si="44"/>
        <v>0.23727005284760416</v>
      </c>
      <c r="BW10" s="69">
        <f>'RD T1'!E212</f>
        <v>1.1087166102005974</v>
      </c>
      <c r="BX10" s="69">
        <f t="shared" si="45"/>
        <v>1.3459866630482016</v>
      </c>
      <c r="BZ10" t="str">
        <f t="shared" si="46"/>
        <v>21 Science, research, engineering and technology professionals</v>
      </c>
      <c r="CA10" s="69">
        <v>1.4795117370381798</v>
      </c>
      <c r="CB10" s="69">
        <v>1.5103047799988512</v>
      </c>
      <c r="CC10" s="69">
        <v>1.6516234571213404</v>
      </c>
      <c r="CD10" s="69">
        <v>1.6813839711680147</v>
      </c>
      <c r="CE10" s="69">
        <v>1.1827218188772295</v>
      </c>
      <c r="CF10" s="69"/>
      <c r="CG10" s="69">
        <f t="shared" si="47"/>
        <v>-0.46890163824411091</v>
      </c>
      <c r="CH10" s="69">
        <f>'RD T1'!E241</f>
        <v>0.47512736082562962</v>
      </c>
      <c r="CI10" s="69">
        <f t="shared" si="48"/>
        <v>6.2257225815187112E-3</v>
      </c>
      <c r="CK10" t="str">
        <f t="shared" si="49"/>
        <v>21 Science, research, engineering and technology professionals</v>
      </c>
      <c r="CL10" s="69">
        <v>0.48326410229176658</v>
      </c>
      <c r="CM10" s="69">
        <v>0.51973970087880472</v>
      </c>
      <c r="CN10" s="69">
        <v>0.60251175061506246</v>
      </c>
      <c r="CO10" s="69">
        <v>0.53793065766101023</v>
      </c>
      <c r="CP10" s="69">
        <v>0.43899532083362797</v>
      </c>
      <c r="CQ10" s="69"/>
      <c r="CR10" s="69">
        <f t="shared" si="50"/>
        <v>-0.16351642978143449</v>
      </c>
      <c r="CS10" s="69">
        <f>'RD T1'!E270</f>
        <v>0.16200144566850666</v>
      </c>
      <c r="CT10" s="69">
        <f t="shared" si="51"/>
        <v>-1.5149841129278308E-3</v>
      </c>
    </row>
    <row r="11" spans="1:98" x14ac:dyDescent="0.25">
      <c r="A11" s="10" t="str">
        <f>name!D7</f>
        <v>22 Health professionals</v>
      </c>
      <c r="B11" s="69">
        <v>1.018402140876975</v>
      </c>
      <c r="C11" s="69">
        <v>1.7658274516087258</v>
      </c>
      <c r="D11" s="69">
        <v>1.7196263864843719</v>
      </c>
      <c r="E11" s="69">
        <v>2.2663984028119866</v>
      </c>
      <c r="F11" s="69">
        <v>3.387145550907722</v>
      </c>
      <c r="G11" s="11"/>
      <c r="H11" s="69">
        <f t="shared" si="26"/>
        <v>1.66751916442335</v>
      </c>
      <c r="I11" s="69">
        <f>'RD T1'!E39</f>
        <v>1.2203614097568625</v>
      </c>
      <c r="J11" s="69">
        <f t="shared" si="27"/>
        <v>2.8878805741802127</v>
      </c>
      <c r="L11" t="str">
        <f t="shared" si="28"/>
        <v>22 Health professionals</v>
      </c>
      <c r="M11" s="69">
        <v>3.0769924448177548</v>
      </c>
      <c r="N11" s="69">
        <v>5.2907635274904772</v>
      </c>
      <c r="O11" s="69">
        <v>5.2342624554481567</v>
      </c>
      <c r="P11" s="69">
        <v>6.2446920750439174</v>
      </c>
      <c r="Q11" s="69">
        <v>8.9149275044580865</v>
      </c>
      <c r="R11" s="11"/>
      <c r="S11" s="69">
        <f t="shared" si="29"/>
        <v>3.6806650490099297</v>
      </c>
      <c r="T11" s="69">
        <f>'RD T1'!E68</f>
        <v>3.4989922613421278</v>
      </c>
      <c r="U11" s="69">
        <f t="shared" si="30"/>
        <v>7.1796573103520576</v>
      </c>
      <c r="W11" t="str">
        <f t="shared" si="31"/>
        <v>22 Health professionals</v>
      </c>
      <c r="X11" s="69">
        <v>7.7174327006498871</v>
      </c>
      <c r="Y11" s="69">
        <v>9.279941670560536</v>
      </c>
      <c r="Z11" s="69">
        <v>9.8464871956844053</v>
      </c>
      <c r="AA11" s="69">
        <v>9.7122099390609442</v>
      </c>
      <c r="AB11" s="69">
        <v>10.035156209651593</v>
      </c>
      <c r="AC11" s="69"/>
      <c r="AD11" s="69">
        <f t="shared" si="32"/>
        <v>0.18866901396718738</v>
      </c>
      <c r="AE11" s="69">
        <f>'RD T1'!E97</f>
        <v>5.7386606584578592</v>
      </c>
      <c r="AF11" s="69">
        <f t="shared" si="33"/>
        <v>5.9273296724250466</v>
      </c>
      <c r="AH11" t="str">
        <f t="shared" si="34"/>
        <v>22 Health professionals</v>
      </c>
      <c r="AI11" s="69">
        <v>4.0768489710853792</v>
      </c>
      <c r="AJ11" s="69">
        <v>3.4559533034185357</v>
      </c>
      <c r="AK11" s="69">
        <v>3.3799516135765466</v>
      </c>
      <c r="AL11" s="69">
        <v>1.7925154134250971</v>
      </c>
      <c r="AM11" s="69">
        <v>0.65737753387126818</v>
      </c>
      <c r="AN11" s="69"/>
      <c r="AO11" s="69">
        <f t="shared" si="35"/>
        <v>-2.7225740797052786</v>
      </c>
      <c r="AP11" s="69">
        <f>'RD T1'!E126</f>
        <v>0.61091256457997767</v>
      </c>
      <c r="AQ11" s="69">
        <f t="shared" si="36"/>
        <v>-2.1116615151253009</v>
      </c>
      <c r="AS11" t="str">
        <f t="shared" si="37"/>
        <v>22 Health professionals</v>
      </c>
      <c r="AT11" s="69">
        <v>0.50120250855413317</v>
      </c>
      <c r="AU11" s="69">
        <v>0.55932406312204952</v>
      </c>
      <c r="AV11" s="69">
        <v>0.63783575488146127</v>
      </c>
      <c r="AW11" s="69">
        <v>0.63604110989084206</v>
      </c>
      <c r="AX11" s="69">
        <v>0.67897257245988762</v>
      </c>
      <c r="AY11" s="69"/>
      <c r="AZ11" s="69">
        <f t="shared" si="38"/>
        <v>4.1136817578426355E-2</v>
      </c>
      <c r="BA11" s="69">
        <f>'RD T1'!E155</f>
        <v>0.33299233549072688</v>
      </c>
      <c r="BB11" s="69">
        <f t="shared" si="39"/>
        <v>0.37412915306915323</v>
      </c>
      <c r="BD11" t="str">
        <f t="shared" si="40"/>
        <v>22 Health professionals</v>
      </c>
      <c r="BE11" s="69">
        <v>2.1716832216071844</v>
      </c>
      <c r="BF11" s="69">
        <v>3.0624273811279439</v>
      </c>
      <c r="BG11" s="69">
        <v>2.8003145404171743</v>
      </c>
      <c r="BH11" s="69">
        <v>2.8946259613379555</v>
      </c>
      <c r="BI11" s="69">
        <v>2.7258105429585204</v>
      </c>
      <c r="BJ11" s="69"/>
      <c r="BK11" s="69">
        <f t="shared" si="41"/>
        <v>-7.4503997458653881E-2</v>
      </c>
      <c r="BL11" s="69">
        <f>'RD T1'!E184</f>
        <v>1.5922746650213426</v>
      </c>
      <c r="BM11" s="69">
        <f t="shared" si="42"/>
        <v>1.5177706675626887</v>
      </c>
      <c r="BO11" t="str">
        <f t="shared" si="43"/>
        <v>22 Health professionals</v>
      </c>
      <c r="BP11" s="69">
        <v>1.898005136357396</v>
      </c>
      <c r="BQ11" s="69">
        <v>2.4208164080558601</v>
      </c>
      <c r="BR11" s="69">
        <v>2.0151374752681206</v>
      </c>
      <c r="BS11" s="69">
        <v>2.0362488819044962</v>
      </c>
      <c r="BT11" s="69">
        <v>1.6427525060377486</v>
      </c>
      <c r="BU11" s="69"/>
      <c r="BV11" s="69">
        <f t="shared" si="44"/>
        <v>-0.37238496923037201</v>
      </c>
      <c r="BW11" s="69">
        <f>'RD T1'!E213</f>
        <v>1.0060912578450756</v>
      </c>
      <c r="BX11" s="69">
        <f t="shared" si="45"/>
        <v>0.63370628861470357</v>
      </c>
      <c r="BZ11" t="str">
        <f t="shared" si="46"/>
        <v>22 Health professionals</v>
      </c>
      <c r="CA11" s="69">
        <v>1.0023143616318735</v>
      </c>
      <c r="CB11" s="69">
        <v>1.2364397158061087</v>
      </c>
      <c r="CC11" s="69">
        <v>0.94105442914912718</v>
      </c>
      <c r="CD11" s="69">
        <v>0.76272884704153965</v>
      </c>
      <c r="CE11" s="69">
        <v>0.36921842386232456</v>
      </c>
      <c r="CF11" s="69"/>
      <c r="CG11" s="69">
        <f t="shared" si="47"/>
        <v>-0.57183600528680256</v>
      </c>
      <c r="CH11" s="69">
        <f>'RD T1'!E242</f>
        <v>0.27858413807372562</v>
      </c>
      <c r="CI11" s="69">
        <f t="shared" si="48"/>
        <v>-0.29325186721307694</v>
      </c>
      <c r="CK11" t="str">
        <f t="shared" si="49"/>
        <v>22 Health professionals</v>
      </c>
      <c r="CL11" s="69">
        <v>0.21189042031160626</v>
      </c>
      <c r="CM11" s="69">
        <v>0.24430914200521439</v>
      </c>
      <c r="CN11" s="69">
        <v>0.31063394520542525</v>
      </c>
      <c r="CO11" s="69">
        <v>0.1986737861369347</v>
      </c>
      <c r="CP11" s="69">
        <v>0.16826221970663285</v>
      </c>
      <c r="CQ11" s="69"/>
      <c r="CR11" s="69">
        <f t="shared" si="50"/>
        <v>-0.1423717254987924</v>
      </c>
      <c r="CS11" s="69">
        <f>'RD T1'!E271</f>
        <v>8.7665390222186015E-2</v>
      </c>
      <c r="CT11" s="69">
        <f t="shared" si="51"/>
        <v>-5.4706335276606385E-2</v>
      </c>
    </row>
    <row r="12" spans="1:98" x14ac:dyDescent="0.25">
      <c r="A12" s="10" t="str">
        <f>name!D8</f>
        <v>23 Teaching and other educational professionals</v>
      </c>
      <c r="B12" s="69">
        <v>1.5125209876939776</v>
      </c>
      <c r="C12" s="69">
        <v>1.9013350259674571</v>
      </c>
      <c r="D12" s="69">
        <v>1.9642150179303035</v>
      </c>
      <c r="E12" s="69">
        <v>2.2597105213869582</v>
      </c>
      <c r="F12" s="69">
        <v>2.8432379603695352</v>
      </c>
      <c r="G12" s="11"/>
      <c r="H12" s="69">
        <f t="shared" si="26"/>
        <v>0.87902294243923174</v>
      </c>
      <c r="I12" s="69">
        <f>'RD T1'!E40</f>
        <v>1.1871877380213252</v>
      </c>
      <c r="J12" s="69">
        <f t="shared" si="27"/>
        <v>2.0662106804605571</v>
      </c>
      <c r="L12" t="str">
        <f t="shared" si="28"/>
        <v>23 Teaching and other educational professionals</v>
      </c>
      <c r="M12" s="69">
        <v>8.3803277668002973</v>
      </c>
      <c r="N12" s="69">
        <v>10.99682564383167</v>
      </c>
      <c r="O12" s="69">
        <v>11.493151663559454</v>
      </c>
      <c r="P12" s="69">
        <v>13.042514764905965</v>
      </c>
      <c r="Q12" s="69">
        <v>16.306497208346084</v>
      </c>
      <c r="R12" s="11"/>
      <c r="S12" s="69">
        <f t="shared" si="29"/>
        <v>4.81334554478663</v>
      </c>
      <c r="T12" s="69">
        <f>'RD T1'!E69</f>
        <v>7.0697115829280497</v>
      </c>
      <c r="U12" s="69">
        <f t="shared" si="30"/>
        <v>11.883057127714679</v>
      </c>
      <c r="W12" t="str">
        <f t="shared" si="31"/>
        <v>23 Teaching and other educational professionals</v>
      </c>
      <c r="X12" s="69">
        <v>6.3417129448135068</v>
      </c>
      <c r="Y12" s="69">
        <v>5.0495804064839387</v>
      </c>
      <c r="Z12" s="69">
        <v>5.6772645357811591</v>
      </c>
      <c r="AA12" s="69">
        <v>4.3563679462077616</v>
      </c>
      <c r="AB12" s="69">
        <v>3.0729351363328146</v>
      </c>
      <c r="AC12" s="69"/>
      <c r="AD12" s="69">
        <f t="shared" si="32"/>
        <v>-2.6043293994483445</v>
      </c>
      <c r="AE12" s="69">
        <f>'RD T1'!E98</f>
        <v>2.2063621188750591</v>
      </c>
      <c r="AF12" s="69">
        <f t="shared" si="33"/>
        <v>-0.39796728057328545</v>
      </c>
      <c r="AH12" t="str">
        <f t="shared" si="34"/>
        <v>23 Teaching and other educational professionals</v>
      </c>
      <c r="AI12" s="69">
        <v>0.88752835298294108</v>
      </c>
      <c r="AJ12" s="69">
        <v>0.43284948392922279</v>
      </c>
      <c r="AK12" s="69">
        <v>0.42480829054441882</v>
      </c>
      <c r="AL12" s="69">
        <v>0.22072507688264806</v>
      </c>
      <c r="AM12" s="69">
        <v>0.21796390815271635</v>
      </c>
      <c r="AN12" s="69"/>
      <c r="AO12" s="69">
        <f t="shared" si="35"/>
        <v>-0.20684438239170247</v>
      </c>
      <c r="AP12" s="69">
        <f>'RD T1'!E127</f>
        <v>7.0312866520571296E-2</v>
      </c>
      <c r="AQ12" s="69">
        <f t="shared" si="36"/>
        <v>-0.13653151587113116</v>
      </c>
      <c r="AS12" t="str">
        <f t="shared" si="37"/>
        <v>23 Teaching and other educational professionals</v>
      </c>
      <c r="AT12" s="69">
        <v>0.21357954908766938</v>
      </c>
      <c r="AU12" s="69">
        <v>0.16849533640089981</v>
      </c>
      <c r="AV12" s="69">
        <v>0.19372067322514883</v>
      </c>
      <c r="AW12" s="69">
        <v>0.14428702324837236</v>
      </c>
      <c r="AX12" s="69">
        <v>0.11557979834342831</v>
      </c>
      <c r="AY12" s="69"/>
      <c r="AZ12" s="69">
        <f t="shared" si="38"/>
        <v>-7.8140874881720515E-2</v>
      </c>
      <c r="BA12" s="69">
        <f>'RD T1'!E156</f>
        <v>6.8080610305129241E-2</v>
      </c>
      <c r="BB12" s="69">
        <f t="shared" si="39"/>
        <v>-1.0060264576591274E-2</v>
      </c>
      <c r="BD12" t="str">
        <f t="shared" si="40"/>
        <v>23 Teaching and other educational professionals</v>
      </c>
      <c r="BE12" s="69">
        <v>0.80299403888137166</v>
      </c>
      <c r="BF12" s="69">
        <v>0.82392083007677042</v>
      </c>
      <c r="BG12" s="69">
        <v>0.89400952067018624</v>
      </c>
      <c r="BH12" s="69">
        <v>0.80652383282764428</v>
      </c>
      <c r="BI12" s="69">
        <v>0.81146323820016131</v>
      </c>
      <c r="BJ12" s="69"/>
      <c r="BK12" s="69">
        <f t="shared" si="41"/>
        <v>-8.2546282470024934E-2</v>
      </c>
      <c r="BL12" s="69">
        <f>'RD T1'!E185</f>
        <v>0.35864327857051337</v>
      </c>
      <c r="BM12" s="69">
        <f t="shared" si="42"/>
        <v>0.27609699610048843</v>
      </c>
      <c r="BO12" t="str">
        <f t="shared" si="43"/>
        <v>23 Teaching and other educational professionals</v>
      </c>
      <c r="BP12" s="69">
        <v>0.77565629236151434</v>
      </c>
      <c r="BQ12" s="69">
        <v>0.77337348192975308</v>
      </c>
      <c r="BR12" s="69">
        <v>0.69805215083667727</v>
      </c>
      <c r="BS12" s="69">
        <v>0.62479326006285252</v>
      </c>
      <c r="BT12" s="69">
        <v>0.47229824367642792</v>
      </c>
      <c r="BU12" s="69"/>
      <c r="BV12" s="69">
        <f t="shared" si="44"/>
        <v>-0.22575390716024935</v>
      </c>
      <c r="BW12" s="69">
        <f>'RD T1'!E214</f>
        <v>0.30339685185447846</v>
      </c>
      <c r="BX12" s="69">
        <f t="shared" si="45"/>
        <v>7.764294469422911E-2</v>
      </c>
      <c r="BZ12" t="str">
        <f t="shared" si="46"/>
        <v>23 Teaching and other educational professionals</v>
      </c>
      <c r="CA12" s="69">
        <v>0.4816390584280022</v>
      </c>
      <c r="CB12" s="69">
        <v>0.46659877816221279</v>
      </c>
      <c r="CC12" s="69">
        <v>0.46992987241060635</v>
      </c>
      <c r="CD12" s="69">
        <v>0.36981371258911017</v>
      </c>
      <c r="CE12" s="69">
        <v>0.20869908767294418</v>
      </c>
      <c r="CF12" s="69"/>
      <c r="CG12" s="69">
        <f t="shared" si="47"/>
        <v>-0.26123078473766215</v>
      </c>
      <c r="CH12" s="69">
        <f>'RD T1'!E243</f>
        <v>0.15309355615031695</v>
      </c>
      <c r="CI12" s="69">
        <f t="shared" si="48"/>
        <v>-0.1081372285873452</v>
      </c>
      <c r="CK12" t="str">
        <f t="shared" si="49"/>
        <v>23 Teaching and other educational professionals</v>
      </c>
      <c r="CL12" s="69">
        <v>0.14441577462198349</v>
      </c>
      <c r="CM12" s="69">
        <v>0.15261886837862526</v>
      </c>
      <c r="CN12" s="69">
        <v>0.21146611855062372</v>
      </c>
      <c r="CO12" s="69">
        <v>0.14495648010504464</v>
      </c>
      <c r="CP12" s="69">
        <v>0.1166817075868013</v>
      </c>
      <c r="CQ12" s="69"/>
      <c r="CR12" s="69">
        <f t="shared" si="50"/>
        <v>-9.4784410963822424E-2</v>
      </c>
      <c r="CS12" s="69">
        <f>'RD T1'!E272</f>
        <v>6.3443833399459332E-2</v>
      </c>
      <c r="CT12" s="69">
        <f t="shared" si="51"/>
        <v>-3.1340577564363092E-2</v>
      </c>
    </row>
    <row r="13" spans="1:98" x14ac:dyDescent="0.25">
      <c r="A13" s="10" t="str">
        <f>name!D9</f>
        <v>24 Business, media and public service professionals</v>
      </c>
      <c r="B13" s="69">
        <v>0.32506971877894808</v>
      </c>
      <c r="C13" s="69">
        <v>0.45288798223190901</v>
      </c>
      <c r="D13" s="69">
        <v>0.45998809827771037</v>
      </c>
      <c r="E13" s="69">
        <v>0.60264871341769399</v>
      </c>
      <c r="F13" s="69">
        <v>0.93057591677832696</v>
      </c>
      <c r="G13" s="11"/>
      <c r="H13" s="69">
        <f t="shared" si="26"/>
        <v>0.47058781850061659</v>
      </c>
      <c r="I13" s="69">
        <f>'RD T1'!E41</f>
        <v>0.32878283549965354</v>
      </c>
      <c r="J13" s="69">
        <f t="shared" si="27"/>
        <v>0.79937065400027008</v>
      </c>
      <c r="L13" t="str">
        <f t="shared" si="28"/>
        <v>24 Business, media and public service professionals</v>
      </c>
      <c r="M13" s="69">
        <v>3.8956482536978791</v>
      </c>
      <c r="N13" s="69">
        <v>5.6663368496490465</v>
      </c>
      <c r="O13" s="69">
        <v>5.6927563758033912</v>
      </c>
      <c r="P13" s="69">
        <v>7.0010630193320775</v>
      </c>
      <c r="Q13" s="69">
        <v>9.7428518165328644</v>
      </c>
      <c r="R13" s="11"/>
      <c r="S13" s="69">
        <f t="shared" si="29"/>
        <v>4.0500954407294731</v>
      </c>
      <c r="T13" s="69">
        <f>'RD T1'!E70</f>
        <v>3.6739588856164538</v>
      </c>
      <c r="U13" s="69">
        <f t="shared" si="30"/>
        <v>7.7240543263459269</v>
      </c>
      <c r="W13" t="str">
        <f t="shared" si="31"/>
        <v>24 Business, media and public service professionals</v>
      </c>
      <c r="X13" s="69">
        <v>8.4214880317833831</v>
      </c>
      <c r="Y13" s="69">
        <v>8.3713612802347228</v>
      </c>
      <c r="Z13" s="69">
        <v>9.8587477725490071</v>
      </c>
      <c r="AA13" s="69">
        <v>9.9291845955471629</v>
      </c>
      <c r="AB13" s="69">
        <v>10.730432423491665</v>
      </c>
      <c r="AC13" s="69"/>
      <c r="AD13" s="69">
        <f t="shared" si="32"/>
        <v>0.87168465094265812</v>
      </c>
      <c r="AE13" s="69">
        <f>'RD T1'!E99</f>
        <v>5.3382763992341946</v>
      </c>
      <c r="AF13" s="69">
        <f t="shared" si="33"/>
        <v>6.2099610501768527</v>
      </c>
      <c r="AH13" t="str">
        <f t="shared" si="34"/>
        <v>24 Business, media and public service professionals</v>
      </c>
      <c r="AI13" s="69">
        <v>1.0140540762620114</v>
      </c>
      <c r="AJ13" s="69">
        <v>0.9194892418839129</v>
      </c>
      <c r="AK13" s="69">
        <v>1.0978875781247195</v>
      </c>
      <c r="AL13" s="69">
        <v>0.97658285812535384</v>
      </c>
      <c r="AM13" s="69">
        <v>0.99700495935848099</v>
      </c>
      <c r="AN13" s="69"/>
      <c r="AO13" s="69">
        <f t="shared" si="35"/>
        <v>-0.1008826187662385</v>
      </c>
      <c r="AP13" s="69">
        <f>'RD T1'!E128</f>
        <v>0.38047994301523835</v>
      </c>
      <c r="AQ13" s="69">
        <f t="shared" si="36"/>
        <v>0.27959732424899986</v>
      </c>
      <c r="AS13" t="str">
        <f t="shared" si="37"/>
        <v>24 Business, media and public service professionals</v>
      </c>
      <c r="AT13" s="69">
        <v>1.4601368543394182</v>
      </c>
      <c r="AU13" s="69">
        <v>1.3824948101097689</v>
      </c>
      <c r="AV13" s="69">
        <v>1.6282969546287989</v>
      </c>
      <c r="AW13" s="69">
        <v>1.6166397098963863</v>
      </c>
      <c r="AX13" s="69">
        <v>1.7441712258328581</v>
      </c>
      <c r="AY13" s="69"/>
      <c r="AZ13" s="69">
        <f t="shared" si="38"/>
        <v>0.11587427120405924</v>
      </c>
      <c r="BA13" s="69">
        <f>'RD T1'!E157</f>
        <v>0.80430112580710522</v>
      </c>
      <c r="BB13" s="69">
        <f t="shared" si="39"/>
        <v>0.92017539701116446</v>
      </c>
      <c r="BD13" t="str">
        <f t="shared" si="40"/>
        <v>24 Business, media and public service professionals</v>
      </c>
      <c r="BE13" s="69">
        <v>3.1344464220730441</v>
      </c>
      <c r="BF13" s="69">
        <v>3.8240817766528687</v>
      </c>
      <c r="BG13" s="69">
        <v>4.223624013509955</v>
      </c>
      <c r="BH13" s="69">
        <v>4.4686729436196391</v>
      </c>
      <c r="BI13" s="69">
        <v>4.8838888162614378</v>
      </c>
      <c r="BJ13" s="69"/>
      <c r="BK13" s="69">
        <f t="shared" si="41"/>
        <v>0.6602648027514828</v>
      </c>
      <c r="BL13" s="69">
        <f>'RD T1'!E186</f>
        <v>1.9381353029131472</v>
      </c>
      <c r="BM13" s="69">
        <f t="shared" si="42"/>
        <v>2.5984001056646298</v>
      </c>
      <c r="BO13" t="str">
        <f t="shared" si="43"/>
        <v>24 Business, media and public service professionals</v>
      </c>
      <c r="BP13" s="69">
        <v>2.4949589713625349</v>
      </c>
      <c r="BQ13" s="69">
        <v>2.7088780164430548</v>
      </c>
      <c r="BR13" s="69">
        <v>2.6606576837141809</v>
      </c>
      <c r="BS13" s="69">
        <v>2.623096094444699</v>
      </c>
      <c r="BT13" s="69">
        <v>2.2500432609159566</v>
      </c>
      <c r="BU13" s="69"/>
      <c r="BV13" s="69">
        <f t="shared" si="44"/>
        <v>-0.41061442279822424</v>
      </c>
      <c r="BW13" s="69">
        <f>'RD T1'!E215</f>
        <v>1.0894103518556166</v>
      </c>
      <c r="BX13" s="69">
        <f t="shared" si="45"/>
        <v>0.67879592905739239</v>
      </c>
      <c r="BZ13" t="str">
        <f t="shared" si="46"/>
        <v>24 Business, media and public service professionals</v>
      </c>
      <c r="CA13" s="69">
        <v>1.541687679895041</v>
      </c>
      <c r="CB13" s="69">
        <v>1.5997166785326276</v>
      </c>
      <c r="CC13" s="69">
        <v>1.6898354082843994</v>
      </c>
      <c r="CD13" s="69">
        <v>1.4360870362227718</v>
      </c>
      <c r="CE13" s="69">
        <v>0.90379682353137303</v>
      </c>
      <c r="CF13" s="69"/>
      <c r="CG13" s="69">
        <f t="shared" si="47"/>
        <v>-0.78603858475302635</v>
      </c>
      <c r="CH13" s="69">
        <f>'RD T1'!E244</f>
        <v>0.50690463496498017</v>
      </c>
      <c r="CI13" s="69">
        <f t="shared" si="48"/>
        <v>-0.27913394978804618</v>
      </c>
      <c r="CK13" t="str">
        <f t="shared" si="49"/>
        <v>24 Business, media and public service professionals</v>
      </c>
      <c r="CL13" s="69">
        <v>0.51870365096706506</v>
      </c>
      <c r="CM13" s="69">
        <v>0.53108692622220111</v>
      </c>
      <c r="CN13" s="69">
        <v>0.64596547543810201</v>
      </c>
      <c r="CO13" s="69">
        <v>0.4632334318587995</v>
      </c>
      <c r="CP13" s="69">
        <v>0.35132501500276314</v>
      </c>
      <c r="CQ13" s="69"/>
      <c r="CR13" s="69">
        <f t="shared" si="50"/>
        <v>-0.29464046043533887</v>
      </c>
      <c r="CS13" s="69">
        <f>'RD T1'!E273</f>
        <v>0.16365818287024261</v>
      </c>
      <c r="CT13" s="69">
        <f t="shared" si="51"/>
        <v>-0.13098227756509626</v>
      </c>
    </row>
    <row r="14" spans="1:98" x14ac:dyDescent="0.25">
      <c r="A14" s="10" t="str">
        <f>name!D10</f>
        <v>31 Science, engineering and technology associate professionals</v>
      </c>
      <c r="B14" s="69">
        <v>0.10937175080501037</v>
      </c>
      <c r="C14" s="69">
        <v>0.14038239305226261</v>
      </c>
      <c r="D14" s="69">
        <v>0.13320598431175687</v>
      </c>
      <c r="E14" s="69">
        <v>0.16703223386735055</v>
      </c>
      <c r="F14" s="69">
        <v>0.2774025258643471</v>
      </c>
      <c r="G14" s="11"/>
      <c r="H14" s="69">
        <f t="shared" si="26"/>
        <v>0.14419654155259023</v>
      </c>
      <c r="I14" s="69">
        <f>'RD T1'!E42</f>
        <v>8.7973987318718291E-2</v>
      </c>
      <c r="J14" s="69">
        <f t="shared" si="27"/>
        <v>0.23217052887130851</v>
      </c>
      <c r="L14" t="str">
        <f t="shared" si="28"/>
        <v>31 Science, engineering and technology associate professionals</v>
      </c>
      <c r="M14" s="69">
        <v>0.67739886167173535</v>
      </c>
      <c r="N14" s="69">
        <v>0.93777171418653604</v>
      </c>
      <c r="O14" s="69">
        <v>0.89197339166385037</v>
      </c>
      <c r="P14" s="69">
        <v>1.0087874460252237</v>
      </c>
      <c r="Q14" s="69">
        <v>1.4291071858717985</v>
      </c>
      <c r="R14" s="11"/>
      <c r="S14" s="69">
        <f t="shared" si="29"/>
        <v>0.53713379420794816</v>
      </c>
      <c r="T14" s="69">
        <f>'RD T1'!E71</f>
        <v>0.46460699920037746</v>
      </c>
      <c r="U14" s="69">
        <f t="shared" si="30"/>
        <v>1.0017407934083256</v>
      </c>
      <c r="W14" t="str">
        <f t="shared" si="31"/>
        <v>31 Science, engineering and technology associate professionals</v>
      </c>
      <c r="X14" s="69">
        <v>1.8139972897861201</v>
      </c>
      <c r="Y14" s="69">
        <v>1.7649808893296592</v>
      </c>
      <c r="Z14" s="69">
        <v>1.9460628475140151</v>
      </c>
      <c r="AA14" s="69">
        <v>1.8536678911676796</v>
      </c>
      <c r="AB14" s="69">
        <v>2.0394363897983956</v>
      </c>
      <c r="AC14" s="69"/>
      <c r="AD14" s="69">
        <f t="shared" si="32"/>
        <v>9.337354228438044E-2</v>
      </c>
      <c r="AE14" s="69">
        <f>'RD T1'!E100</f>
        <v>0.85002865579271547</v>
      </c>
      <c r="AF14" s="69">
        <f t="shared" si="33"/>
        <v>0.94340219807709591</v>
      </c>
      <c r="AH14" t="str">
        <f t="shared" si="34"/>
        <v>31 Science, engineering and technology associate professionals</v>
      </c>
      <c r="AI14" s="69">
        <v>0.32262196732157711</v>
      </c>
      <c r="AJ14" s="69">
        <v>0.33778337908363887</v>
      </c>
      <c r="AK14" s="69">
        <v>0.39588247104166968</v>
      </c>
      <c r="AL14" s="69">
        <v>0.3968282883003445</v>
      </c>
      <c r="AM14" s="69">
        <v>0.50723636153270435</v>
      </c>
      <c r="AN14" s="69"/>
      <c r="AO14" s="69">
        <f t="shared" si="35"/>
        <v>0.11135389049103467</v>
      </c>
      <c r="AP14" s="69">
        <f>'RD T1'!E129</f>
        <v>0.19936866662614089</v>
      </c>
      <c r="AQ14" s="69">
        <f t="shared" si="36"/>
        <v>0.31072255711717556</v>
      </c>
      <c r="AS14" t="str">
        <f t="shared" si="37"/>
        <v>31 Science, engineering and technology associate professionals</v>
      </c>
      <c r="AT14" s="69">
        <v>0.90991231793980965</v>
      </c>
      <c r="AU14" s="69">
        <v>0.854006378597432</v>
      </c>
      <c r="AV14" s="69">
        <v>0.92364501368193619</v>
      </c>
      <c r="AW14" s="69">
        <v>0.7761081609338637</v>
      </c>
      <c r="AX14" s="69">
        <v>0.75919562600292712</v>
      </c>
      <c r="AY14" s="69"/>
      <c r="AZ14" s="69">
        <f t="shared" si="38"/>
        <v>-0.16444938767900907</v>
      </c>
      <c r="BA14" s="69">
        <f>'RD T1'!E158</f>
        <v>0.29367876171319174</v>
      </c>
      <c r="BB14" s="69">
        <f t="shared" si="39"/>
        <v>0.12922937403418266</v>
      </c>
      <c r="BD14" t="str">
        <f t="shared" si="40"/>
        <v>31 Science, engineering and technology associate professionals</v>
      </c>
      <c r="BE14" s="69">
        <v>1.5383212138356523</v>
      </c>
      <c r="BF14" s="69">
        <v>1.5521480420703793</v>
      </c>
      <c r="BG14" s="69">
        <v>1.6765339298795463</v>
      </c>
      <c r="BH14" s="69">
        <v>1.4336993500910398</v>
      </c>
      <c r="BI14" s="69">
        <v>1.2478088203153364</v>
      </c>
      <c r="BJ14" s="69"/>
      <c r="BK14" s="69">
        <f t="shared" si="41"/>
        <v>-0.42872510956420995</v>
      </c>
      <c r="BL14" s="69">
        <f>'RD T1'!E187</f>
        <v>0.47412904048591015</v>
      </c>
      <c r="BM14" s="69">
        <f t="shared" si="42"/>
        <v>4.5403930921700197E-2</v>
      </c>
      <c r="BO14" t="str">
        <f t="shared" si="43"/>
        <v>31 Science, engineering and technology associate professionals</v>
      </c>
      <c r="BP14" s="69">
        <v>1.1658634701916282</v>
      </c>
      <c r="BQ14" s="69">
        <v>1.3343705630355971</v>
      </c>
      <c r="BR14" s="69">
        <v>1.3631230461952171</v>
      </c>
      <c r="BS14" s="69">
        <v>1.2956707375920304</v>
      </c>
      <c r="BT14" s="69">
        <v>1.2449711446457814</v>
      </c>
      <c r="BU14" s="69"/>
      <c r="BV14" s="69">
        <f t="shared" si="44"/>
        <v>-0.11815190154943567</v>
      </c>
      <c r="BW14" s="69">
        <f>'RD T1'!E216</f>
        <v>0.49232322600211781</v>
      </c>
      <c r="BX14" s="69">
        <f t="shared" si="45"/>
        <v>0.37417132445268214</v>
      </c>
      <c r="BZ14" t="str">
        <f t="shared" si="46"/>
        <v>31 Science, engineering and technology associate professionals</v>
      </c>
      <c r="CA14" s="69">
        <v>0.87501643931220707</v>
      </c>
      <c r="CB14" s="69">
        <v>0.91037958778492445</v>
      </c>
      <c r="CC14" s="69">
        <v>1.0571328406662892</v>
      </c>
      <c r="CD14" s="69">
        <v>0.8277452766994543</v>
      </c>
      <c r="CE14" s="69">
        <v>0.63703341954695702</v>
      </c>
      <c r="CF14" s="69"/>
      <c r="CG14" s="69">
        <f t="shared" si="47"/>
        <v>-0.42009942111933218</v>
      </c>
      <c r="CH14" s="69">
        <f>'RD T1'!E245</f>
        <v>0.28278382783139167</v>
      </c>
      <c r="CI14" s="69">
        <f t="shared" si="48"/>
        <v>-0.13731559328794052</v>
      </c>
      <c r="CK14" t="str">
        <f t="shared" si="49"/>
        <v>31 Science, engineering and technology associate professionals</v>
      </c>
      <c r="CL14" s="69">
        <v>0.2271304567007785</v>
      </c>
      <c r="CM14" s="69">
        <v>0.24599479696113064</v>
      </c>
      <c r="CN14" s="69">
        <v>0.32434123960780642</v>
      </c>
      <c r="CO14" s="69">
        <v>0.25507629527259756</v>
      </c>
      <c r="CP14" s="69">
        <v>0.28612459896630899</v>
      </c>
      <c r="CQ14" s="69"/>
      <c r="CR14" s="69">
        <f t="shared" si="50"/>
        <v>-3.8216640641497435E-2</v>
      </c>
      <c r="CS14" s="69">
        <f>'RD T1'!E274</f>
        <v>0.10595298393677755</v>
      </c>
      <c r="CT14" s="69">
        <f t="shared" si="51"/>
        <v>6.773634329528011E-2</v>
      </c>
    </row>
    <row r="15" spans="1:98" x14ac:dyDescent="0.25">
      <c r="A15" s="10" t="str">
        <f>name!D11</f>
        <v>32 Health and social care associate professionals</v>
      </c>
      <c r="B15" s="69">
        <v>2.8160541695273614E-2</v>
      </c>
      <c r="C15" s="69">
        <v>4.3319498603377332E-2</v>
      </c>
      <c r="D15" s="69">
        <v>3.8733213013957192E-2</v>
      </c>
      <c r="E15" s="69">
        <v>8.3791180239643964E-2</v>
      </c>
      <c r="F15" s="69">
        <v>0.17991598082202204</v>
      </c>
      <c r="G15" s="11"/>
      <c r="H15" s="69">
        <f t="shared" si="26"/>
        <v>0.14118276780806485</v>
      </c>
      <c r="I15" s="69">
        <f>'RD T1'!E43</f>
        <v>6.1385037719701913E-2</v>
      </c>
      <c r="J15" s="69">
        <f t="shared" si="27"/>
        <v>0.20256780552776676</v>
      </c>
      <c r="L15" t="str">
        <f t="shared" si="28"/>
        <v>32 Health and social care associate professionals</v>
      </c>
      <c r="M15" s="69">
        <v>0.71097589101669711</v>
      </c>
      <c r="N15" s="69">
        <v>1.2135484369270719</v>
      </c>
      <c r="O15" s="69">
        <v>1.2407969519020348</v>
      </c>
      <c r="P15" s="69">
        <v>2.5926061452678102</v>
      </c>
      <c r="Q15" s="69">
        <v>4.9390747004282103</v>
      </c>
      <c r="R15" s="11"/>
      <c r="S15" s="69">
        <f t="shared" si="29"/>
        <v>3.6982777485261753</v>
      </c>
      <c r="T15" s="69">
        <f>'RD T1'!E72</f>
        <v>1.7399345749874491</v>
      </c>
      <c r="U15" s="69">
        <f t="shared" si="30"/>
        <v>5.4382123235136248</v>
      </c>
      <c r="W15" t="str">
        <f t="shared" si="31"/>
        <v>32 Health and social care associate professionals</v>
      </c>
      <c r="X15" s="69">
        <v>2.5555045398663871</v>
      </c>
      <c r="Y15" s="69">
        <v>3.1259089141109055</v>
      </c>
      <c r="Z15" s="69">
        <v>3.4708237795724934</v>
      </c>
      <c r="AA15" s="69">
        <v>5.976952178269749</v>
      </c>
      <c r="AB15" s="69">
        <v>7.724786127820737</v>
      </c>
      <c r="AC15" s="69"/>
      <c r="AD15" s="69">
        <f t="shared" si="32"/>
        <v>4.253962348248244</v>
      </c>
      <c r="AE15" s="69">
        <f>'RD T1'!E101</f>
        <v>4.1164988812151808</v>
      </c>
      <c r="AF15" s="69">
        <f t="shared" si="33"/>
        <v>8.3704612294634249</v>
      </c>
      <c r="AH15" t="str">
        <f t="shared" si="34"/>
        <v>32 Health and social care associate professionals</v>
      </c>
      <c r="AI15" s="69">
        <v>1.868591964542579</v>
      </c>
      <c r="AJ15" s="69">
        <v>1.7400323362998211</v>
      </c>
      <c r="AK15" s="69">
        <v>1.8312643023177801</v>
      </c>
      <c r="AL15" s="69">
        <v>2.0670829853158921</v>
      </c>
      <c r="AM15" s="69">
        <v>1.3089677811542919</v>
      </c>
      <c r="AN15" s="69"/>
      <c r="AO15" s="69">
        <f t="shared" si="35"/>
        <v>-0.52229652116348824</v>
      </c>
      <c r="AP15" s="69">
        <f>'RD T1'!E130</f>
        <v>0.8100250462153985</v>
      </c>
      <c r="AQ15" s="69">
        <f t="shared" si="36"/>
        <v>0.28772852505191027</v>
      </c>
      <c r="AS15" t="str">
        <f t="shared" si="37"/>
        <v>32 Health and social care associate professionals</v>
      </c>
      <c r="AT15" s="69">
        <v>0.38101691405621135</v>
      </c>
      <c r="AU15" s="69">
        <v>0.41689668760247128</v>
      </c>
      <c r="AV15" s="69">
        <v>0.4868168356526329</v>
      </c>
      <c r="AW15" s="69">
        <v>0.71035257547697461</v>
      </c>
      <c r="AX15" s="69">
        <v>0.84120850129761737</v>
      </c>
      <c r="AY15" s="69"/>
      <c r="AZ15" s="69">
        <f t="shared" si="38"/>
        <v>0.35439166564498448</v>
      </c>
      <c r="BA15" s="69">
        <f>'RD T1'!E159</f>
        <v>0.42133084571719853</v>
      </c>
      <c r="BB15" s="69">
        <f t="shared" si="39"/>
        <v>0.77572251136218306</v>
      </c>
      <c r="BD15" t="str">
        <f t="shared" si="40"/>
        <v>32 Health and social care associate professionals</v>
      </c>
      <c r="BE15" s="69">
        <v>1.4975563253138713</v>
      </c>
      <c r="BF15" s="69">
        <v>2.0867469327437296</v>
      </c>
      <c r="BG15" s="69">
        <v>1.9732219188287832</v>
      </c>
      <c r="BH15" s="69">
        <v>3.3290914040387136</v>
      </c>
      <c r="BI15" s="69">
        <v>3.7010743102005836</v>
      </c>
      <c r="BJ15" s="69"/>
      <c r="BK15" s="69">
        <f t="shared" si="41"/>
        <v>1.7278523913718005</v>
      </c>
      <c r="BL15" s="69">
        <f>'RD T1'!E188</f>
        <v>1.9232227755700901</v>
      </c>
      <c r="BM15" s="69">
        <f t="shared" si="42"/>
        <v>3.6510751669418906</v>
      </c>
      <c r="BO15" t="str">
        <f t="shared" si="43"/>
        <v>32 Health and social care associate professionals</v>
      </c>
      <c r="BP15" s="69">
        <v>1.3596234482459595</v>
      </c>
      <c r="BQ15" s="69">
        <v>1.6895357051992259</v>
      </c>
      <c r="BR15" s="69">
        <v>1.394629924351392</v>
      </c>
      <c r="BS15" s="69">
        <v>2.2584836566408635</v>
      </c>
      <c r="BT15" s="69">
        <v>1.9425773289129584</v>
      </c>
      <c r="BU15" s="69"/>
      <c r="BV15" s="69">
        <f t="shared" si="44"/>
        <v>0.54794740456156643</v>
      </c>
      <c r="BW15" s="69">
        <f>'RD T1'!E217</f>
        <v>1.1497815306246291</v>
      </c>
      <c r="BX15" s="69">
        <f t="shared" si="45"/>
        <v>1.6977289351861955</v>
      </c>
      <c r="BZ15" t="str">
        <f t="shared" si="46"/>
        <v>32 Health and social care associate professionals</v>
      </c>
      <c r="CA15" s="69">
        <v>0.53073894577593594</v>
      </c>
      <c r="CB15" s="69">
        <v>0.53726334765404049</v>
      </c>
      <c r="CC15" s="69">
        <v>0.4434376536640845</v>
      </c>
      <c r="CD15" s="69">
        <v>0.53488147591933888</v>
      </c>
      <c r="CE15" s="69">
        <v>0.30336473279635889</v>
      </c>
      <c r="CF15" s="69"/>
      <c r="CG15" s="69">
        <f t="shared" si="47"/>
        <v>-0.1400729208677256</v>
      </c>
      <c r="CH15" s="69">
        <f>'RD T1'!E246</f>
        <v>0.20164189826166137</v>
      </c>
      <c r="CI15" s="69">
        <f t="shared" si="48"/>
        <v>6.156897739393577E-2</v>
      </c>
      <c r="CK15" t="str">
        <f t="shared" si="49"/>
        <v>32 Health and social care associate professionals</v>
      </c>
      <c r="CL15" s="69">
        <v>0.10072118747074432</v>
      </c>
      <c r="CM15" s="69">
        <v>0.10347791128767368</v>
      </c>
      <c r="CN15" s="69">
        <v>0.12215912615490418</v>
      </c>
      <c r="CO15" s="69">
        <v>0.12690749697996326</v>
      </c>
      <c r="CP15" s="69">
        <v>0.11485210956567854</v>
      </c>
      <c r="CQ15" s="69"/>
      <c r="CR15" s="69">
        <f t="shared" si="50"/>
        <v>-7.30701658922564E-3</v>
      </c>
      <c r="CS15" s="69">
        <f>'RD T1'!E275</f>
        <v>5.1791669254615202E-2</v>
      </c>
      <c r="CT15" s="69">
        <f t="shared" si="51"/>
        <v>4.4484652665389562E-2</v>
      </c>
    </row>
    <row r="16" spans="1:98" x14ac:dyDescent="0.25">
      <c r="A16" s="10" t="str">
        <f>name!D12</f>
        <v>33 Protective service occupations</v>
      </c>
      <c r="B16" s="69">
        <v>1.664442237519112E-2</v>
      </c>
      <c r="C16" s="69">
        <v>2.4924163911466523E-2</v>
      </c>
      <c r="D16" s="69">
        <v>2.2432930127284478E-2</v>
      </c>
      <c r="E16" s="69">
        <v>2.7692593531975312E-2</v>
      </c>
      <c r="F16" s="69">
        <v>4.7948951707330351E-2</v>
      </c>
      <c r="G16" s="11"/>
      <c r="H16" s="69">
        <f t="shared" si="26"/>
        <v>2.5516021580045872E-2</v>
      </c>
      <c r="I16" s="69">
        <f>'RD T1'!E44</f>
        <v>1.2652767762226538E-2</v>
      </c>
      <c r="J16" s="69">
        <f t="shared" si="27"/>
        <v>3.8168789342272413E-2</v>
      </c>
      <c r="L16" t="str">
        <f t="shared" si="28"/>
        <v>33 Protective service occupations</v>
      </c>
      <c r="M16" s="69">
        <v>0.20785401319091398</v>
      </c>
      <c r="N16" s="69">
        <v>0.28541465615357342</v>
      </c>
      <c r="O16" s="69">
        <v>0.26295984207773249</v>
      </c>
      <c r="P16" s="69">
        <v>0.29046618139341374</v>
      </c>
      <c r="Q16" s="69">
        <v>0.47477267646927285</v>
      </c>
      <c r="R16" s="11"/>
      <c r="S16" s="69">
        <f t="shared" si="29"/>
        <v>0.21181283439154036</v>
      </c>
      <c r="T16" s="69">
        <f>'RD T1'!E73</f>
        <v>0.11185815193075105</v>
      </c>
      <c r="U16" s="69">
        <f t="shared" si="30"/>
        <v>0.32367098632229141</v>
      </c>
      <c r="W16" t="str">
        <f t="shared" si="31"/>
        <v>33 Protective service occupations</v>
      </c>
      <c r="X16" s="69">
        <v>0.95608290117505557</v>
      </c>
      <c r="Y16" s="69">
        <v>0.95757043214211179</v>
      </c>
      <c r="Z16" s="69">
        <v>1.124342968392632</v>
      </c>
      <c r="AA16" s="69">
        <v>1.0255094272201366</v>
      </c>
      <c r="AB16" s="69">
        <v>1.4209995577161691</v>
      </c>
      <c r="AC16" s="69"/>
      <c r="AD16" s="69">
        <f t="shared" si="32"/>
        <v>0.29665658932353711</v>
      </c>
      <c r="AE16" s="69">
        <f>'RD T1'!E102</f>
        <v>0.49098845519748668</v>
      </c>
      <c r="AF16" s="69">
        <f t="shared" si="33"/>
        <v>0.7876450445210238</v>
      </c>
      <c r="AH16" t="str">
        <f t="shared" si="34"/>
        <v>33 Protective service occupations</v>
      </c>
      <c r="AI16" s="69">
        <v>0.29390943476556414</v>
      </c>
      <c r="AJ16" s="69">
        <v>0.28715269173222063</v>
      </c>
      <c r="AK16" s="69">
        <v>0.33206457252668936</v>
      </c>
      <c r="AL16" s="69">
        <v>0.31058101877948446</v>
      </c>
      <c r="AM16" s="69">
        <v>0.42456479066631758</v>
      </c>
      <c r="AN16" s="69"/>
      <c r="AO16" s="69">
        <f t="shared" si="35"/>
        <v>9.2500218139628221E-2</v>
      </c>
      <c r="AP16" s="69">
        <f>'RD T1'!E131</f>
        <v>0.12749148315581629</v>
      </c>
      <c r="AQ16" s="69">
        <f t="shared" si="36"/>
        <v>0.21999170129544451</v>
      </c>
      <c r="AS16" t="str">
        <f t="shared" si="37"/>
        <v>33 Protective service occupations</v>
      </c>
      <c r="AT16" s="69">
        <v>0.26631789233432773</v>
      </c>
      <c r="AU16" s="69">
        <v>0.23738394149475758</v>
      </c>
      <c r="AV16" s="69">
        <v>0.26767528822835562</v>
      </c>
      <c r="AW16" s="69">
        <v>0.21827617852540396</v>
      </c>
      <c r="AX16" s="69">
        <v>0.25639241955941589</v>
      </c>
      <c r="AY16" s="69"/>
      <c r="AZ16" s="69">
        <f t="shared" si="38"/>
        <v>-1.1282868668939738E-2</v>
      </c>
      <c r="BA16" s="69">
        <f>'RD T1'!E160</f>
        <v>8.8558037479151572E-2</v>
      </c>
      <c r="BB16" s="69">
        <f t="shared" si="39"/>
        <v>7.7275168810211833E-2</v>
      </c>
      <c r="BD16" t="str">
        <f t="shared" si="40"/>
        <v>33 Protective service occupations</v>
      </c>
      <c r="BE16" s="69">
        <v>0.85767162178892697</v>
      </c>
      <c r="BF16" s="69">
        <v>0.83724990443675995</v>
      </c>
      <c r="BG16" s="69">
        <v>0.88226416705534028</v>
      </c>
      <c r="BH16" s="69">
        <v>0.74384351696786255</v>
      </c>
      <c r="BI16" s="69">
        <v>0.70580031290285949</v>
      </c>
      <c r="BJ16" s="69"/>
      <c r="BK16" s="69">
        <f t="shared" si="41"/>
        <v>-0.17646385415248078</v>
      </c>
      <c r="BL16" s="69">
        <f>'RD T1'!E189</f>
        <v>0.19060101214731184</v>
      </c>
      <c r="BM16" s="69">
        <f t="shared" si="42"/>
        <v>1.4137157994831062E-2</v>
      </c>
      <c r="BO16" t="str">
        <f t="shared" si="43"/>
        <v>33 Protective service occupations</v>
      </c>
      <c r="BP16" s="69">
        <v>1.0749364035975053</v>
      </c>
      <c r="BQ16" s="69">
        <v>1.1122874836303853</v>
      </c>
      <c r="BR16" s="69">
        <v>1.0800754169133155</v>
      </c>
      <c r="BS16" s="69">
        <v>0.91375863227845011</v>
      </c>
      <c r="BT16" s="69">
        <v>0.75792641204205791</v>
      </c>
      <c r="BU16" s="69"/>
      <c r="BV16" s="69">
        <f t="shared" si="44"/>
        <v>-0.32214900487125764</v>
      </c>
      <c r="BW16" s="69">
        <f>'RD T1'!E218</f>
        <v>0.26986703903965986</v>
      </c>
      <c r="BX16" s="69">
        <f t="shared" si="45"/>
        <v>-5.2281965831597776E-2</v>
      </c>
      <c r="BZ16" t="str">
        <f t="shared" si="46"/>
        <v>33 Protective service occupations</v>
      </c>
      <c r="CA16" s="69">
        <v>0.61543490600842365</v>
      </c>
      <c r="CB16" s="69">
        <v>0.5669034477943985</v>
      </c>
      <c r="CC16" s="69">
        <v>0.58393212527107796</v>
      </c>
      <c r="CD16" s="69">
        <v>0.43531944502849246</v>
      </c>
      <c r="CE16" s="69">
        <v>0.29210986721005272</v>
      </c>
      <c r="CF16" s="69"/>
      <c r="CG16" s="69">
        <f t="shared" si="47"/>
        <v>-0.29182225806102524</v>
      </c>
      <c r="CH16" s="69">
        <f>'RD T1'!E247</f>
        <v>0.13653936633025288</v>
      </c>
      <c r="CI16" s="69">
        <f t="shared" si="48"/>
        <v>-0.15528289173077237</v>
      </c>
      <c r="CK16" t="str">
        <f t="shared" si="49"/>
        <v>33 Protective service occupations</v>
      </c>
      <c r="CL16" s="69">
        <v>0.15557169891515898</v>
      </c>
      <c r="CM16" s="69">
        <v>0.11812186801944327</v>
      </c>
      <c r="CN16" s="69">
        <v>0.13157433054553327</v>
      </c>
      <c r="CO16" s="69">
        <v>9.2714360890146397E-2</v>
      </c>
      <c r="CP16" s="69">
        <v>7.1410348938892476E-2</v>
      </c>
      <c r="CQ16" s="69"/>
      <c r="CR16" s="69">
        <f t="shared" si="50"/>
        <v>-6.0163981606640798E-2</v>
      </c>
      <c r="CS16" s="69">
        <f>'RD T1'!E276</f>
        <v>2.0668394386851443E-2</v>
      </c>
      <c r="CT16" s="69">
        <f t="shared" si="51"/>
        <v>-3.9495587219789352E-2</v>
      </c>
    </row>
    <row r="17" spans="1:98" x14ac:dyDescent="0.25">
      <c r="A17" s="10" t="str">
        <f>name!D13</f>
        <v>34 Culture, media and sports occupations</v>
      </c>
      <c r="B17" s="69">
        <v>5.165431738720612E-2</v>
      </c>
      <c r="C17" s="69">
        <v>7.43165599488569E-2</v>
      </c>
      <c r="D17" s="69">
        <v>7.6039895423084883E-2</v>
      </c>
      <c r="E17" s="69">
        <v>8.8781141215940176E-2</v>
      </c>
      <c r="F17" s="69">
        <v>0.12720755046618773</v>
      </c>
      <c r="G17" s="11"/>
      <c r="H17" s="69">
        <f t="shared" si="26"/>
        <v>5.1167655043102847E-2</v>
      </c>
      <c r="I17" s="69">
        <f>'RD T1'!E45</f>
        <v>4.975127201042237E-2</v>
      </c>
      <c r="J17" s="69">
        <f t="shared" si="27"/>
        <v>0.10091892705352522</v>
      </c>
      <c r="L17" t="str">
        <f t="shared" si="28"/>
        <v>34 Culture, media and sports occupations</v>
      </c>
      <c r="M17" s="69">
        <v>0.98851283997538952</v>
      </c>
      <c r="N17" s="69">
        <v>1.339008174457593</v>
      </c>
      <c r="O17" s="69">
        <v>1.3351642188410457</v>
      </c>
      <c r="P17" s="69">
        <v>1.3593247268315392</v>
      </c>
      <c r="Q17" s="69">
        <v>1.8170052067832432</v>
      </c>
      <c r="R17" s="11"/>
      <c r="S17" s="69">
        <f t="shared" si="29"/>
        <v>0.48184098794219743</v>
      </c>
      <c r="T17" s="69">
        <f>'RD T1'!E74</f>
        <v>0.74367698004453153</v>
      </c>
      <c r="U17" s="69">
        <f t="shared" si="30"/>
        <v>1.225517967986729</v>
      </c>
      <c r="W17" t="str">
        <f t="shared" si="31"/>
        <v>34 Culture, media and sports occupations</v>
      </c>
      <c r="X17" s="69">
        <v>2.8348597716919466</v>
      </c>
      <c r="Y17" s="69">
        <v>2.6409239617206843</v>
      </c>
      <c r="Z17" s="69">
        <v>2.7855782609015396</v>
      </c>
      <c r="AA17" s="69">
        <v>2.3955231189800275</v>
      </c>
      <c r="AB17" s="69">
        <v>2.5815882750732961</v>
      </c>
      <c r="AC17" s="69"/>
      <c r="AD17" s="69">
        <f t="shared" si="32"/>
        <v>-0.20398998582824346</v>
      </c>
      <c r="AE17" s="69">
        <f>'RD T1'!E103</f>
        <v>1.2227604309911255</v>
      </c>
      <c r="AF17" s="69">
        <f t="shared" si="33"/>
        <v>1.0187704451628821</v>
      </c>
      <c r="AH17" t="str">
        <f t="shared" si="34"/>
        <v>34 Culture, media and sports occupations</v>
      </c>
      <c r="AI17" s="69">
        <v>0.40760091977583518</v>
      </c>
      <c r="AJ17" s="69">
        <v>0.33262213733114249</v>
      </c>
      <c r="AK17" s="69">
        <v>0.40391274259369137</v>
      </c>
      <c r="AL17" s="69">
        <v>0.35953034687454399</v>
      </c>
      <c r="AM17" s="69">
        <v>0.46386653221143126</v>
      </c>
      <c r="AN17" s="69"/>
      <c r="AO17" s="69">
        <f t="shared" si="35"/>
        <v>5.9953789617739894E-2</v>
      </c>
      <c r="AP17" s="69">
        <f>'RD T1'!E132</f>
        <v>0.20327750647640594</v>
      </c>
      <c r="AQ17" s="69">
        <f t="shared" si="36"/>
        <v>0.26323129609414586</v>
      </c>
      <c r="AS17" t="str">
        <f t="shared" si="37"/>
        <v>34 Culture, media and sports occupations</v>
      </c>
      <c r="AT17" s="69">
        <v>0.47934304354206642</v>
      </c>
      <c r="AU17" s="69">
        <v>0.4266274796501211</v>
      </c>
      <c r="AV17" s="69">
        <v>0.44941487694805166</v>
      </c>
      <c r="AW17" s="69">
        <v>0.36698516954863974</v>
      </c>
      <c r="AX17" s="69">
        <v>0.37875592591330393</v>
      </c>
      <c r="AY17" s="69"/>
      <c r="AZ17" s="69">
        <f t="shared" si="38"/>
        <v>-7.065895103474773E-2</v>
      </c>
      <c r="BA17" s="69">
        <f>'RD T1'!E161</f>
        <v>0.18006279794574451</v>
      </c>
      <c r="BB17" s="69">
        <f t="shared" si="39"/>
        <v>0.10940384691099678</v>
      </c>
      <c r="BD17" t="str">
        <f t="shared" si="40"/>
        <v>34 Culture, media and sports occupations</v>
      </c>
      <c r="BE17" s="69">
        <v>1.2538755975475313</v>
      </c>
      <c r="BF17" s="69">
        <v>1.2973977829083372</v>
      </c>
      <c r="BG17" s="69">
        <v>1.3412787689100634</v>
      </c>
      <c r="BH17" s="69">
        <v>1.1550563604982169</v>
      </c>
      <c r="BI17" s="69">
        <v>1.2749236706254128</v>
      </c>
      <c r="BJ17" s="69"/>
      <c r="BK17" s="69">
        <f t="shared" si="41"/>
        <v>-6.6355098284650582E-2</v>
      </c>
      <c r="BL17" s="69">
        <f>'RD T1'!E190</f>
        <v>0.47639873224359763</v>
      </c>
      <c r="BM17" s="69">
        <f t="shared" si="42"/>
        <v>0.41004363395894705</v>
      </c>
      <c r="BO17" t="str">
        <f t="shared" si="43"/>
        <v>34 Culture, media and sports occupations</v>
      </c>
      <c r="BP17" s="69">
        <v>0.69360904207765972</v>
      </c>
      <c r="BQ17" s="69">
        <v>0.64435161874153801</v>
      </c>
      <c r="BR17" s="69">
        <v>0.57269757331096904</v>
      </c>
      <c r="BS17" s="69">
        <v>0.44489575653982499</v>
      </c>
      <c r="BT17" s="69">
        <v>0.31415562195635427</v>
      </c>
      <c r="BU17" s="69"/>
      <c r="BV17" s="69">
        <f t="shared" si="44"/>
        <v>-0.25854195135461477</v>
      </c>
      <c r="BW17" s="69">
        <f>'RD T1'!E219</f>
        <v>0.15925074723303353</v>
      </c>
      <c r="BX17" s="69">
        <f t="shared" si="45"/>
        <v>-9.9291204121581239E-2</v>
      </c>
      <c r="BZ17" t="str">
        <f t="shared" si="46"/>
        <v>34 Culture, media and sports occupations</v>
      </c>
      <c r="CA17" s="69">
        <v>0.53695878566744748</v>
      </c>
      <c r="CB17" s="69">
        <v>0.45175287313527085</v>
      </c>
      <c r="CC17" s="69">
        <v>0.44332395509340033</v>
      </c>
      <c r="CD17" s="69">
        <v>0.27418428627251834</v>
      </c>
      <c r="CE17" s="69">
        <v>0.13840270709916119</v>
      </c>
      <c r="CF17" s="69"/>
      <c r="CG17" s="69">
        <f t="shared" si="47"/>
        <v>-0.30492124799423914</v>
      </c>
      <c r="CH17" s="69">
        <f>'RD T1'!E248</f>
        <v>8.7708272867228487E-2</v>
      </c>
      <c r="CI17" s="69">
        <f t="shared" si="48"/>
        <v>-0.21721297512701065</v>
      </c>
      <c r="CK17" t="str">
        <f t="shared" si="49"/>
        <v>34 Culture, media and sports occupations</v>
      </c>
      <c r="CL17" s="69">
        <v>0.28058319820101724</v>
      </c>
      <c r="CM17" s="69">
        <v>0.26371153865939467</v>
      </c>
      <c r="CN17" s="69">
        <v>0.2881935504382131</v>
      </c>
      <c r="CO17" s="69">
        <v>0.17949488545163542</v>
      </c>
      <c r="CP17" s="69">
        <v>0.14594160158156683</v>
      </c>
      <c r="CQ17" s="69"/>
      <c r="CR17" s="69">
        <f t="shared" si="50"/>
        <v>-0.14225194885664627</v>
      </c>
      <c r="CS17" s="69">
        <f>'RD T1'!E277</f>
        <v>6.6315576150305977E-2</v>
      </c>
      <c r="CT17" s="69">
        <f t="shared" si="51"/>
        <v>-7.5936372706340294E-2</v>
      </c>
    </row>
    <row r="18" spans="1:98" x14ac:dyDescent="0.25">
      <c r="A18" s="10" t="str">
        <f>name!D14</f>
        <v>35 Business and public service associate professionals</v>
      </c>
      <c r="B18" s="69">
        <v>0.26623343650297954</v>
      </c>
      <c r="C18" s="69">
        <v>0.34422880676693696</v>
      </c>
      <c r="D18" s="69">
        <v>0.32599811584593136</v>
      </c>
      <c r="E18" s="69">
        <v>0.42745077302720347</v>
      </c>
      <c r="F18" s="69">
        <v>0.69076741328584046</v>
      </c>
      <c r="G18" s="11"/>
      <c r="H18" s="69">
        <f t="shared" si="26"/>
        <v>0.3647692974399091</v>
      </c>
      <c r="I18" s="69">
        <f>'RD T1'!E46</f>
        <v>0.23086147830108672</v>
      </c>
      <c r="J18" s="69">
        <f t="shared" si="27"/>
        <v>0.59563077574099577</v>
      </c>
      <c r="L18" t="str">
        <f t="shared" si="28"/>
        <v>35 Business and public service associate professionals</v>
      </c>
      <c r="M18" s="69">
        <v>2.6740290378626366</v>
      </c>
      <c r="N18" s="69">
        <v>3.5206142866940633</v>
      </c>
      <c r="O18" s="69">
        <v>3.4406607165194942</v>
      </c>
      <c r="P18" s="69">
        <v>4.3164964619121351</v>
      </c>
      <c r="Q18" s="69">
        <v>6.318766965653027</v>
      </c>
      <c r="R18" s="11"/>
      <c r="S18" s="69">
        <f t="shared" si="29"/>
        <v>2.8781062491335327</v>
      </c>
      <c r="T18" s="69">
        <f>'RD T1'!E75</f>
        <v>2.3019437880674398</v>
      </c>
      <c r="U18" s="69">
        <f t="shared" si="30"/>
        <v>5.1800500372009726</v>
      </c>
      <c r="W18" t="str">
        <f t="shared" si="31"/>
        <v>35 Business and public service associate professionals</v>
      </c>
      <c r="X18" s="69">
        <v>7.0720386543720446</v>
      </c>
      <c r="Y18" s="69">
        <v>6.5004711878642949</v>
      </c>
      <c r="Z18" s="69">
        <v>7.2118454489882708</v>
      </c>
      <c r="AA18" s="69">
        <v>7.2765101705441975</v>
      </c>
      <c r="AB18" s="69">
        <v>7.7504413924660005</v>
      </c>
      <c r="AC18" s="69"/>
      <c r="AD18" s="69">
        <f t="shared" si="32"/>
        <v>0.53859594347772966</v>
      </c>
      <c r="AE18" s="69">
        <f>'RD T1'!E104</f>
        <v>3.8207037156991071</v>
      </c>
      <c r="AF18" s="69">
        <f t="shared" si="33"/>
        <v>4.3592996591768367</v>
      </c>
      <c r="AH18" t="str">
        <f t="shared" si="34"/>
        <v>35 Business and public service associate professionals</v>
      </c>
      <c r="AI18" s="69">
        <v>1.9343251803956691</v>
      </c>
      <c r="AJ18" s="69">
        <v>1.8837194928200456</v>
      </c>
      <c r="AK18" s="69">
        <v>2.1830122364258782</v>
      </c>
      <c r="AL18" s="69">
        <v>2.2198627780015667</v>
      </c>
      <c r="AM18" s="69">
        <v>2.4623971375195155</v>
      </c>
      <c r="AN18" s="69"/>
      <c r="AO18" s="69">
        <f t="shared" si="35"/>
        <v>0.27938490109363734</v>
      </c>
      <c r="AP18" s="69">
        <f>'RD T1'!E133</f>
        <v>1.130411986713139</v>
      </c>
      <c r="AQ18" s="69">
        <f t="shared" si="36"/>
        <v>1.4097968878067764</v>
      </c>
      <c r="AS18" t="str">
        <f t="shared" si="37"/>
        <v>35 Business and public service associate professionals</v>
      </c>
      <c r="AT18" s="69">
        <v>1.871396549999657</v>
      </c>
      <c r="AU18" s="69">
        <v>1.7040194060639662</v>
      </c>
      <c r="AV18" s="69">
        <v>1.9063882231556719</v>
      </c>
      <c r="AW18" s="69">
        <v>1.9178686335201709</v>
      </c>
      <c r="AX18" s="69">
        <v>2.1264567102344079</v>
      </c>
      <c r="AY18" s="69"/>
      <c r="AZ18" s="69">
        <f t="shared" si="38"/>
        <v>0.22006848707873594</v>
      </c>
      <c r="BA18" s="69">
        <f>'RD T1'!E162</f>
        <v>0.95234169425550197</v>
      </c>
      <c r="BB18" s="69">
        <f t="shared" si="39"/>
        <v>1.172410181334238</v>
      </c>
      <c r="BD18" t="str">
        <f t="shared" si="40"/>
        <v>35 Business and public service associate professionals</v>
      </c>
      <c r="BE18" s="69">
        <v>5.1774512965390826</v>
      </c>
      <c r="BF18" s="69">
        <v>5.5465844705959562</v>
      </c>
      <c r="BG18" s="69">
        <v>5.6383060969666561</v>
      </c>
      <c r="BH18" s="69">
        <v>5.5542811215519556</v>
      </c>
      <c r="BI18" s="69">
        <v>5.4622608952930731</v>
      </c>
      <c r="BJ18" s="69"/>
      <c r="BK18" s="69">
        <f t="shared" si="41"/>
        <v>-0.17604520167358295</v>
      </c>
      <c r="BL18" s="69">
        <f>'RD T1'!E191</f>
        <v>2.2960481171974392</v>
      </c>
      <c r="BM18" s="69">
        <f t="shared" si="42"/>
        <v>2.1200029155238562</v>
      </c>
      <c r="BO18" t="str">
        <f t="shared" si="43"/>
        <v>35 Business and public service associate professionals</v>
      </c>
      <c r="BP18" s="69">
        <v>4.7226752171239337</v>
      </c>
      <c r="BQ18" s="69">
        <v>4.8011439988853937</v>
      </c>
      <c r="BR18" s="69">
        <v>4.4396430658008654</v>
      </c>
      <c r="BS18" s="69">
        <v>4.3668567246829868</v>
      </c>
      <c r="BT18" s="69">
        <v>3.7353419357725377</v>
      </c>
      <c r="BU18" s="69"/>
      <c r="BV18" s="69">
        <f t="shared" si="44"/>
        <v>-0.70430113002832773</v>
      </c>
      <c r="BW18" s="69">
        <f>'RD T1'!E220</f>
        <v>1.736894434654692</v>
      </c>
      <c r="BX18" s="69">
        <f t="shared" si="45"/>
        <v>1.0325933046263642</v>
      </c>
      <c r="BZ18" t="str">
        <f t="shared" si="46"/>
        <v>35 Business and public service associate professionals</v>
      </c>
      <c r="CA18" s="69">
        <v>2.8703260018515206</v>
      </c>
      <c r="CB18" s="69">
        <v>2.6403045496580893</v>
      </c>
      <c r="CC18" s="69">
        <v>2.6004774873929857</v>
      </c>
      <c r="CD18" s="69">
        <v>2.0947016165907932</v>
      </c>
      <c r="CE18" s="69">
        <v>1.2664315714118151</v>
      </c>
      <c r="CF18" s="69"/>
      <c r="CG18" s="69">
        <f t="shared" si="47"/>
        <v>-1.3340459159811706</v>
      </c>
      <c r="CH18" s="69">
        <f>'RD T1'!E249</f>
        <v>0.69051000047668909</v>
      </c>
      <c r="CI18" s="69">
        <f t="shared" si="48"/>
        <v>-0.64353591550448153</v>
      </c>
      <c r="CK18" t="str">
        <f t="shared" si="49"/>
        <v>35 Business and public service associate professionals</v>
      </c>
      <c r="CL18" s="69">
        <v>0.89496565362356006</v>
      </c>
      <c r="CM18" s="69">
        <v>0.84302760214692296</v>
      </c>
      <c r="CN18" s="69">
        <v>0.97256066593665447</v>
      </c>
      <c r="CO18" s="69">
        <v>0.60832056280802882</v>
      </c>
      <c r="CP18" s="69">
        <v>0.51917055629754838</v>
      </c>
      <c r="CQ18" s="69"/>
      <c r="CR18" s="69">
        <f t="shared" si="50"/>
        <v>-0.45339010963910609</v>
      </c>
      <c r="CS18" s="69">
        <f>'RD T1'!E278</f>
        <v>0.20566464147618702</v>
      </c>
      <c r="CT18" s="69">
        <f t="shared" si="51"/>
        <v>-0.24772546816291907</v>
      </c>
    </row>
    <row r="19" spans="1:98" x14ac:dyDescent="0.25">
      <c r="A19" s="10" t="str">
        <f>name!D15</f>
        <v>41 Administrative occupations</v>
      </c>
      <c r="B19" s="69">
        <v>0.21886835443276942</v>
      </c>
      <c r="C19" s="69">
        <v>0.26620884302064013</v>
      </c>
      <c r="D19" s="69">
        <v>0.27930704803573281</v>
      </c>
      <c r="E19" s="69">
        <v>0.38482077370186279</v>
      </c>
      <c r="F19" s="69">
        <v>0.64590567538924892</v>
      </c>
      <c r="G19" s="11"/>
      <c r="H19" s="69">
        <f t="shared" si="26"/>
        <v>0.36659862735351612</v>
      </c>
      <c r="I19" s="69">
        <f>'RD T1'!E47</f>
        <v>0.2270332374664005</v>
      </c>
      <c r="J19" s="69">
        <f t="shared" si="27"/>
        <v>0.59363186481991659</v>
      </c>
      <c r="L19" t="str">
        <f t="shared" si="28"/>
        <v>41 Administrative occupations</v>
      </c>
      <c r="M19" s="69">
        <v>2.08351761814437</v>
      </c>
      <c r="N19" s="69">
        <v>2.6772778056750686</v>
      </c>
      <c r="O19" s="69">
        <v>2.913821387094532</v>
      </c>
      <c r="P19" s="69">
        <v>3.9494495150883084</v>
      </c>
      <c r="Q19" s="69">
        <v>5.8517368396190221</v>
      </c>
      <c r="R19" s="11"/>
      <c r="S19" s="69">
        <f t="shared" si="29"/>
        <v>2.9379154525244902</v>
      </c>
      <c r="T19" s="69">
        <f>'RD T1'!E76</f>
        <v>2.2641214243771772</v>
      </c>
      <c r="U19" s="69">
        <f t="shared" si="30"/>
        <v>5.2020368769016674</v>
      </c>
      <c r="W19" t="str">
        <f t="shared" si="31"/>
        <v>41 Administrative occupations</v>
      </c>
      <c r="X19" s="69">
        <v>8.4810004813417343</v>
      </c>
      <c r="Y19" s="69">
        <v>7.6268101230053018</v>
      </c>
      <c r="Z19" s="69">
        <v>9.1944183745609376</v>
      </c>
      <c r="AA19" s="69">
        <v>10.549609257434136</v>
      </c>
      <c r="AB19" s="69">
        <v>12.661037788495385</v>
      </c>
      <c r="AC19" s="69"/>
      <c r="AD19" s="69">
        <f t="shared" si="32"/>
        <v>3.4666194139344473</v>
      </c>
      <c r="AE19" s="69">
        <f>'RD T1'!E105</f>
        <v>6.3197486962822653</v>
      </c>
      <c r="AF19" s="69">
        <f t="shared" si="33"/>
        <v>9.7863681102167135</v>
      </c>
      <c r="AH19" t="str">
        <f t="shared" si="34"/>
        <v>41 Administrative occupations</v>
      </c>
      <c r="AI19" s="69">
        <v>2.9647040605496287</v>
      </c>
      <c r="AJ19" s="69">
        <v>2.8054388220369599</v>
      </c>
      <c r="AK19" s="69">
        <v>3.4275540596470844</v>
      </c>
      <c r="AL19" s="69">
        <v>3.8023853753185537</v>
      </c>
      <c r="AM19" s="69">
        <v>4.5935831268623337</v>
      </c>
      <c r="AN19" s="69"/>
      <c r="AO19" s="69">
        <f t="shared" si="35"/>
        <v>1.1660290672152493</v>
      </c>
      <c r="AP19" s="69">
        <f>'RD T1'!E134</f>
        <v>2.4367032797402635</v>
      </c>
      <c r="AQ19" s="69">
        <f t="shared" si="36"/>
        <v>3.6027323469555128</v>
      </c>
      <c r="AS19" t="str">
        <f t="shared" si="37"/>
        <v>41 Administrative occupations</v>
      </c>
      <c r="AT19" s="69">
        <v>2.9932153826778691</v>
      </c>
      <c r="AU19" s="69">
        <v>2.5944168593304169</v>
      </c>
      <c r="AV19" s="69">
        <v>3.1883325092039434</v>
      </c>
      <c r="AW19" s="69">
        <v>3.3635431589347213</v>
      </c>
      <c r="AX19" s="69">
        <v>3.8878374636270778</v>
      </c>
      <c r="AY19" s="69"/>
      <c r="AZ19" s="69">
        <f t="shared" si="38"/>
        <v>0.69950495442313443</v>
      </c>
      <c r="BA19" s="69">
        <f>'RD T1'!E163</f>
        <v>1.9632355389815779</v>
      </c>
      <c r="BB19" s="69">
        <f t="shared" si="39"/>
        <v>2.6627404934047121</v>
      </c>
      <c r="BD19" t="str">
        <f t="shared" si="40"/>
        <v>41 Administrative occupations</v>
      </c>
      <c r="BE19" s="69">
        <v>9.9689734717021263</v>
      </c>
      <c r="BF19" s="69">
        <v>9.6851479513418504</v>
      </c>
      <c r="BG19" s="69">
        <v>9.8895340020557221</v>
      </c>
      <c r="BH19" s="69">
        <v>10.135362367774684</v>
      </c>
      <c r="BI19" s="69">
        <v>9.2729182447320646</v>
      </c>
      <c r="BJ19" s="69"/>
      <c r="BK19" s="69">
        <f t="shared" si="41"/>
        <v>-0.61661575732365748</v>
      </c>
      <c r="BL19" s="69">
        <f>'RD T1'!E192</f>
        <v>4.5405000874965644</v>
      </c>
      <c r="BM19" s="69">
        <f t="shared" si="42"/>
        <v>3.9238843301729069</v>
      </c>
      <c r="BO19" t="str">
        <f t="shared" si="43"/>
        <v>41 Administrative occupations</v>
      </c>
      <c r="BP19" s="69">
        <v>13.245778171663178</v>
      </c>
      <c r="BQ19" s="69">
        <v>12.344960381667388</v>
      </c>
      <c r="BR19" s="69">
        <v>11.379675569731608</v>
      </c>
      <c r="BS19" s="69">
        <v>11.714236564607548</v>
      </c>
      <c r="BT19" s="69">
        <v>8.9098255276334495</v>
      </c>
      <c r="BU19" s="69"/>
      <c r="BV19" s="69">
        <f t="shared" si="44"/>
        <v>-2.4698500420981588</v>
      </c>
      <c r="BW19" s="69">
        <f>'RD T1'!E221</f>
        <v>4.912968490426822</v>
      </c>
      <c r="BX19" s="69">
        <f t="shared" si="45"/>
        <v>2.4431184483286632</v>
      </c>
      <c r="BZ19" t="str">
        <f t="shared" si="46"/>
        <v>41 Administrative occupations</v>
      </c>
      <c r="CA19" s="69">
        <v>6.7219358265731017</v>
      </c>
      <c r="CB19" s="69">
        <v>5.4168361975942174</v>
      </c>
      <c r="CC19" s="69">
        <v>4.9009950763662768</v>
      </c>
      <c r="CD19" s="69">
        <v>3.6417766195033678</v>
      </c>
      <c r="CE19" s="69">
        <v>1.3041893711679875</v>
      </c>
      <c r="CF19" s="69"/>
      <c r="CG19" s="69">
        <f t="shared" si="47"/>
        <v>-3.5968057051982893</v>
      </c>
      <c r="CH19" s="69">
        <f>'RD T1'!E250</f>
        <v>1.1324113542715537</v>
      </c>
      <c r="CI19" s="69">
        <f t="shared" si="48"/>
        <v>-2.4643943509267356</v>
      </c>
      <c r="CK19" t="str">
        <f t="shared" si="49"/>
        <v>41 Administrative occupations</v>
      </c>
      <c r="CL19" s="69">
        <v>2.4604060895733628</v>
      </c>
      <c r="CM19" s="69">
        <v>1.7480548625745518</v>
      </c>
      <c r="CN19" s="69">
        <v>2.0244289830535291</v>
      </c>
      <c r="CO19" s="69">
        <v>1.3931617628140738</v>
      </c>
      <c r="CP19" s="69">
        <v>0.99277260370390097</v>
      </c>
      <c r="CQ19" s="69"/>
      <c r="CR19" s="69">
        <f t="shared" si="50"/>
        <v>-1.0316563793496281</v>
      </c>
      <c r="CS19" s="69">
        <f>'RD T1'!E279</f>
        <v>0.44070305913813612</v>
      </c>
      <c r="CT19" s="69">
        <f t="shared" si="51"/>
        <v>-0.59095332021149194</v>
      </c>
    </row>
    <row r="20" spans="1:98" x14ac:dyDescent="0.25">
      <c r="A20" s="10" t="str">
        <f>name!D16</f>
        <v>42 Secretarial and related occupations</v>
      </c>
      <c r="B20" s="69">
        <v>1.6011380874896924E-2</v>
      </c>
      <c r="C20" s="69">
        <v>1.7538786351069213E-2</v>
      </c>
      <c r="D20" s="69">
        <v>2.0648601889918135E-2</v>
      </c>
      <c r="E20" s="69">
        <v>3.0206784190284462E-2</v>
      </c>
      <c r="F20" s="69">
        <v>4.710554648802992E-2</v>
      </c>
      <c r="G20" s="11"/>
      <c r="H20" s="69">
        <f t="shared" si="26"/>
        <v>2.6456944598111785E-2</v>
      </c>
      <c r="I20" s="69">
        <f>'RD T1'!E48</f>
        <v>2.0147576514149626E-2</v>
      </c>
      <c r="J20" s="69">
        <f t="shared" si="27"/>
        <v>4.6604521112261411E-2</v>
      </c>
      <c r="L20" t="str">
        <f t="shared" si="28"/>
        <v>42 Secretarial and related occupations</v>
      </c>
      <c r="M20" s="69">
        <v>0.33265815111930919</v>
      </c>
      <c r="N20" s="69">
        <v>0.41052479962124783</v>
      </c>
      <c r="O20" s="69">
        <v>0.47265356465006436</v>
      </c>
      <c r="P20" s="69">
        <v>0.60103484482277014</v>
      </c>
      <c r="Q20" s="69">
        <v>0.49203259276245043</v>
      </c>
      <c r="R20" s="11"/>
      <c r="S20" s="69">
        <f t="shared" si="29"/>
        <v>1.9379028112386065E-2</v>
      </c>
      <c r="T20" s="69">
        <f>'RD T1'!E77</f>
        <v>0.30061424218290411</v>
      </c>
      <c r="U20" s="69">
        <f t="shared" si="30"/>
        <v>0.31999327029529018</v>
      </c>
      <c r="W20" t="str">
        <f t="shared" si="31"/>
        <v>42 Secretarial and related occupations</v>
      </c>
      <c r="X20" s="69">
        <v>1.3182841946683523</v>
      </c>
      <c r="Y20" s="69">
        <v>1.1402294109133218</v>
      </c>
      <c r="Z20" s="69">
        <v>1.3728268271190882</v>
      </c>
      <c r="AA20" s="69">
        <v>1.6420950490899289</v>
      </c>
      <c r="AB20" s="69">
        <v>2.0249051859202343</v>
      </c>
      <c r="AC20" s="69"/>
      <c r="AD20" s="69">
        <f t="shared" si="32"/>
        <v>0.65207835880114606</v>
      </c>
      <c r="AE20" s="69">
        <f>'RD T1'!E106</f>
        <v>1.1082484499340386</v>
      </c>
      <c r="AF20" s="69">
        <f t="shared" si="33"/>
        <v>1.7603268087351847</v>
      </c>
      <c r="AH20" t="str">
        <f t="shared" si="34"/>
        <v>42 Secretarial and related occupations</v>
      </c>
      <c r="AI20" s="69">
        <v>0.640294062616108</v>
      </c>
      <c r="AJ20" s="69">
        <v>0.56331652295835133</v>
      </c>
      <c r="AK20" s="69">
        <v>0.70672062399025171</v>
      </c>
      <c r="AL20" s="69">
        <v>0.73535040531087648</v>
      </c>
      <c r="AM20" s="69">
        <v>0.71589519004079505</v>
      </c>
      <c r="AN20" s="69"/>
      <c r="AO20" s="69">
        <f t="shared" si="35"/>
        <v>9.1745660505433424E-3</v>
      </c>
      <c r="AP20" s="69">
        <f>'RD T1'!E135</f>
        <v>0.44746741854728672</v>
      </c>
      <c r="AQ20" s="69">
        <f t="shared" si="36"/>
        <v>0.45664198459783006</v>
      </c>
      <c r="AS20" t="str">
        <f t="shared" si="37"/>
        <v>42 Secretarial and related occupations</v>
      </c>
      <c r="AT20" s="69">
        <v>0.54666442258614178</v>
      </c>
      <c r="AU20" s="69">
        <v>0.4446581812591251</v>
      </c>
      <c r="AV20" s="69">
        <v>0.55548511552801272</v>
      </c>
      <c r="AW20" s="69">
        <v>0.57824309024295018</v>
      </c>
      <c r="AX20" s="69">
        <v>0.59338629507473184</v>
      </c>
      <c r="AY20" s="69"/>
      <c r="AZ20" s="69">
        <f t="shared" si="38"/>
        <v>3.7901179546719121E-2</v>
      </c>
      <c r="BA20" s="69">
        <f>'RD T1'!E164</f>
        <v>0.33287746709956156</v>
      </c>
      <c r="BB20" s="69">
        <f t="shared" si="39"/>
        <v>0.37077864664628069</v>
      </c>
      <c r="BD20" t="str">
        <f t="shared" si="40"/>
        <v>42 Secretarial and related occupations</v>
      </c>
      <c r="BE20" s="69">
        <v>2.0327843821946145</v>
      </c>
      <c r="BF20" s="69">
        <v>1.886034236464462</v>
      </c>
      <c r="BG20" s="69">
        <v>1.7787249574536648</v>
      </c>
      <c r="BH20" s="69">
        <v>1.7290948603522018</v>
      </c>
      <c r="BI20" s="69">
        <v>0.52730052591676513</v>
      </c>
      <c r="BJ20" s="69"/>
      <c r="BK20" s="69">
        <f t="shared" si="41"/>
        <v>-1.2514244315368996</v>
      </c>
      <c r="BL20" s="69">
        <f>'RD T1'!E193</f>
        <v>0.64024197932709992</v>
      </c>
      <c r="BM20" s="69">
        <f t="shared" si="42"/>
        <v>-0.61118245220979972</v>
      </c>
      <c r="BO20" t="str">
        <f t="shared" si="43"/>
        <v>42 Secretarial and related occupations</v>
      </c>
      <c r="BP20" s="69">
        <v>2.9525112115323</v>
      </c>
      <c r="BQ20" s="69">
        <v>2.422531561722125</v>
      </c>
      <c r="BR20" s="69">
        <v>2.0317734352043391</v>
      </c>
      <c r="BS20" s="69">
        <v>1.5175171379952064</v>
      </c>
      <c r="BT20" s="69">
        <v>0.36955281708976262</v>
      </c>
      <c r="BU20" s="69"/>
      <c r="BV20" s="69">
        <f t="shared" si="44"/>
        <v>-1.6622206181145764</v>
      </c>
      <c r="BW20" s="69">
        <f>'RD T1'!E222</f>
        <v>0.54848588386518704</v>
      </c>
      <c r="BX20" s="69">
        <f t="shared" si="45"/>
        <v>-1.1137347342493893</v>
      </c>
      <c r="BZ20" t="str">
        <f t="shared" si="46"/>
        <v>42 Secretarial and related occupations</v>
      </c>
      <c r="CA20" s="69">
        <v>2.3966285270792831</v>
      </c>
      <c r="CB20" s="69">
        <v>2.0397991607890598</v>
      </c>
      <c r="CC20" s="69">
        <v>1.6820682967364342</v>
      </c>
      <c r="CD20" s="69">
        <v>1.2188441266396224</v>
      </c>
      <c r="CE20" s="69">
        <v>0.2307788221279865</v>
      </c>
      <c r="CF20" s="69"/>
      <c r="CG20" s="69">
        <f t="shared" si="47"/>
        <v>-1.4512894746084477</v>
      </c>
      <c r="CH20" s="69">
        <f>'RD T1'!E251</f>
        <v>0.39158883694984242</v>
      </c>
      <c r="CI20" s="69">
        <f t="shared" si="48"/>
        <v>-1.0597006376586053</v>
      </c>
      <c r="CK20" t="str">
        <f t="shared" si="49"/>
        <v>42 Secretarial and related occupations</v>
      </c>
      <c r="CL20" s="69">
        <v>0.76371694653474531</v>
      </c>
      <c r="CM20" s="69">
        <v>0.57023040892136212</v>
      </c>
      <c r="CN20" s="69">
        <v>0.65943185089343614</v>
      </c>
      <c r="CO20" s="69">
        <v>0.51596323690471935</v>
      </c>
      <c r="CP20" s="69">
        <v>0.40650727936597925</v>
      </c>
      <c r="CQ20" s="69"/>
      <c r="CR20" s="69">
        <f t="shared" si="50"/>
        <v>-0.2529245715274569</v>
      </c>
      <c r="CS20" s="69">
        <f>'RD T1'!E280</f>
        <v>0.20612775534541428</v>
      </c>
      <c r="CT20" s="69">
        <f t="shared" si="51"/>
        <v>-4.6796816182042622E-2</v>
      </c>
    </row>
    <row r="21" spans="1:98" x14ac:dyDescent="0.25">
      <c r="A21" s="10" t="str">
        <f>name!D17</f>
        <v>51 Skilled agricultural and related trades</v>
      </c>
      <c r="B21" s="69">
        <v>6.4373572753208021E-3</v>
      </c>
      <c r="C21" s="69">
        <v>8.5766930390563309E-3</v>
      </c>
      <c r="D21" s="69">
        <v>6.4874057331890146E-3</v>
      </c>
      <c r="E21" s="69">
        <v>8.0971128274437507E-3</v>
      </c>
      <c r="F21" s="69">
        <v>1.572014713133163E-2</v>
      </c>
      <c r="G21" s="11"/>
      <c r="H21" s="69">
        <f t="shared" si="26"/>
        <v>9.2327413981426153E-3</v>
      </c>
      <c r="I21" s="69">
        <f>'RD T1'!E49</f>
        <v>6.3409754340996221E-3</v>
      </c>
      <c r="J21" s="69">
        <f t="shared" si="27"/>
        <v>1.5573716832242238E-2</v>
      </c>
      <c r="L21" t="str">
        <f t="shared" si="28"/>
        <v>51 Skilled agricultural and related trades</v>
      </c>
      <c r="M21" s="69">
        <v>6.0049366594989495E-2</v>
      </c>
      <c r="N21" s="69">
        <v>6.0448766575649453E-2</v>
      </c>
      <c r="O21" s="69">
        <v>5.1388624470621397E-2</v>
      </c>
      <c r="P21" s="69">
        <v>6.0824414549783615E-2</v>
      </c>
      <c r="Q21" s="69">
        <v>8.2434257852241843E-2</v>
      </c>
      <c r="R21" s="11"/>
      <c r="S21" s="69">
        <f t="shared" si="29"/>
        <v>3.1045633381620447E-2</v>
      </c>
      <c r="T21" s="69">
        <f>'RD T1'!E78</f>
        <v>3.5089836438961658E-2</v>
      </c>
      <c r="U21" s="69">
        <f t="shared" si="30"/>
        <v>6.6135469820582105E-2</v>
      </c>
      <c r="W21" t="str">
        <f t="shared" si="31"/>
        <v>51 Skilled agricultural and related trades</v>
      </c>
      <c r="X21" s="69">
        <v>0.50143495329953036</v>
      </c>
      <c r="Y21" s="69">
        <v>0.37215794816625131</v>
      </c>
      <c r="Z21" s="69">
        <v>0.34538868902250341</v>
      </c>
      <c r="AA21" s="69">
        <v>0.38192889412666664</v>
      </c>
      <c r="AB21" s="69">
        <v>0.51289022932313466</v>
      </c>
      <c r="AC21" s="69"/>
      <c r="AD21" s="69">
        <f t="shared" si="32"/>
        <v>0.16750154030063125</v>
      </c>
      <c r="AE21" s="69">
        <f>'RD T1'!E107</f>
        <v>0.284397615231885</v>
      </c>
      <c r="AF21" s="69">
        <f t="shared" si="33"/>
        <v>0.45189915553251625</v>
      </c>
      <c r="AH21" t="str">
        <f t="shared" si="34"/>
        <v>51 Skilled agricultural and related trades</v>
      </c>
      <c r="AI21" s="69">
        <v>0.18100464711007885</v>
      </c>
      <c r="AJ21" s="69">
        <v>0.15820674700494228</v>
      </c>
      <c r="AK21" s="69">
        <v>0.13700200541335261</v>
      </c>
      <c r="AL21" s="69">
        <v>0.15924960006524169</v>
      </c>
      <c r="AM21" s="69">
        <v>0.21410150036730022</v>
      </c>
      <c r="AN21" s="69"/>
      <c r="AO21" s="69">
        <f t="shared" si="35"/>
        <v>7.7099494953947606E-2</v>
      </c>
      <c r="AP21" s="69">
        <f>'RD T1'!E136</f>
        <v>0.12240315043702536</v>
      </c>
      <c r="AQ21" s="69">
        <f t="shared" si="36"/>
        <v>0.19950264539097295</v>
      </c>
      <c r="AS21" t="str">
        <f t="shared" si="37"/>
        <v>51 Skilled agricultural and related trades</v>
      </c>
      <c r="AT21" s="69">
        <v>0.35433668543330554</v>
      </c>
      <c r="AU21" s="69">
        <v>0.30817900586924019</v>
      </c>
      <c r="AV21" s="69">
        <v>0.27409151494287032</v>
      </c>
      <c r="AW21" s="69">
        <v>0.30985643990919798</v>
      </c>
      <c r="AX21" s="69">
        <v>0.46477818039310625</v>
      </c>
      <c r="AY21" s="69"/>
      <c r="AZ21" s="69">
        <f t="shared" si="38"/>
        <v>0.19068666545023594</v>
      </c>
      <c r="BA21" s="69">
        <f>'RD T1'!E165</f>
        <v>0.22113316916484793</v>
      </c>
      <c r="BB21" s="69">
        <f t="shared" si="39"/>
        <v>0.41181983461508387</v>
      </c>
      <c r="BD21" t="str">
        <f t="shared" si="40"/>
        <v>51 Skilled agricultural and related trades</v>
      </c>
      <c r="BE21" s="69">
        <v>0.57116715584792188</v>
      </c>
      <c r="BF21" s="69">
        <v>0.55530187204954051</v>
      </c>
      <c r="BG21" s="69">
        <v>0.42892089512295456</v>
      </c>
      <c r="BH21" s="69">
        <v>0.43728902798289937</v>
      </c>
      <c r="BI21" s="69">
        <v>0.48508317450502386</v>
      </c>
      <c r="BJ21" s="69"/>
      <c r="BK21" s="69">
        <f t="shared" si="41"/>
        <v>5.6162279382069302E-2</v>
      </c>
      <c r="BL21" s="69">
        <f>'RD T1'!E194</f>
        <v>0.23537274147863266</v>
      </c>
      <c r="BM21" s="69">
        <f t="shared" si="42"/>
        <v>0.29153502086070193</v>
      </c>
      <c r="BO21" t="str">
        <f t="shared" si="43"/>
        <v>51 Skilled agricultural and related trades</v>
      </c>
      <c r="BP21" s="69">
        <v>1.0853020846207411</v>
      </c>
      <c r="BQ21" s="69">
        <v>1.0227847776936385</v>
      </c>
      <c r="BR21" s="69">
        <v>0.76508482743752015</v>
      </c>
      <c r="BS21" s="69">
        <v>0.7697820387534291</v>
      </c>
      <c r="BT21" s="69">
        <v>0.72362573499846994</v>
      </c>
      <c r="BU21" s="69"/>
      <c r="BV21" s="69">
        <f t="shared" si="44"/>
        <v>-4.1459092439050216E-2</v>
      </c>
      <c r="BW21" s="69">
        <f>'RD T1'!E223</f>
        <v>0.42491520909017838</v>
      </c>
      <c r="BX21" s="69">
        <f t="shared" si="45"/>
        <v>0.38345611665112816</v>
      </c>
      <c r="BZ21" t="str">
        <f t="shared" si="46"/>
        <v>51 Skilled agricultural and related trades</v>
      </c>
      <c r="CA21" s="69">
        <v>0.83416805664795668</v>
      </c>
      <c r="CB21" s="69">
        <v>0.7216675546782072</v>
      </c>
      <c r="CC21" s="69">
        <v>0.71514612342379791</v>
      </c>
      <c r="CD21" s="69">
        <v>0.68182854236480672</v>
      </c>
      <c r="CE21" s="69">
        <v>0.80335150336114003</v>
      </c>
      <c r="CF21" s="69"/>
      <c r="CG21" s="69">
        <f t="shared" si="47"/>
        <v>8.8205379937342121E-2</v>
      </c>
      <c r="CH21" s="69">
        <f>'RD T1'!E252</f>
        <v>0.3364882880601644</v>
      </c>
      <c r="CI21" s="69">
        <f t="shared" si="48"/>
        <v>0.42469366799750652</v>
      </c>
      <c r="CK21" t="str">
        <f t="shared" si="49"/>
        <v>51 Skilled agricultural and related trades</v>
      </c>
      <c r="CL21" s="69">
        <v>0.73741558389356399</v>
      </c>
      <c r="CM21" s="69">
        <v>0.59926791090744735</v>
      </c>
      <c r="CN21" s="69">
        <v>0.46963499929906038</v>
      </c>
      <c r="CO21" s="69">
        <v>0.36947420965322408</v>
      </c>
      <c r="CP21" s="69">
        <v>0.2330324223352068</v>
      </c>
      <c r="CQ21" s="69"/>
      <c r="CR21" s="69">
        <f t="shared" si="50"/>
        <v>-0.23660257696385359</v>
      </c>
      <c r="CS21" s="69">
        <f>'RD T1'!E281</f>
        <v>0.12891802698492949</v>
      </c>
      <c r="CT21" s="69">
        <f t="shared" si="51"/>
        <v>-0.1076845499789241</v>
      </c>
    </row>
    <row r="22" spans="1:98" x14ac:dyDescent="0.25">
      <c r="A22" s="10" t="str">
        <f>name!D18</f>
        <v>52 Skilled metal, electrical and electronic trades</v>
      </c>
      <c r="B22" s="69">
        <v>1.7564368201697496E-2</v>
      </c>
      <c r="C22" s="69">
        <v>1.5367076663070555E-2</v>
      </c>
      <c r="D22" s="69">
        <v>1.1464323518649107E-2</v>
      </c>
      <c r="E22" s="69">
        <v>1.428017202789475E-2</v>
      </c>
      <c r="F22" s="69">
        <v>2.070960367488189E-2</v>
      </c>
      <c r="G22" s="11"/>
      <c r="H22" s="69">
        <f t="shared" si="26"/>
        <v>9.2452801562327835E-3</v>
      </c>
      <c r="I22" s="69">
        <f>'RD T1'!E50</f>
        <v>6.5510052622770026E-3</v>
      </c>
      <c r="J22" s="69">
        <f t="shared" si="27"/>
        <v>1.5796285418509786E-2</v>
      </c>
      <c r="L22" t="str">
        <f t="shared" si="28"/>
        <v>52 Skilled metal, electrical and electronic trades</v>
      </c>
      <c r="M22" s="69">
        <v>0.40513915141708651</v>
      </c>
      <c r="N22" s="69">
        <v>0.51512517624510634</v>
      </c>
      <c r="O22" s="69">
        <v>0.34914786357303379</v>
      </c>
      <c r="P22" s="69">
        <v>0.54939088622029497</v>
      </c>
      <c r="Q22" s="69">
        <v>0.88739307677282209</v>
      </c>
      <c r="R22" s="11"/>
      <c r="S22" s="69">
        <f t="shared" si="29"/>
        <v>0.53824521319978835</v>
      </c>
      <c r="T22" s="69">
        <f>'RD T1'!E79</f>
        <v>0.2873214448812586</v>
      </c>
      <c r="U22" s="69">
        <f t="shared" si="30"/>
        <v>0.82556665808104701</v>
      </c>
      <c r="W22" t="str">
        <f t="shared" si="31"/>
        <v>52 Skilled metal, electrical and electronic trades</v>
      </c>
      <c r="X22" s="69">
        <v>1.3143035673023389</v>
      </c>
      <c r="Y22" s="69">
        <v>1.2206777558925137</v>
      </c>
      <c r="Z22" s="69">
        <v>0.95692385548505654</v>
      </c>
      <c r="AA22" s="69">
        <v>1.1316197263053875</v>
      </c>
      <c r="AB22" s="69">
        <v>1.3678272250516175</v>
      </c>
      <c r="AC22" s="69"/>
      <c r="AD22" s="69">
        <f t="shared" si="32"/>
        <v>0.41090336956656093</v>
      </c>
      <c r="AE22" s="69">
        <f>'RD T1'!E108</f>
        <v>0.57455591573930986</v>
      </c>
      <c r="AF22" s="69">
        <f t="shared" si="33"/>
        <v>0.98545928530587079</v>
      </c>
      <c r="AH22" t="str">
        <f t="shared" si="34"/>
        <v>52 Skilled metal, electrical and electronic trades</v>
      </c>
      <c r="AI22" s="69">
        <v>0.50783586296820971</v>
      </c>
      <c r="AJ22" s="69">
        <v>0.44814052294888634</v>
      </c>
      <c r="AK22" s="69">
        <v>0.37271386732364625</v>
      </c>
      <c r="AL22" s="69">
        <v>0.40830171259085291</v>
      </c>
      <c r="AM22" s="69">
        <v>0.49183097322311375</v>
      </c>
      <c r="AN22" s="69"/>
      <c r="AO22" s="69">
        <f t="shared" si="35"/>
        <v>0.1191171058994675</v>
      </c>
      <c r="AP22" s="69">
        <f>'RD T1'!E137</f>
        <v>0.18510255985581367</v>
      </c>
      <c r="AQ22" s="69">
        <f t="shared" si="36"/>
        <v>0.30421966575528114</v>
      </c>
      <c r="AS22" t="str">
        <f t="shared" si="37"/>
        <v>52 Skilled metal, electrical and electronic trades</v>
      </c>
      <c r="AT22" s="69">
        <v>2.3455198478066719</v>
      </c>
      <c r="AU22" s="69">
        <v>2.0764882654130266</v>
      </c>
      <c r="AV22" s="69">
        <v>1.7895018474807844</v>
      </c>
      <c r="AW22" s="69">
        <v>1.8468542976723226</v>
      </c>
      <c r="AX22" s="69">
        <v>2.0330796559656514</v>
      </c>
      <c r="AY22" s="69"/>
      <c r="AZ22" s="69">
        <f t="shared" si="38"/>
        <v>0.24357780848486699</v>
      </c>
      <c r="BA22" s="69">
        <f>'RD T1'!E166</f>
        <v>0.81702595460087923</v>
      </c>
      <c r="BB22" s="69">
        <f t="shared" si="39"/>
        <v>1.0606037630857461</v>
      </c>
      <c r="BD22" t="str">
        <f t="shared" si="40"/>
        <v>52 Skilled metal, electrical and electronic trades</v>
      </c>
      <c r="BE22" s="69">
        <v>11.118161405746635</v>
      </c>
      <c r="BF22" s="69">
        <v>11.864592535065452</v>
      </c>
      <c r="BG22" s="69">
        <v>9.8300659100997692</v>
      </c>
      <c r="BH22" s="69">
        <v>9.8503371763261764</v>
      </c>
      <c r="BI22" s="69">
        <v>9.471497820139442</v>
      </c>
      <c r="BJ22" s="69"/>
      <c r="BK22" s="69">
        <f t="shared" si="41"/>
        <v>-0.35856808996032719</v>
      </c>
      <c r="BL22" s="69">
        <f>'RD T1'!E195</f>
        <v>3.3996014634412308</v>
      </c>
      <c r="BM22" s="69">
        <f t="shared" si="42"/>
        <v>3.0410333734809036</v>
      </c>
      <c r="BO22" t="str">
        <f t="shared" si="43"/>
        <v>52 Skilled metal, electrical and electronic trades</v>
      </c>
      <c r="BP22" s="69">
        <v>7.0116454827496559</v>
      </c>
      <c r="BQ22" s="69">
        <v>7.1351602011840276</v>
      </c>
      <c r="BR22" s="69">
        <v>5.6803137930496961</v>
      </c>
      <c r="BS22" s="69">
        <v>5.7353319223337564</v>
      </c>
      <c r="BT22" s="69">
        <v>4.912081672506333</v>
      </c>
      <c r="BU22" s="69"/>
      <c r="BV22" s="69">
        <f t="shared" si="44"/>
        <v>-0.7682321205433631</v>
      </c>
      <c r="BW22" s="69">
        <f>'RD T1'!E224</f>
        <v>2.0698358394472107</v>
      </c>
      <c r="BX22" s="69">
        <f t="shared" si="45"/>
        <v>1.3016037189038476</v>
      </c>
      <c r="BZ22" t="str">
        <f t="shared" si="46"/>
        <v>52 Skilled metal, electrical and electronic trades</v>
      </c>
      <c r="CA22" s="69">
        <v>3.6894510440718147</v>
      </c>
      <c r="CB22" s="69">
        <v>3.2252013322447621</v>
      </c>
      <c r="CC22" s="69">
        <v>2.8024218417015874</v>
      </c>
      <c r="CD22" s="69">
        <v>2.2675817566104017</v>
      </c>
      <c r="CE22" s="69">
        <v>1.2002888254006703</v>
      </c>
      <c r="CF22" s="69"/>
      <c r="CG22" s="69">
        <f t="shared" si="47"/>
        <v>-1.6021330163009171</v>
      </c>
      <c r="CH22" s="69">
        <f>'RD T1'!E253</f>
        <v>0.69027253715280945</v>
      </c>
      <c r="CI22" s="69">
        <f t="shared" si="48"/>
        <v>-0.91186047914810764</v>
      </c>
      <c r="CK22" t="str">
        <f t="shared" si="49"/>
        <v>52 Skilled metal, electrical and electronic trades</v>
      </c>
      <c r="CL22" s="69">
        <v>2.2130571066553539</v>
      </c>
      <c r="CM22" s="69">
        <v>1.8428843212041928</v>
      </c>
      <c r="CN22" s="69">
        <v>1.444272980015455</v>
      </c>
      <c r="CO22" s="69">
        <v>0.82025065136466158</v>
      </c>
      <c r="CP22" s="69">
        <v>0.4564254894928943</v>
      </c>
      <c r="CQ22" s="69"/>
      <c r="CR22" s="69">
        <f t="shared" si="50"/>
        <v>-0.98784749052256071</v>
      </c>
      <c r="CS22" s="69">
        <f>'RD T1'!E282</f>
        <v>0.25872450442454226</v>
      </c>
      <c r="CT22" s="69">
        <f t="shared" si="51"/>
        <v>-0.7291229860980184</v>
      </c>
    </row>
    <row r="23" spans="1:98" x14ac:dyDescent="0.25">
      <c r="A23" s="10" t="str">
        <f>name!D19</f>
        <v>53 Skilled construction and building trades</v>
      </c>
      <c r="B23" s="69">
        <v>6.7342071858064604E-3</v>
      </c>
      <c r="C23" s="69">
        <v>5.7092123051908856E-3</v>
      </c>
      <c r="D23" s="69">
        <v>3.5356937275610512E-3</v>
      </c>
      <c r="E23" s="69">
        <v>4.9356410262730013E-3</v>
      </c>
      <c r="F23" s="69">
        <v>5.1183749533666098E-3</v>
      </c>
      <c r="G23" s="11"/>
      <c r="H23" s="69">
        <f t="shared" si="26"/>
        <v>1.5826812258055586E-3</v>
      </c>
      <c r="I23" s="69">
        <f>'RD T1'!E51</f>
        <v>1.9416398422667657E-3</v>
      </c>
      <c r="J23" s="69">
        <f t="shared" si="27"/>
        <v>3.5243210680723242E-3</v>
      </c>
      <c r="L23" t="str">
        <f t="shared" si="28"/>
        <v>53 Skilled construction and building trades</v>
      </c>
      <c r="M23" s="69">
        <v>0.15899770229418148</v>
      </c>
      <c r="N23" s="69">
        <v>0.19809568834416022</v>
      </c>
      <c r="O23" s="69">
        <v>0.14059944724793219</v>
      </c>
      <c r="P23" s="69">
        <v>0.19093888003571718</v>
      </c>
      <c r="Q23" s="69">
        <v>0.27226960095809533</v>
      </c>
      <c r="R23" s="11"/>
      <c r="S23" s="69">
        <f t="shared" si="29"/>
        <v>0.13167015371016313</v>
      </c>
      <c r="T23" s="69">
        <f>'RD T1'!E80</f>
        <v>9.4898402814163743E-2</v>
      </c>
      <c r="U23" s="69">
        <f t="shared" si="30"/>
        <v>0.22656855652432689</v>
      </c>
      <c r="W23" t="str">
        <f t="shared" si="31"/>
        <v>53 Skilled construction and building trades</v>
      </c>
      <c r="X23" s="69">
        <v>0.6566621462471337</v>
      </c>
      <c r="Y23" s="69">
        <v>0.6001115502093729</v>
      </c>
      <c r="Z23" s="69">
        <v>0.4832356462723717</v>
      </c>
      <c r="AA23" s="69">
        <v>0.55354204448262534</v>
      </c>
      <c r="AB23" s="69">
        <v>0.61046135803375567</v>
      </c>
      <c r="AC23" s="69"/>
      <c r="AD23" s="69">
        <f t="shared" si="32"/>
        <v>0.12722571176138397</v>
      </c>
      <c r="AE23" s="69">
        <f>'RD T1'!E109</f>
        <v>0.28024603997290937</v>
      </c>
      <c r="AF23" s="69">
        <f t="shared" si="33"/>
        <v>0.40747175173429334</v>
      </c>
      <c r="AH23" t="str">
        <f t="shared" si="34"/>
        <v>53 Skilled construction and building trades</v>
      </c>
      <c r="AI23" s="69">
        <v>0.39029949541675057</v>
      </c>
      <c r="AJ23" s="69">
        <v>0.41947807012202021</v>
      </c>
      <c r="AK23" s="69">
        <v>0.36860761709271006</v>
      </c>
      <c r="AL23" s="69">
        <v>0.4233298783107361</v>
      </c>
      <c r="AM23" s="69">
        <v>0.48625893071102161</v>
      </c>
      <c r="AN23" s="69"/>
      <c r="AO23" s="69">
        <f t="shared" si="35"/>
        <v>0.11765131361831155</v>
      </c>
      <c r="AP23" s="69">
        <f>'RD T1'!E138</f>
        <v>0.23154413736605528</v>
      </c>
      <c r="AQ23" s="69">
        <f t="shared" si="36"/>
        <v>0.34919545098436683</v>
      </c>
      <c r="AS23" t="str">
        <f t="shared" si="37"/>
        <v>53 Skilled construction and building trades</v>
      </c>
      <c r="AT23" s="69">
        <v>0.56146256442753262</v>
      </c>
      <c r="AU23" s="69">
        <v>0.62048946618272194</v>
      </c>
      <c r="AV23" s="69">
        <v>0.53358704843977633</v>
      </c>
      <c r="AW23" s="69">
        <v>0.59614963485420103</v>
      </c>
      <c r="AX23" s="69">
        <v>0.61209229997091263</v>
      </c>
      <c r="AY23" s="69"/>
      <c r="AZ23" s="69">
        <f t="shared" si="38"/>
        <v>7.85052515311363E-2</v>
      </c>
      <c r="BA23" s="69">
        <f>'RD T1'!E167</f>
        <v>0.29680826063665228</v>
      </c>
      <c r="BB23" s="69">
        <f t="shared" si="39"/>
        <v>0.37531351216778858</v>
      </c>
      <c r="BD23" t="str">
        <f t="shared" si="40"/>
        <v>53 Skilled construction and building trades</v>
      </c>
      <c r="BE23" s="69">
        <v>5.843626847259201</v>
      </c>
      <c r="BF23" s="69">
        <v>6.8925446863192494</v>
      </c>
      <c r="BG23" s="69">
        <v>5.6734510206812061</v>
      </c>
      <c r="BH23" s="69">
        <v>5.6242083951505029</v>
      </c>
      <c r="BI23" s="69">
        <v>4.9652544046416445</v>
      </c>
      <c r="BJ23" s="69"/>
      <c r="BK23" s="69">
        <f t="shared" si="41"/>
        <v>-0.70819661603956163</v>
      </c>
      <c r="BL23" s="69">
        <f>'RD T1'!E196</f>
        <v>2.0687667621130728</v>
      </c>
      <c r="BM23" s="69">
        <f t="shared" si="42"/>
        <v>1.3605701460735111</v>
      </c>
      <c r="BO23" t="str">
        <f t="shared" si="43"/>
        <v>53 Skilled construction and building trades</v>
      </c>
      <c r="BP23" s="69">
        <v>5.5801011449246349</v>
      </c>
      <c r="BQ23" s="69">
        <v>7.0630385101534783</v>
      </c>
      <c r="BR23" s="69">
        <v>5.5984203141260878</v>
      </c>
      <c r="BS23" s="69">
        <v>6.1540276835715852</v>
      </c>
      <c r="BT23" s="69">
        <v>5.7182742401770454</v>
      </c>
      <c r="BU23" s="69"/>
      <c r="BV23" s="69">
        <f t="shared" si="44"/>
        <v>0.11985392605095768</v>
      </c>
      <c r="BW23" s="69">
        <f>'RD T1'!E225</f>
        <v>2.7455715251184549</v>
      </c>
      <c r="BX23" s="69">
        <f t="shared" si="45"/>
        <v>2.8654254511694126</v>
      </c>
      <c r="BZ23" t="str">
        <f t="shared" si="46"/>
        <v>53 Skilled construction and building trades</v>
      </c>
      <c r="CA23" s="69">
        <v>3.0904376169304544</v>
      </c>
      <c r="CB23" s="69">
        <v>3.087924934921578</v>
      </c>
      <c r="CC23" s="69">
        <v>2.6774607516522253</v>
      </c>
      <c r="CD23" s="69">
        <v>2.266481233449726</v>
      </c>
      <c r="CE23" s="69">
        <v>1.5518542013653056</v>
      </c>
      <c r="CF23" s="69"/>
      <c r="CG23" s="69">
        <f t="shared" si="47"/>
        <v>-1.1256065502869197</v>
      </c>
      <c r="CH23" s="69">
        <f>'RD T1'!E254</f>
        <v>0.81640043696985498</v>
      </c>
      <c r="CI23" s="69">
        <f t="shared" si="48"/>
        <v>-0.30920611331706471</v>
      </c>
      <c r="CK23" t="str">
        <f t="shared" si="49"/>
        <v>53 Skilled construction and building trades</v>
      </c>
      <c r="CL23" s="69">
        <v>2.3873088441752195</v>
      </c>
      <c r="CM23" s="69">
        <v>2.452164839475675</v>
      </c>
      <c r="CN23" s="69">
        <v>1.9945758633782662</v>
      </c>
      <c r="CO23" s="69">
        <v>0.99955712344789704</v>
      </c>
      <c r="CP23" s="69">
        <v>0.17999781673767709</v>
      </c>
      <c r="CQ23" s="69"/>
      <c r="CR23" s="69">
        <f t="shared" si="50"/>
        <v>-1.8145780466405892</v>
      </c>
      <c r="CS23" s="69">
        <f>'RD T1'!E283</f>
        <v>0.23953242733313707</v>
      </c>
      <c r="CT23" s="69">
        <f t="shared" si="51"/>
        <v>-1.5750456193074522</v>
      </c>
    </row>
    <row r="24" spans="1:98" x14ac:dyDescent="0.25">
      <c r="A24" s="10" t="str">
        <f>name!D20</f>
        <v>54 Textiles, printing and other skilled trades</v>
      </c>
      <c r="B24" s="69">
        <v>3.5008807529354861E-2</v>
      </c>
      <c r="C24" s="69">
        <v>3.5188716921286362E-2</v>
      </c>
      <c r="D24" s="69">
        <v>3.0993165750762212E-2</v>
      </c>
      <c r="E24" s="69">
        <v>4.2707277077266147E-2</v>
      </c>
      <c r="F24" s="69">
        <v>5.5661268949444703E-2</v>
      </c>
      <c r="G24" s="11"/>
      <c r="H24" s="69">
        <f t="shared" si="26"/>
        <v>2.4668103198682491E-2</v>
      </c>
      <c r="I24" s="69">
        <f>'RD T1'!E52</f>
        <v>2.1073199892913567E-2</v>
      </c>
      <c r="J24" s="69">
        <f t="shared" si="27"/>
        <v>4.5741303091596061E-2</v>
      </c>
      <c r="L24" t="str">
        <f t="shared" si="28"/>
        <v>54 Textiles, printing and other skilled trades</v>
      </c>
      <c r="M24" s="69">
        <v>0.22141870909884462</v>
      </c>
      <c r="N24" s="69">
        <v>0.28268853228540725</v>
      </c>
      <c r="O24" s="69">
        <v>0.29977725198786687</v>
      </c>
      <c r="P24" s="69">
        <v>0.39010206914416062</v>
      </c>
      <c r="Q24" s="69">
        <v>0.61532062818748856</v>
      </c>
      <c r="R24" s="11"/>
      <c r="S24" s="69">
        <f t="shared" si="29"/>
        <v>0.31554337619962169</v>
      </c>
      <c r="T24" s="69">
        <f>'RD T1'!E81</f>
        <v>0.23629289617448163</v>
      </c>
      <c r="U24" s="69">
        <f t="shared" si="30"/>
        <v>0.55183627237410326</v>
      </c>
      <c r="W24" t="str">
        <f t="shared" si="31"/>
        <v>54 Textiles, printing and other skilled trades</v>
      </c>
      <c r="X24" s="69">
        <v>0.69250870517751617</v>
      </c>
      <c r="Y24" s="69">
        <v>0.58442840984798183</v>
      </c>
      <c r="Z24" s="69">
        <v>0.64773474534466513</v>
      </c>
      <c r="AA24" s="69">
        <v>0.78440206882627406</v>
      </c>
      <c r="AB24" s="69">
        <v>0.98742588664652065</v>
      </c>
      <c r="AC24" s="69"/>
      <c r="AD24" s="69">
        <f t="shared" si="32"/>
        <v>0.33969114130185551</v>
      </c>
      <c r="AE24" s="69">
        <f>'RD T1'!E110</f>
        <v>0.46847337473268869</v>
      </c>
      <c r="AF24" s="69">
        <f t="shared" si="33"/>
        <v>0.8081645160345442</v>
      </c>
      <c r="AH24" t="str">
        <f t="shared" si="34"/>
        <v>54 Textiles, printing and other skilled trades</v>
      </c>
      <c r="AI24" s="69">
        <v>0.27083361720052401</v>
      </c>
      <c r="AJ24" s="69">
        <v>0.21095247872492595</v>
      </c>
      <c r="AK24" s="69">
        <v>0.25854393497278039</v>
      </c>
      <c r="AL24" s="69">
        <v>0.27102868999642943</v>
      </c>
      <c r="AM24" s="69">
        <v>0.32379238943069005</v>
      </c>
      <c r="AN24" s="69"/>
      <c r="AO24" s="69">
        <f t="shared" si="35"/>
        <v>6.5248454457909666E-2</v>
      </c>
      <c r="AP24" s="69">
        <f>'RD T1'!E139</f>
        <v>0.16688582235056312</v>
      </c>
      <c r="AQ24" s="69">
        <f t="shared" si="36"/>
        <v>0.23213427680847279</v>
      </c>
      <c r="AS24" t="str">
        <f t="shared" si="37"/>
        <v>54 Textiles, printing and other skilled trades</v>
      </c>
      <c r="AT24" s="69">
        <v>0.31662507612971608</v>
      </c>
      <c r="AU24" s="69">
        <v>0.2486486073543917</v>
      </c>
      <c r="AV24" s="69">
        <v>0.28979790364263391</v>
      </c>
      <c r="AW24" s="69">
        <v>0.31955840626068993</v>
      </c>
      <c r="AX24" s="69">
        <v>0.37459648726149575</v>
      </c>
      <c r="AY24" s="69"/>
      <c r="AZ24" s="69">
        <f t="shared" si="38"/>
        <v>8.4798583618861834E-2</v>
      </c>
      <c r="BA24" s="69">
        <f>'RD T1'!E168</f>
        <v>0.17915709436709035</v>
      </c>
      <c r="BB24" s="69">
        <f t="shared" si="39"/>
        <v>0.26395567798595221</v>
      </c>
      <c r="BD24" t="str">
        <f t="shared" si="40"/>
        <v>54 Textiles, printing and other skilled trades</v>
      </c>
      <c r="BE24" s="69">
        <v>2.1577913751341131</v>
      </c>
      <c r="BF24" s="69">
        <v>2.1359450150858659</v>
      </c>
      <c r="BG24" s="69">
        <v>2.0041714890091522</v>
      </c>
      <c r="BH24" s="69">
        <v>2.3441015961797316</v>
      </c>
      <c r="BI24" s="69">
        <v>2.3964957914005085</v>
      </c>
      <c r="BJ24" s="69"/>
      <c r="BK24" s="69">
        <f t="shared" si="41"/>
        <v>0.39232430239135629</v>
      </c>
      <c r="BL24" s="69">
        <f>'RD T1'!E197</f>
        <v>0.92054026540790956</v>
      </c>
      <c r="BM24" s="69">
        <f t="shared" si="42"/>
        <v>1.3128645677992659</v>
      </c>
      <c r="BO24" t="str">
        <f t="shared" si="43"/>
        <v>54 Textiles, printing and other skilled trades</v>
      </c>
      <c r="BP24" s="69">
        <v>2.5057509786763044</v>
      </c>
      <c r="BQ24" s="69">
        <v>2.2131964539764399</v>
      </c>
      <c r="BR24" s="69">
        <v>2.0514040727666725</v>
      </c>
      <c r="BS24" s="69">
        <v>2.1391960594874591</v>
      </c>
      <c r="BT24" s="69">
        <v>1.9222140565401631</v>
      </c>
      <c r="BU24" s="69"/>
      <c r="BV24" s="69">
        <f t="shared" si="44"/>
        <v>-0.12919001622650939</v>
      </c>
      <c r="BW24" s="69">
        <f>'RD T1'!E226</f>
        <v>0.83028304009313447</v>
      </c>
      <c r="BX24" s="69">
        <f t="shared" si="45"/>
        <v>0.70109302386662509</v>
      </c>
      <c r="BZ24" t="str">
        <f t="shared" si="46"/>
        <v>54 Textiles, printing and other skilled trades</v>
      </c>
      <c r="CA24" s="69">
        <v>1.9862887305788941</v>
      </c>
      <c r="CB24" s="69">
        <v>1.6325914688015128</v>
      </c>
      <c r="CC24" s="69">
        <v>1.5800721221504035</v>
      </c>
      <c r="CD24" s="69">
        <v>1.4697108240776402</v>
      </c>
      <c r="CE24" s="69">
        <v>0.88822338519341559</v>
      </c>
      <c r="CF24" s="69"/>
      <c r="CG24" s="69">
        <f t="shared" si="47"/>
        <v>-0.6918487369569879</v>
      </c>
      <c r="CH24" s="69">
        <f>'RD T1'!E255</f>
        <v>0.47416734491117546</v>
      </c>
      <c r="CI24" s="69">
        <f t="shared" si="48"/>
        <v>-0.21768139204581244</v>
      </c>
      <c r="CK24" t="str">
        <f t="shared" si="49"/>
        <v>54 Textiles, printing and other skilled trades</v>
      </c>
      <c r="CL24" s="69">
        <v>1.4828774989012767</v>
      </c>
      <c r="CM24" s="69">
        <v>1.1024655937923724</v>
      </c>
      <c r="CN24" s="69">
        <v>1.1669076436963572</v>
      </c>
      <c r="CO24" s="69">
        <v>0.65782371002315054</v>
      </c>
      <c r="CP24" s="69">
        <v>0.4214611141006453</v>
      </c>
      <c r="CQ24" s="69"/>
      <c r="CR24" s="69">
        <f t="shared" si="50"/>
        <v>-0.745446529595712</v>
      </c>
      <c r="CS24" s="69">
        <f>'RD T1'!E284</f>
        <v>0.20499360045299536</v>
      </c>
      <c r="CT24" s="69">
        <f t="shared" si="51"/>
        <v>-0.5404529291427167</v>
      </c>
    </row>
    <row r="25" spans="1:98" x14ac:dyDescent="0.25">
      <c r="A25" s="10" t="str">
        <f>name!D21</f>
        <v>61 Caring personal service occupations</v>
      </c>
      <c r="B25" s="69">
        <v>1.9479603654728134E-2</v>
      </c>
      <c r="C25" s="69">
        <v>2.7481363419311851E-2</v>
      </c>
      <c r="D25" s="69">
        <v>2.7400915804108666E-2</v>
      </c>
      <c r="E25" s="69">
        <v>3.7660031805455726E-2</v>
      </c>
      <c r="F25" s="69">
        <v>6.7065464722826443E-2</v>
      </c>
      <c r="G25" s="11"/>
      <c r="H25" s="69">
        <f t="shared" si="26"/>
        <v>3.9664548918717776E-2</v>
      </c>
      <c r="I25" s="69">
        <f>'RD T1'!E53</f>
        <v>2.3928765106065175E-2</v>
      </c>
      <c r="J25" s="69">
        <f t="shared" si="27"/>
        <v>6.3593314024782951E-2</v>
      </c>
      <c r="L25" t="str">
        <f t="shared" si="28"/>
        <v>61 Caring personal service occupations</v>
      </c>
      <c r="M25" s="69">
        <v>1.0609127630576478</v>
      </c>
      <c r="N25" s="69">
        <v>1.5914936637647974</v>
      </c>
      <c r="O25" s="69">
        <v>1.648877940775634</v>
      </c>
      <c r="P25" s="69">
        <v>2.3837591877680806</v>
      </c>
      <c r="Q25" s="69">
        <v>4.5459988221634502</v>
      </c>
      <c r="R25" s="11"/>
      <c r="S25" s="69">
        <f t="shared" si="29"/>
        <v>2.8971208813878162</v>
      </c>
      <c r="T25" s="69">
        <f>'RD T1'!E82</f>
        <v>1.6588512459301632</v>
      </c>
      <c r="U25" s="69">
        <f t="shared" si="30"/>
        <v>4.555972127317979</v>
      </c>
      <c r="W25" t="str">
        <f t="shared" si="31"/>
        <v>61 Caring personal service occupations</v>
      </c>
      <c r="X25" s="69">
        <v>4.1653637983659006</v>
      </c>
      <c r="Y25" s="69">
        <v>4.3548553532433241</v>
      </c>
      <c r="Z25" s="69">
        <v>5.0871228328913283</v>
      </c>
      <c r="AA25" s="69">
        <v>5.8482124379846363</v>
      </c>
      <c r="AB25" s="69">
        <v>7.5929014662941867</v>
      </c>
      <c r="AC25" s="69"/>
      <c r="AD25" s="69">
        <f t="shared" si="32"/>
        <v>2.5057786334028584</v>
      </c>
      <c r="AE25" s="69">
        <f>'RD T1'!E111</f>
        <v>4.2640186348299292</v>
      </c>
      <c r="AF25" s="69">
        <f t="shared" si="33"/>
        <v>6.7697972682327876</v>
      </c>
      <c r="AH25" t="str">
        <f t="shared" si="34"/>
        <v>61 Caring personal service occupations</v>
      </c>
      <c r="AI25" s="69">
        <v>3.7903009313178173</v>
      </c>
      <c r="AJ25" s="69">
        <v>3.5285714341529224</v>
      </c>
      <c r="AK25" s="69">
        <v>4.2006331630226796</v>
      </c>
      <c r="AL25" s="69">
        <v>4.0057302346377091</v>
      </c>
      <c r="AM25" s="69">
        <v>4.432094981420267</v>
      </c>
      <c r="AN25" s="69"/>
      <c r="AO25" s="69">
        <f t="shared" si="35"/>
        <v>0.23146181839758739</v>
      </c>
      <c r="AP25" s="69">
        <f>'RD T1'!E140</f>
        <v>2.5025205577013221</v>
      </c>
      <c r="AQ25" s="69">
        <f t="shared" si="36"/>
        <v>2.7339823760989095</v>
      </c>
      <c r="AS25" t="str">
        <f t="shared" si="37"/>
        <v>61 Caring personal service occupations</v>
      </c>
      <c r="AT25" s="69">
        <v>1.954680161294621</v>
      </c>
      <c r="AU25" s="69">
        <v>1.9929100245831028</v>
      </c>
      <c r="AV25" s="69">
        <v>2.3387631540885168</v>
      </c>
      <c r="AW25" s="69">
        <v>2.2997985351434509</v>
      </c>
      <c r="AX25" s="69">
        <v>2.6553114034887897</v>
      </c>
      <c r="AY25" s="69"/>
      <c r="AZ25" s="69">
        <f t="shared" si="38"/>
        <v>0.31654824940027293</v>
      </c>
      <c r="BA25" s="69">
        <f>'RD T1'!E169</f>
        <v>1.478122160770349</v>
      </c>
      <c r="BB25" s="69">
        <f t="shared" si="39"/>
        <v>1.7946704101706219</v>
      </c>
      <c r="BD25" t="str">
        <f t="shared" si="40"/>
        <v>61 Caring personal service occupations</v>
      </c>
      <c r="BE25" s="69">
        <v>12.532243451603602</v>
      </c>
      <c r="BF25" s="69">
        <v>15.197083113635109</v>
      </c>
      <c r="BG25" s="69">
        <v>14.43868890488992</v>
      </c>
      <c r="BH25" s="69">
        <v>15.358936425009194</v>
      </c>
      <c r="BI25" s="69">
        <v>16.559878886886544</v>
      </c>
      <c r="BJ25" s="69"/>
      <c r="BK25" s="69">
        <f t="shared" si="41"/>
        <v>2.1211899819966238</v>
      </c>
      <c r="BL25" s="69">
        <f>'RD T1'!E198</f>
        <v>8.7924972970959185</v>
      </c>
      <c r="BM25" s="69">
        <f t="shared" si="42"/>
        <v>10.913687279092542</v>
      </c>
      <c r="BO25" t="str">
        <f t="shared" si="43"/>
        <v>61 Caring personal service occupations</v>
      </c>
      <c r="BP25" s="69">
        <v>11.225085592587142</v>
      </c>
      <c r="BQ25" s="69">
        <v>12.086452827449582</v>
      </c>
      <c r="BR25" s="69">
        <v>9.9779947209940332</v>
      </c>
      <c r="BS25" s="69">
        <v>10.103031619415766</v>
      </c>
      <c r="BT25" s="69">
        <v>8.2363985955210968</v>
      </c>
      <c r="BU25" s="69"/>
      <c r="BV25" s="69">
        <f t="shared" si="44"/>
        <v>-1.7415961254729364</v>
      </c>
      <c r="BW25" s="69">
        <f>'RD T1'!E227</f>
        <v>4.9502908172507514</v>
      </c>
      <c r="BX25" s="69">
        <f t="shared" si="45"/>
        <v>3.208694691777815</v>
      </c>
      <c r="BZ25" t="str">
        <f t="shared" si="46"/>
        <v>61 Caring personal service occupations</v>
      </c>
      <c r="CA25" s="69">
        <v>3.147359459623793</v>
      </c>
      <c r="CB25" s="69">
        <v>1.7927165266371012</v>
      </c>
      <c r="CC25" s="69">
        <v>1.4660701153049098</v>
      </c>
      <c r="CD25" s="69">
        <v>1.0247361280453511</v>
      </c>
      <c r="CE25" s="69">
        <v>0.73893507123057256</v>
      </c>
      <c r="CF25" s="69"/>
      <c r="CG25" s="69">
        <f t="shared" si="47"/>
        <v>-0.72713504407433727</v>
      </c>
      <c r="CH25" s="69">
        <f>'RD T1'!E256</f>
        <v>0.33058369520826747</v>
      </c>
      <c r="CI25" s="69">
        <f t="shared" si="48"/>
        <v>-0.3965513488660698</v>
      </c>
      <c r="CK25" t="str">
        <f t="shared" si="49"/>
        <v>61 Caring personal service occupations</v>
      </c>
      <c r="CL25" s="69">
        <v>0.65380056020014787</v>
      </c>
      <c r="CM25" s="69">
        <v>0.4903050673288375</v>
      </c>
      <c r="CN25" s="69">
        <v>0.52346223229924793</v>
      </c>
      <c r="CO25" s="69">
        <v>0.4133666448257608</v>
      </c>
      <c r="CP25" s="69">
        <v>0.30285019289841425</v>
      </c>
      <c r="CQ25" s="69"/>
      <c r="CR25" s="69">
        <f t="shared" si="50"/>
        <v>-0.22061203940083368</v>
      </c>
      <c r="CS25" s="69">
        <f>'RD T1'!E285</f>
        <v>0.11760125142725299</v>
      </c>
      <c r="CT25" s="69">
        <f t="shared" si="51"/>
        <v>-0.10301078797358069</v>
      </c>
    </row>
    <row r="26" spans="1:98" x14ac:dyDescent="0.25">
      <c r="A26" s="10" t="str">
        <f>name!D22</f>
        <v>62 Leisure, travel and related personal service occupations</v>
      </c>
      <c r="B26" s="69">
        <v>8.9542089952393735E-3</v>
      </c>
      <c r="C26" s="69">
        <v>1.6092784096552234E-2</v>
      </c>
      <c r="D26" s="69">
        <v>1.7170951827122732E-2</v>
      </c>
      <c r="E26" s="69">
        <v>2.392703720473003E-2</v>
      </c>
      <c r="F26" s="69">
        <v>4.1563315723296947E-2</v>
      </c>
      <c r="G26" s="11"/>
      <c r="H26" s="69">
        <f t="shared" si="26"/>
        <v>2.4392363896174215E-2</v>
      </c>
      <c r="I26" s="69">
        <f>'RD T1'!E54</f>
        <v>1.5903922695022374E-2</v>
      </c>
      <c r="J26" s="69">
        <f t="shared" si="27"/>
        <v>4.0296286591196592E-2</v>
      </c>
      <c r="L26" t="str">
        <f t="shared" si="28"/>
        <v>62 Leisure, travel and related personal service occupations</v>
      </c>
      <c r="M26" s="69">
        <v>0.1935522872246927</v>
      </c>
      <c r="N26" s="69">
        <v>0.23173289459622545</v>
      </c>
      <c r="O26" s="69">
        <v>0.23088990393483855</v>
      </c>
      <c r="P26" s="69">
        <v>0.26363883521454179</v>
      </c>
      <c r="Q26" s="69">
        <v>0.46079246792537998</v>
      </c>
      <c r="R26" s="11"/>
      <c r="S26" s="69">
        <f t="shared" si="29"/>
        <v>0.22990256399054143</v>
      </c>
      <c r="T26" s="69">
        <f>'RD T1'!E83</f>
        <v>0.17025661725392877</v>
      </c>
      <c r="U26" s="69">
        <f t="shared" si="30"/>
        <v>0.4001591812444702</v>
      </c>
      <c r="W26" t="str">
        <f t="shared" si="31"/>
        <v>62 Leisure, travel and related personal service occupations</v>
      </c>
      <c r="X26" s="69">
        <v>0.89520630631290909</v>
      </c>
      <c r="Y26" s="69">
        <v>0.88230355790970894</v>
      </c>
      <c r="Z26" s="69">
        <v>0.93384356837798443</v>
      </c>
      <c r="AA26" s="69">
        <v>1.0641008476185727</v>
      </c>
      <c r="AB26" s="69">
        <v>1.4851133251436135</v>
      </c>
      <c r="AC26" s="69"/>
      <c r="AD26" s="69">
        <f t="shared" si="32"/>
        <v>0.55126975676562906</v>
      </c>
      <c r="AE26" s="69">
        <f>'RD T1'!E112</f>
        <v>0.74088515744118599</v>
      </c>
      <c r="AF26" s="69">
        <f t="shared" si="33"/>
        <v>1.2921549142068152</v>
      </c>
      <c r="AH26" t="str">
        <f t="shared" si="34"/>
        <v>62 Leisure, travel and related personal service occupations</v>
      </c>
      <c r="AI26" s="69">
        <v>0.6070190042918171</v>
      </c>
      <c r="AJ26" s="69">
        <v>0.57843426580870216</v>
      </c>
      <c r="AK26" s="69">
        <v>0.62586487366166454</v>
      </c>
      <c r="AL26" s="69">
        <v>0.64329100023773211</v>
      </c>
      <c r="AM26" s="69">
        <v>0.85244358778270313</v>
      </c>
      <c r="AN26" s="69"/>
      <c r="AO26" s="69">
        <f t="shared" si="35"/>
        <v>0.22657871412103858</v>
      </c>
      <c r="AP26" s="69">
        <f>'RD T1'!E141</f>
        <v>0.44613160352408021</v>
      </c>
      <c r="AQ26" s="69">
        <f t="shared" si="36"/>
        <v>0.67271031764511879</v>
      </c>
      <c r="AS26" t="str">
        <f t="shared" si="37"/>
        <v>62 Leisure, travel and related personal service occupations</v>
      </c>
      <c r="AT26" s="69">
        <v>0.70032400642643144</v>
      </c>
      <c r="AU26" s="69">
        <v>0.64992732146940468</v>
      </c>
      <c r="AV26" s="69">
        <v>0.72455408037163693</v>
      </c>
      <c r="AW26" s="69">
        <v>0.75711804123978332</v>
      </c>
      <c r="AX26" s="69">
        <v>1.0224081237166951</v>
      </c>
      <c r="AY26" s="69"/>
      <c r="AZ26" s="69">
        <f t="shared" si="38"/>
        <v>0.29785404334505816</v>
      </c>
      <c r="BA26" s="69">
        <f>'RD T1'!E170</f>
        <v>0.52981251382272898</v>
      </c>
      <c r="BB26" s="69">
        <f t="shared" si="39"/>
        <v>0.82766655716778714</v>
      </c>
      <c r="BD26" t="str">
        <f t="shared" si="40"/>
        <v>62 Leisure, travel and related personal service occupations</v>
      </c>
      <c r="BE26" s="69">
        <v>2.797403765686056</v>
      </c>
      <c r="BF26" s="69">
        <v>2.4324340226698586</v>
      </c>
      <c r="BG26" s="69">
        <v>2.1936744287136394</v>
      </c>
      <c r="BH26" s="69">
        <v>2.0210723270884126</v>
      </c>
      <c r="BI26" s="69">
        <v>1.8407814733969885</v>
      </c>
      <c r="BJ26" s="69"/>
      <c r="BK26" s="69">
        <f t="shared" si="41"/>
        <v>-0.35289295531665088</v>
      </c>
      <c r="BL26" s="69">
        <f>'RD T1'!E199</f>
        <v>0.88475572644498446</v>
      </c>
      <c r="BM26" s="69">
        <f t="shared" si="42"/>
        <v>0.53186277112833358</v>
      </c>
      <c r="BO26" t="str">
        <f t="shared" si="43"/>
        <v>62 Leisure, travel and related personal service occupations</v>
      </c>
      <c r="BP26" s="69">
        <v>3.2955466375536724</v>
      </c>
      <c r="BQ26" s="69">
        <v>2.8730015706520535</v>
      </c>
      <c r="BR26" s="69">
        <v>2.3295230642823586</v>
      </c>
      <c r="BS26" s="69">
        <v>2.1596028434122272</v>
      </c>
      <c r="BT26" s="69">
        <v>1.756090402243478</v>
      </c>
      <c r="BU26" s="69"/>
      <c r="BV26" s="69">
        <f t="shared" si="44"/>
        <v>-0.57343266203888055</v>
      </c>
      <c r="BW26" s="69">
        <f>'RD T1'!E228</f>
        <v>1.0050288316101279</v>
      </c>
      <c r="BX26" s="69">
        <f t="shared" si="45"/>
        <v>0.43159616957124736</v>
      </c>
      <c r="BZ26" t="str">
        <f t="shared" si="46"/>
        <v>62 Leisure, travel and related personal service occupations</v>
      </c>
      <c r="CA26" s="69">
        <v>1.9450399482126173</v>
      </c>
      <c r="CB26" s="69">
        <v>1.6439880254009598</v>
      </c>
      <c r="CC26" s="69">
        <v>1.392087677542144</v>
      </c>
      <c r="CD26" s="69">
        <v>1.1656645570501425</v>
      </c>
      <c r="CE26" s="69">
        <v>0.73546264092131908</v>
      </c>
      <c r="CF26" s="69"/>
      <c r="CG26" s="69">
        <f t="shared" si="47"/>
        <v>-0.65662503662082494</v>
      </c>
      <c r="CH26" s="69">
        <f>'RD T1'!E257</f>
        <v>0.44813919303168165</v>
      </c>
      <c r="CI26" s="69">
        <f t="shared" si="48"/>
        <v>-0.20848584358914329</v>
      </c>
      <c r="CK26" t="str">
        <f t="shared" si="49"/>
        <v>62 Leisure, travel and related personal service occupations</v>
      </c>
      <c r="CL26" s="69">
        <v>1.0392493209526517</v>
      </c>
      <c r="CM26" s="69">
        <v>0.720463449994037</v>
      </c>
      <c r="CN26" s="69">
        <v>0.73439934112158267</v>
      </c>
      <c r="CO26" s="69">
        <v>0.38300495891201641</v>
      </c>
      <c r="CP26" s="69">
        <v>0.21855535154126704</v>
      </c>
      <c r="CQ26" s="69"/>
      <c r="CR26" s="69">
        <f t="shared" si="50"/>
        <v>-0.51584398958031563</v>
      </c>
      <c r="CS26" s="69">
        <f>'RD T1'!E286</f>
        <v>0.11610218612722276</v>
      </c>
      <c r="CT26" s="69">
        <f t="shared" si="51"/>
        <v>-0.39974180345309285</v>
      </c>
    </row>
    <row r="27" spans="1:98" x14ac:dyDescent="0.25">
      <c r="A27" s="10" t="str">
        <f>name!D23</f>
        <v>63 Community and civil enforcement occupations</v>
      </c>
      <c r="B27" s="69">
        <v>1.0817696944462332E-3</v>
      </c>
      <c r="C27" s="69">
        <v>1.7133587428130902E-3</v>
      </c>
      <c r="D27" s="69">
        <v>1.3021404097811192E-3</v>
      </c>
      <c r="E27" s="69">
        <v>1.9872070878695553E-3</v>
      </c>
      <c r="F27" s="69">
        <v>3.0920769389135498E-3</v>
      </c>
      <c r="G27" s="11"/>
      <c r="H27" s="69">
        <f t="shared" si="26"/>
        <v>1.7899365291324306E-3</v>
      </c>
      <c r="I27" s="69">
        <f>'RD T1'!E55</f>
        <v>1.2312368881742895E-3</v>
      </c>
      <c r="J27" s="69">
        <f t="shared" si="27"/>
        <v>3.0211734173067198E-3</v>
      </c>
      <c r="L27" t="str">
        <f t="shared" si="28"/>
        <v>63 Community and civil enforcement occupations</v>
      </c>
      <c r="M27" s="69">
        <v>1.3615316936934976E-2</v>
      </c>
      <c r="N27" s="69">
        <v>1.6349483823643155E-2</v>
      </c>
      <c r="O27" s="69">
        <v>1.6142172010219294E-2</v>
      </c>
      <c r="P27" s="69">
        <v>1.8012647243309081E-2</v>
      </c>
      <c r="Q27" s="69">
        <v>2.9373464294570953E-2</v>
      </c>
      <c r="R27" s="11"/>
      <c r="S27" s="69">
        <f t="shared" si="29"/>
        <v>1.3231292284351659E-2</v>
      </c>
      <c r="T27" s="69">
        <f>'RD T1'!E84</f>
        <v>1.1375244083860843E-2</v>
      </c>
      <c r="U27" s="69">
        <f t="shared" si="30"/>
        <v>2.46065363682125E-2</v>
      </c>
      <c r="W27" t="str">
        <f t="shared" si="31"/>
        <v>63 Community and civil enforcement occupations</v>
      </c>
      <c r="X27" s="69">
        <v>6.4771405025924822E-2</v>
      </c>
      <c r="Y27" s="69">
        <v>6.075284399578941E-2</v>
      </c>
      <c r="Z27" s="69">
        <v>6.8915963889262952E-2</v>
      </c>
      <c r="AA27" s="69">
        <v>7.276431132403402E-2</v>
      </c>
      <c r="AB27" s="69">
        <v>9.2318389966618508E-2</v>
      </c>
      <c r="AC27" s="69"/>
      <c r="AD27" s="69">
        <f t="shared" si="32"/>
        <v>2.3402426077355556E-2</v>
      </c>
      <c r="AE27" s="69">
        <f>'RD T1'!E113</f>
        <v>5.2770939321376407E-2</v>
      </c>
      <c r="AF27" s="69">
        <f t="shared" si="33"/>
        <v>7.6173365398731957E-2</v>
      </c>
      <c r="AH27" t="str">
        <f t="shared" si="34"/>
        <v>63 Community and civil enforcement occupations</v>
      </c>
      <c r="AI27" s="69">
        <v>1.9452086428058641E-2</v>
      </c>
      <c r="AJ27" s="69">
        <v>1.6312122462992604E-2</v>
      </c>
      <c r="AK27" s="69">
        <v>2.1113658703558812E-2</v>
      </c>
      <c r="AL27" s="69">
        <v>1.793014975499703E-2</v>
      </c>
      <c r="AM27" s="69">
        <v>2.3137653568752872E-2</v>
      </c>
      <c r="AN27" s="69"/>
      <c r="AO27" s="69">
        <f t="shared" si="35"/>
        <v>2.0239948651940599E-3</v>
      </c>
      <c r="AP27" s="69">
        <f>'RD T1'!E142</f>
        <v>1.1726947996042987E-2</v>
      </c>
      <c r="AQ27" s="69">
        <f t="shared" si="36"/>
        <v>1.3750942861237047E-2</v>
      </c>
      <c r="AS27" t="str">
        <f t="shared" si="37"/>
        <v>63 Community and civil enforcement occupations</v>
      </c>
      <c r="AT27" s="69">
        <v>1.9718340716966504E-2</v>
      </c>
      <c r="AU27" s="69">
        <v>1.6444689332652845E-2</v>
      </c>
      <c r="AV27" s="69">
        <v>2.058998577755608E-2</v>
      </c>
      <c r="AW27" s="69">
        <v>1.6709755353201301E-2</v>
      </c>
      <c r="AX27" s="69">
        <v>1.8127067482933423E-2</v>
      </c>
      <c r="AY27" s="69"/>
      <c r="AZ27" s="69">
        <f t="shared" si="38"/>
        <v>-2.4629182946226576E-3</v>
      </c>
      <c r="BA27" s="69">
        <f>'RD T1'!E171</f>
        <v>1.1627705127141829E-2</v>
      </c>
      <c r="BB27" s="69">
        <f t="shared" si="39"/>
        <v>9.1647868325191711E-3</v>
      </c>
      <c r="BD27" t="str">
        <f t="shared" si="40"/>
        <v>63 Community and civil enforcement occupations</v>
      </c>
      <c r="BE27" s="69">
        <v>7.0731266362809977E-2</v>
      </c>
      <c r="BF27" s="69">
        <v>5.1553439061969887E-2</v>
      </c>
      <c r="BG27" s="69">
        <v>7.0604552428313538E-2</v>
      </c>
      <c r="BH27" s="69">
        <v>4.7867168905647087E-2</v>
      </c>
      <c r="BI27" s="69">
        <v>5.6495524085763582E-2</v>
      </c>
      <c r="BJ27" s="69"/>
      <c r="BK27" s="69">
        <f t="shared" si="41"/>
        <v>-1.4109028342549956E-2</v>
      </c>
      <c r="BL27" s="69">
        <f>'RD T1'!E200</f>
        <v>1.969987230247456E-2</v>
      </c>
      <c r="BM27" s="69">
        <f t="shared" si="42"/>
        <v>5.5908439599246032E-3</v>
      </c>
      <c r="BO27" t="str">
        <f t="shared" si="43"/>
        <v>63 Community and civil enforcement occupations</v>
      </c>
      <c r="BP27" s="69">
        <v>0.11154429675316485</v>
      </c>
      <c r="BQ27" s="69">
        <v>9.792731757913721E-2</v>
      </c>
      <c r="BR27" s="69">
        <v>0.11217573056761668</v>
      </c>
      <c r="BS27" s="69">
        <v>8.6992165808117139E-2</v>
      </c>
      <c r="BT27" s="69">
        <v>9.1911623463619543E-2</v>
      </c>
      <c r="BU27" s="69"/>
      <c r="BV27" s="69">
        <f t="shared" si="44"/>
        <v>-2.0264107103997134E-2</v>
      </c>
      <c r="BW27" s="69">
        <f>'RD T1'!E229</f>
        <v>4.1520329684173789E-2</v>
      </c>
      <c r="BX27" s="69">
        <f t="shared" si="45"/>
        <v>2.1256222580176655E-2</v>
      </c>
      <c r="BZ27" t="str">
        <f t="shared" si="46"/>
        <v>63 Community and civil enforcement occupations</v>
      </c>
      <c r="CA27" s="69">
        <v>9.5883608535917833E-2</v>
      </c>
      <c r="CB27" s="69">
        <v>7.7109827784864374E-2</v>
      </c>
      <c r="CC27" s="69">
        <v>9.4047922368465722E-2</v>
      </c>
      <c r="CD27" s="69">
        <v>6.4889969784321488E-2</v>
      </c>
      <c r="CE27" s="69">
        <v>5.306508109641133E-2</v>
      </c>
      <c r="CF27" s="69"/>
      <c r="CG27" s="69">
        <f t="shared" si="47"/>
        <v>-4.0982841272054392E-2</v>
      </c>
      <c r="CH27" s="69">
        <f>'RD T1'!E258</f>
        <v>2.5910398201763409E-2</v>
      </c>
      <c r="CI27" s="69">
        <f t="shared" si="48"/>
        <v>-1.5072443070290983E-2</v>
      </c>
      <c r="CK27" t="str">
        <f t="shared" si="49"/>
        <v>63 Community and civil enforcement occupations</v>
      </c>
      <c r="CL27" s="69">
        <v>4.9872730870807125E-2</v>
      </c>
      <c r="CM27" s="69">
        <v>2.9300161842517505E-2</v>
      </c>
      <c r="CN27" s="69">
        <v>4.2042430076300347E-2</v>
      </c>
      <c r="CO27" s="69">
        <v>1.3728029549548834E-2</v>
      </c>
      <c r="CP27" s="69">
        <v>7.5248768286723675E-3</v>
      </c>
      <c r="CQ27" s="69"/>
      <c r="CR27" s="69">
        <f t="shared" si="50"/>
        <v>-3.451755324762798E-2</v>
      </c>
      <c r="CS27" s="69">
        <f>'RD T1'!E287</f>
        <v>3.8898006892707257E-3</v>
      </c>
      <c r="CT27" s="69">
        <f t="shared" si="51"/>
        <v>-3.0627752558357254E-2</v>
      </c>
    </row>
    <row r="28" spans="1:98" x14ac:dyDescent="0.25">
      <c r="A28" s="10" t="str">
        <f>name!D24</f>
        <v>71 Sales occupations</v>
      </c>
      <c r="B28" s="69">
        <v>5.1371132044313712E-2</v>
      </c>
      <c r="C28" s="69">
        <v>5.8515249272439417E-2</v>
      </c>
      <c r="D28" s="69">
        <v>5.1521421466505117E-2</v>
      </c>
      <c r="E28" s="69">
        <v>6.4441024114039541E-2</v>
      </c>
      <c r="F28" s="69">
        <v>9.5067951478678192E-2</v>
      </c>
      <c r="G28" s="11"/>
      <c r="H28" s="69">
        <f t="shared" si="26"/>
        <v>4.3546530012173075E-2</v>
      </c>
      <c r="I28" s="69">
        <f>'RD T1'!E56</f>
        <v>3.1876301012604608E-2</v>
      </c>
      <c r="J28" s="69">
        <f t="shared" si="27"/>
        <v>7.5422831024777676E-2</v>
      </c>
      <c r="L28" t="str">
        <f t="shared" si="28"/>
        <v>71 Sales occupations</v>
      </c>
      <c r="M28" s="69">
        <v>0.79105228257205462</v>
      </c>
      <c r="N28" s="69">
        <v>0.98765865598868841</v>
      </c>
      <c r="O28" s="69">
        <v>0.98347173045997194</v>
      </c>
      <c r="P28" s="69">
        <v>1.3601134625449132</v>
      </c>
      <c r="Q28" s="69">
        <v>2.3803573799034092</v>
      </c>
      <c r="R28" s="11"/>
      <c r="S28" s="69">
        <f t="shared" si="29"/>
        <v>1.3968856494434374</v>
      </c>
      <c r="T28" s="69">
        <f>'RD T1'!E85</f>
        <v>0.73978695790798821</v>
      </c>
      <c r="U28" s="69">
        <f t="shared" si="30"/>
        <v>2.1366726073514255</v>
      </c>
      <c r="W28" t="str">
        <f t="shared" si="31"/>
        <v>71 Sales occupations</v>
      </c>
      <c r="X28" s="69">
        <v>3.7896892602569388</v>
      </c>
      <c r="Y28" s="69">
        <v>3.434596724183979</v>
      </c>
      <c r="Z28" s="69">
        <v>3.9468215236163324</v>
      </c>
      <c r="AA28" s="69">
        <v>4.3835900750347845</v>
      </c>
      <c r="AB28" s="69">
        <v>5.7259854878755334</v>
      </c>
      <c r="AC28" s="69"/>
      <c r="AD28" s="69">
        <f t="shared" si="32"/>
        <v>1.779163964259201</v>
      </c>
      <c r="AE28" s="69">
        <f>'RD T1'!E114</f>
        <v>2.5626202952945922</v>
      </c>
      <c r="AF28" s="69">
        <f t="shared" si="33"/>
        <v>4.3417842595537932</v>
      </c>
      <c r="AH28" t="str">
        <f t="shared" si="34"/>
        <v>71 Sales occupations</v>
      </c>
      <c r="AI28" s="69">
        <v>1.2500924494665684</v>
      </c>
      <c r="AJ28" s="69">
        <v>1.1040263790439526</v>
      </c>
      <c r="AK28" s="69">
        <v>1.3101473766722389</v>
      </c>
      <c r="AL28" s="69">
        <v>1.3378223689725883</v>
      </c>
      <c r="AM28" s="69">
        <v>1.6573629935864123</v>
      </c>
      <c r="AN28" s="69"/>
      <c r="AO28" s="69">
        <f t="shared" si="35"/>
        <v>0.34721561691417335</v>
      </c>
      <c r="AP28" s="69">
        <f>'RD T1'!E143</f>
        <v>0.77363420469422917</v>
      </c>
      <c r="AQ28" s="69">
        <f t="shared" si="36"/>
        <v>1.1208498216084024</v>
      </c>
      <c r="AS28" t="str">
        <f t="shared" si="37"/>
        <v>71 Sales occupations</v>
      </c>
      <c r="AT28" s="69">
        <v>1.1186726241505665</v>
      </c>
      <c r="AU28" s="69">
        <v>0.96416977486340782</v>
      </c>
      <c r="AV28" s="69">
        <v>1.0877926018386168</v>
      </c>
      <c r="AW28" s="69">
        <v>1.0636926713312982</v>
      </c>
      <c r="AX28" s="69">
        <v>1.2845101864718134</v>
      </c>
      <c r="AY28" s="69"/>
      <c r="AZ28" s="69">
        <f t="shared" si="38"/>
        <v>0.19671758463319655</v>
      </c>
      <c r="BA28" s="69">
        <f>'RD T1'!E172</f>
        <v>0.53341634133115001</v>
      </c>
      <c r="BB28" s="69">
        <f t="shared" si="39"/>
        <v>0.73013392596434656</v>
      </c>
      <c r="BD28" t="str">
        <f t="shared" si="40"/>
        <v>71 Sales occupations</v>
      </c>
      <c r="BE28" s="69">
        <v>7.9063108182081123</v>
      </c>
      <c r="BF28" s="69">
        <v>7.7136233457640966</v>
      </c>
      <c r="BG28" s="69">
        <v>7.7582300601532053</v>
      </c>
      <c r="BH28" s="69">
        <v>8.0073638635255939</v>
      </c>
      <c r="BI28" s="69">
        <v>8.0438953356319178</v>
      </c>
      <c r="BJ28" s="69"/>
      <c r="BK28" s="69">
        <f t="shared" si="41"/>
        <v>0.28566527547871257</v>
      </c>
      <c r="BL28" s="69">
        <f>'RD T1'!E201</f>
        <v>3.5149738057665374</v>
      </c>
      <c r="BM28" s="69">
        <f t="shared" si="42"/>
        <v>3.80063908124525</v>
      </c>
      <c r="BO28" t="str">
        <f t="shared" si="43"/>
        <v>71 Sales occupations</v>
      </c>
      <c r="BP28" s="69">
        <v>9.3271016515507927</v>
      </c>
      <c r="BQ28" s="69">
        <v>8.4677192379612212</v>
      </c>
      <c r="BR28" s="69">
        <v>7.4616688498586594</v>
      </c>
      <c r="BS28" s="69">
        <v>7.5678590005177915</v>
      </c>
      <c r="BT28" s="69">
        <v>6.2216050636152662</v>
      </c>
      <c r="BU28" s="69"/>
      <c r="BV28" s="69">
        <f t="shared" si="44"/>
        <v>-1.2400637862433932</v>
      </c>
      <c r="BW28" s="69">
        <f>'RD T1'!E230</f>
        <v>3.3889686413744493</v>
      </c>
      <c r="BX28" s="69">
        <f t="shared" si="45"/>
        <v>2.1489048551310561</v>
      </c>
      <c r="BZ28" t="str">
        <f t="shared" si="46"/>
        <v>71 Sales occupations</v>
      </c>
      <c r="CA28" s="69">
        <v>6.0413233086388534</v>
      </c>
      <c r="CB28" s="69">
        <v>5.186845789730202</v>
      </c>
      <c r="CC28" s="69">
        <v>4.7489068330129562</v>
      </c>
      <c r="CD28" s="69">
        <v>3.8226850766534746</v>
      </c>
      <c r="CE28" s="69">
        <v>1.595251934127762</v>
      </c>
      <c r="CF28" s="69"/>
      <c r="CG28" s="69">
        <f t="shared" si="47"/>
        <v>-3.1536548988851942</v>
      </c>
      <c r="CH28" s="69">
        <f>'RD T1'!E259</f>
        <v>1.1702225486654796</v>
      </c>
      <c r="CI28" s="69">
        <f t="shared" si="48"/>
        <v>-1.9834323502197146</v>
      </c>
      <c r="CK28" t="str">
        <f t="shared" si="49"/>
        <v>71 Sales occupations</v>
      </c>
      <c r="CL28" s="69">
        <v>3.948186671464343</v>
      </c>
      <c r="CM28" s="69">
        <v>2.8191003572297859</v>
      </c>
      <c r="CN28" s="69">
        <v>2.9023787376878705</v>
      </c>
      <c r="CO28" s="69">
        <v>1.6062655590199586</v>
      </c>
      <c r="CP28" s="69">
        <v>0.8093126195934367</v>
      </c>
      <c r="CQ28" s="69"/>
      <c r="CR28" s="69">
        <f t="shared" si="50"/>
        <v>-2.0930661180944337</v>
      </c>
      <c r="CS28" s="69">
        <f>'RD T1'!E288</f>
        <v>0.39859311044588019</v>
      </c>
      <c r="CT28" s="69">
        <f t="shared" si="51"/>
        <v>-1.6944730076485535</v>
      </c>
    </row>
    <row r="29" spans="1:98" x14ac:dyDescent="0.25">
      <c r="A29" s="10" t="str">
        <f>name!D25</f>
        <v>72 Customer service occupations</v>
      </c>
      <c r="B29" s="69">
        <v>2.6682710499883949E-2</v>
      </c>
      <c r="C29" s="69">
        <v>3.2263244573694956E-2</v>
      </c>
      <c r="D29" s="69">
        <v>3.416016685741597E-2</v>
      </c>
      <c r="E29" s="69">
        <v>5.5625626656611388E-2</v>
      </c>
      <c r="F29" s="69">
        <v>9.948227534593071E-2</v>
      </c>
      <c r="G29" s="11"/>
      <c r="H29" s="69">
        <f>F29-D29</f>
        <v>6.5322108488514746E-2</v>
      </c>
      <c r="I29" s="69">
        <f>'RD T1'!E57</f>
        <v>2.8547988703999889E-2</v>
      </c>
      <c r="J29" s="69">
        <f t="shared" si="27"/>
        <v>9.3870097192514629E-2</v>
      </c>
      <c r="L29" t="str">
        <f t="shared" si="28"/>
        <v>72 Customer service occupations</v>
      </c>
      <c r="M29" s="69">
        <v>0.2437980210959011</v>
      </c>
      <c r="N29" s="69">
        <v>0.33563811126897558</v>
      </c>
      <c r="O29" s="69">
        <v>0.35601588390914296</v>
      </c>
      <c r="P29" s="69">
        <v>0.51614123867017048</v>
      </c>
      <c r="Q29" s="69">
        <v>0.88783695288266995</v>
      </c>
      <c r="R29" s="11"/>
      <c r="S29" s="69">
        <f t="shared" si="29"/>
        <v>0.53182106897352699</v>
      </c>
      <c r="T29" s="69">
        <f>'RD T1'!E86</f>
        <v>0.28065901940711846</v>
      </c>
      <c r="U29" s="69">
        <f t="shared" si="30"/>
        <v>0.81248008838064545</v>
      </c>
      <c r="W29" t="str">
        <f t="shared" si="31"/>
        <v>72 Customer service occupations</v>
      </c>
      <c r="X29" s="69">
        <v>1.2612809662940376</v>
      </c>
      <c r="Y29" s="69">
        <v>1.1868364172791099</v>
      </c>
      <c r="Z29" s="69">
        <v>1.4180283873247137</v>
      </c>
      <c r="AA29" s="69">
        <v>1.6687384497878368</v>
      </c>
      <c r="AB29" s="69">
        <v>2.1687493220488063</v>
      </c>
      <c r="AC29" s="69"/>
      <c r="AD29" s="69">
        <f t="shared" si="32"/>
        <v>0.75072093472409263</v>
      </c>
      <c r="AE29" s="69">
        <f>'RD T1'!E115</f>
        <v>0.94869291569278635</v>
      </c>
      <c r="AF29" s="69">
        <f t="shared" si="33"/>
        <v>1.699413850416879</v>
      </c>
      <c r="AH29" t="str">
        <f t="shared" si="34"/>
        <v>72 Customer service occupations</v>
      </c>
      <c r="AI29" s="69">
        <v>0.3729502068085942</v>
      </c>
      <c r="AJ29" s="69">
        <v>0.37303983004418662</v>
      </c>
      <c r="AK29" s="69">
        <v>0.47144578174191826</v>
      </c>
      <c r="AL29" s="69">
        <v>0.56468358448588984</v>
      </c>
      <c r="AM29" s="69">
        <v>0.77309528390440607</v>
      </c>
      <c r="AN29" s="69"/>
      <c r="AO29" s="69">
        <f t="shared" si="35"/>
        <v>0.30164950216248781</v>
      </c>
      <c r="AP29" s="69">
        <f>'RD T1'!E144</f>
        <v>0.32770664449475867</v>
      </c>
      <c r="AQ29" s="69">
        <f t="shared" si="36"/>
        <v>0.62935614665724648</v>
      </c>
      <c r="AS29" t="str">
        <f t="shared" si="37"/>
        <v>72 Customer service occupations</v>
      </c>
      <c r="AT29" s="69">
        <v>0.74808649742822209</v>
      </c>
      <c r="AU29" s="69">
        <v>0.62942047301752346</v>
      </c>
      <c r="AV29" s="69">
        <v>0.69786080065493294</v>
      </c>
      <c r="AW29" s="69">
        <v>0.838247075874339</v>
      </c>
      <c r="AX29" s="69">
        <v>0.9805590210433095</v>
      </c>
      <c r="AY29" s="69"/>
      <c r="AZ29" s="69">
        <f t="shared" si="38"/>
        <v>0.28269822038837655</v>
      </c>
      <c r="BA29" s="69">
        <f>'RD T1'!E173</f>
        <v>0.40053729386887965</v>
      </c>
      <c r="BB29" s="69">
        <f t="shared" si="39"/>
        <v>0.68323551425725615</v>
      </c>
      <c r="BD29" t="str">
        <f t="shared" si="40"/>
        <v>72 Customer service occupations</v>
      </c>
      <c r="BE29" s="69">
        <v>2.1613164427300364</v>
      </c>
      <c r="BF29" s="69">
        <v>2.1923060585034695</v>
      </c>
      <c r="BG29" s="69">
        <v>2.2125078173552954</v>
      </c>
      <c r="BH29" s="69">
        <v>2.5175091633171625</v>
      </c>
      <c r="BI29" s="69">
        <v>2.7564550002200106</v>
      </c>
      <c r="BJ29" s="69"/>
      <c r="BK29" s="69">
        <f t="shared" si="41"/>
        <v>0.54394718286471511</v>
      </c>
      <c r="BL29" s="69">
        <f>'RD T1'!E202</f>
        <v>1.0639033438918477</v>
      </c>
      <c r="BM29" s="69">
        <f t="shared" si="42"/>
        <v>1.6078505267565628</v>
      </c>
      <c r="BO29" t="str">
        <f t="shared" si="43"/>
        <v>72 Customer service occupations</v>
      </c>
      <c r="BP29" s="69">
        <v>2.43936195768643</v>
      </c>
      <c r="BQ29" s="69">
        <v>2.4857453665104225</v>
      </c>
      <c r="BR29" s="69">
        <v>2.2078424961543099</v>
      </c>
      <c r="BS29" s="69">
        <v>2.4864246729487691</v>
      </c>
      <c r="BT29" s="69">
        <v>2.3467200561480261</v>
      </c>
      <c r="BU29" s="69"/>
      <c r="BV29" s="69">
        <f t="shared" si="44"/>
        <v>0.1388775599937162</v>
      </c>
      <c r="BW29" s="69">
        <f>'RD T1'!E231</f>
        <v>1.1607459150232537</v>
      </c>
      <c r="BX29" s="69">
        <f t="shared" si="45"/>
        <v>1.29962347501697</v>
      </c>
      <c r="BZ29" t="str">
        <f t="shared" si="46"/>
        <v>72 Customer service occupations</v>
      </c>
      <c r="CA29" s="69">
        <v>1.3213573559543079</v>
      </c>
      <c r="CB29" s="69">
        <v>1.1062302129372013</v>
      </c>
      <c r="CC29" s="69">
        <v>1.0856040301194343</v>
      </c>
      <c r="CD29" s="69">
        <v>0.99821672619435842</v>
      </c>
      <c r="CE29" s="69">
        <v>0.8158814591692346</v>
      </c>
      <c r="CF29" s="69"/>
      <c r="CG29" s="69">
        <f t="shared" si="47"/>
        <v>-0.26972257095019969</v>
      </c>
      <c r="CH29" s="69">
        <f>'RD T1'!E260</f>
        <v>0.31916655975016345</v>
      </c>
      <c r="CI29" s="69">
        <f t="shared" si="48"/>
        <v>4.9443988799963756E-2</v>
      </c>
      <c r="CK29" t="str">
        <f t="shared" si="49"/>
        <v>72 Customer service occupations</v>
      </c>
      <c r="CL29" s="69">
        <v>0.51385648524031147</v>
      </c>
      <c r="CM29" s="69">
        <v>0.50652200371456779</v>
      </c>
      <c r="CN29" s="69">
        <v>0.60538144190958221</v>
      </c>
      <c r="CO29" s="69">
        <v>0.51304840820994346</v>
      </c>
      <c r="CP29" s="69">
        <v>0.4389544810029461</v>
      </c>
      <c r="CQ29" s="69"/>
      <c r="CR29" s="69">
        <f t="shared" si="50"/>
        <v>-0.16642696090663611</v>
      </c>
      <c r="CS29" s="69">
        <f>'RD T1'!E289</f>
        <v>0.16684289007027783</v>
      </c>
      <c r="CT29" s="69">
        <f t="shared" si="51"/>
        <v>4.1592916364172061E-4</v>
      </c>
    </row>
    <row r="30" spans="1:98" x14ac:dyDescent="0.25">
      <c r="A30" s="10" t="str">
        <f>name!D26</f>
        <v>81 Process, plant and machine operatives</v>
      </c>
      <c r="B30" s="69">
        <v>2.5692132480387705E-2</v>
      </c>
      <c r="C30" s="69">
        <v>3.5420844052115028E-2</v>
      </c>
      <c r="D30" s="69">
        <v>3.1135425553467398E-2</v>
      </c>
      <c r="E30" s="69">
        <v>4.8530092581598329E-2</v>
      </c>
      <c r="F30" s="69">
        <v>0.10711885005811664</v>
      </c>
      <c r="G30" s="11"/>
      <c r="H30" s="69">
        <f t="shared" si="26"/>
        <v>7.5983424504649233E-2</v>
      </c>
      <c r="I30" s="69">
        <f>'RD T1'!E58</f>
        <v>3.5477063816658376E-2</v>
      </c>
      <c r="J30" s="69">
        <f t="shared" si="27"/>
        <v>0.11146048832130762</v>
      </c>
      <c r="L30" t="str">
        <f t="shared" si="28"/>
        <v>81 Process, plant and machine operatives</v>
      </c>
      <c r="M30" s="69">
        <v>0.18412572321412979</v>
      </c>
      <c r="N30" s="69">
        <v>0.25464867256371165</v>
      </c>
      <c r="O30" s="69">
        <v>0.21349522513418287</v>
      </c>
      <c r="P30" s="69">
        <v>0.35827908735275782</v>
      </c>
      <c r="Q30" s="69">
        <v>0.66902668489123696</v>
      </c>
      <c r="R30" s="11"/>
      <c r="S30" s="69">
        <f t="shared" si="29"/>
        <v>0.45553145975705411</v>
      </c>
      <c r="T30" s="69">
        <f>'RD T1'!E87</f>
        <v>0.2073566655285837</v>
      </c>
      <c r="U30" s="69">
        <f t="shared" si="30"/>
        <v>0.66288812528563779</v>
      </c>
      <c r="W30" t="str">
        <f t="shared" si="31"/>
        <v>81 Process, plant and machine operatives</v>
      </c>
      <c r="X30" s="69">
        <v>0.6456509969664036</v>
      </c>
      <c r="Y30" s="69">
        <v>0.62756312371458889</v>
      </c>
      <c r="Z30" s="69">
        <v>0.59962612406069482</v>
      </c>
      <c r="AA30" s="69">
        <v>0.89738449817421051</v>
      </c>
      <c r="AB30" s="69">
        <v>1.4950693176859413</v>
      </c>
      <c r="AC30" s="69"/>
      <c r="AD30" s="69">
        <f t="shared" si="32"/>
        <v>0.89544319362524649</v>
      </c>
      <c r="AE30" s="69">
        <f>'RD T1'!E116</f>
        <v>0.58490793450728595</v>
      </c>
      <c r="AF30" s="69">
        <f t="shared" si="33"/>
        <v>1.4803511281325323</v>
      </c>
      <c r="AH30" t="str">
        <f t="shared" si="34"/>
        <v>81 Process, plant and machine operatives</v>
      </c>
      <c r="AI30" s="69">
        <v>0.30014745991057418</v>
      </c>
      <c r="AJ30" s="69">
        <v>0.29056350822877691</v>
      </c>
      <c r="AK30" s="69">
        <v>0.27664983738928806</v>
      </c>
      <c r="AL30" s="69">
        <v>0.34802556721966371</v>
      </c>
      <c r="AM30" s="69">
        <v>0.44036906790970776</v>
      </c>
      <c r="AN30" s="69"/>
      <c r="AO30" s="69">
        <f t="shared" si="35"/>
        <v>0.1637192305204197</v>
      </c>
      <c r="AP30" s="69">
        <f>'RD T1'!E145</f>
        <v>0.17350269468195548</v>
      </c>
      <c r="AQ30" s="69">
        <f t="shared" si="36"/>
        <v>0.33722192520237515</v>
      </c>
      <c r="AS30" t="str">
        <f t="shared" si="37"/>
        <v>81 Process, plant and machine operatives</v>
      </c>
      <c r="AT30" s="69">
        <v>0.77335949713648033</v>
      </c>
      <c r="AU30" s="69">
        <v>0.68570425077124941</v>
      </c>
      <c r="AV30" s="69">
        <v>0.62767027926463737</v>
      </c>
      <c r="AW30" s="69">
        <v>0.77274077247253348</v>
      </c>
      <c r="AX30" s="69">
        <v>0.99054743126400624</v>
      </c>
      <c r="AY30" s="69"/>
      <c r="AZ30" s="69">
        <f t="shared" si="38"/>
        <v>0.36287715199936887</v>
      </c>
      <c r="BA30" s="69">
        <f>'RD T1'!E174</f>
        <v>0.40026117289270557</v>
      </c>
      <c r="BB30" s="69">
        <f t="shared" si="39"/>
        <v>0.76313832489207445</v>
      </c>
      <c r="BD30" t="str">
        <f t="shared" si="40"/>
        <v>81 Process, plant and machine operatives</v>
      </c>
      <c r="BE30" s="69">
        <v>4.654987742302823</v>
      </c>
      <c r="BF30" s="69">
        <v>5.0727102280712311</v>
      </c>
      <c r="BG30" s="69">
        <v>4.3286852143399912</v>
      </c>
      <c r="BH30" s="69">
        <v>5.2234535297897535</v>
      </c>
      <c r="BI30" s="69">
        <v>5.6850084765648949</v>
      </c>
      <c r="BJ30" s="69"/>
      <c r="BK30" s="69">
        <f t="shared" si="41"/>
        <v>1.3563232622249037</v>
      </c>
      <c r="BL30" s="69">
        <f>'RD T1'!E203</f>
        <v>1.9699326752325603</v>
      </c>
      <c r="BM30" s="69">
        <f t="shared" si="42"/>
        <v>3.3262559374574643</v>
      </c>
      <c r="BO30" t="str">
        <f t="shared" si="43"/>
        <v>81 Process, plant and machine operatives</v>
      </c>
      <c r="BP30" s="69">
        <v>6.5015620176194133</v>
      </c>
      <c r="BQ30" s="69">
        <v>6.7879911578511543</v>
      </c>
      <c r="BR30" s="69">
        <v>5.4435191254591624</v>
      </c>
      <c r="BS30" s="69">
        <v>6.4965011300582685</v>
      </c>
      <c r="BT30" s="69">
        <v>5.9830134080268929</v>
      </c>
      <c r="BU30" s="69"/>
      <c r="BV30" s="69">
        <f t="shared" si="44"/>
        <v>0.53949428256773047</v>
      </c>
      <c r="BW30" s="69">
        <f>'RD T1'!E232</f>
        <v>2.6192257480163064</v>
      </c>
      <c r="BX30" s="69">
        <f t="shared" si="45"/>
        <v>3.1587200305840368</v>
      </c>
      <c r="BZ30" t="str">
        <f t="shared" si="46"/>
        <v>81 Process, plant and machine operatives</v>
      </c>
      <c r="CA30" s="69">
        <v>5.6788145050731913</v>
      </c>
      <c r="CB30" s="69">
        <v>5.0967521081748171</v>
      </c>
      <c r="CC30" s="69">
        <v>4.356130214201861</v>
      </c>
      <c r="CD30" s="69">
        <v>3.9997412712852163</v>
      </c>
      <c r="CE30" s="69">
        <v>1.8570656265852192</v>
      </c>
      <c r="CF30" s="69"/>
      <c r="CG30" s="69">
        <f t="shared" si="47"/>
        <v>-2.4990645876166417</v>
      </c>
      <c r="CH30" s="69">
        <f>'RD T1'!E261</f>
        <v>1.2319562167523013</v>
      </c>
      <c r="CI30" s="69">
        <f t="shared" si="48"/>
        <v>-1.2671083708643405</v>
      </c>
      <c r="CK30" t="str">
        <f t="shared" si="49"/>
        <v>81 Process, plant and machine operatives</v>
      </c>
      <c r="CL30" s="69">
        <v>4.2533368719901725</v>
      </c>
      <c r="CM30" s="69">
        <v>2.8857002497704802</v>
      </c>
      <c r="CN30" s="69">
        <v>2.5060065470592061</v>
      </c>
      <c r="CO30" s="69">
        <v>0.84341557039539405</v>
      </c>
      <c r="CP30" s="69">
        <v>0.28710650314188546</v>
      </c>
      <c r="CQ30" s="69"/>
      <c r="CR30" s="69">
        <f t="shared" si="50"/>
        <v>-2.2189000439173205</v>
      </c>
      <c r="CS30" s="69">
        <f>'RD T1'!E290</f>
        <v>0.21495332440246118</v>
      </c>
      <c r="CT30" s="69">
        <f t="shared" si="51"/>
        <v>-2.0039467195148593</v>
      </c>
    </row>
    <row r="31" spans="1:98" x14ac:dyDescent="0.25">
      <c r="A31" s="10" t="str">
        <f>name!D27</f>
        <v>82 Transport and mobile machine drivers and operatives</v>
      </c>
      <c r="B31" s="69">
        <v>3.820196966885285E-2</v>
      </c>
      <c r="C31" s="69">
        <v>6.0403583980372336E-2</v>
      </c>
      <c r="D31" s="69">
        <v>4.4896392351767039E-2</v>
      </c>
      <c r="E31" s="69">
        <v>7.3690673179661104E-2</v>
      </c>
      <c r="F31" s="69">
        <v>0.13650807869578965</v>
      </c>
      <c r="G31" s="11"/>
      <c r="H31" s="69">
        <f t="shared" si="26"/>
        <v>9.1611686344022614E-2</v>
      </c>
      <c r="I31" s="69">
        <f>'RD T1'!E59</f>
        <v>5.388023131206765E-2</v>
      </c>
      <c r="J31" s="69">
        <f t="shared" si="27"/>
        <v>0.14549191765609026</v>
      </c>
      <c r="L31" t="str">
        <f t="shared" si="28"/>
        <v>82 Transport and mobile machine drivers and operatives</v>
      </c>
      <c r="M31" s="69">
        <v>0.23094573848576516</v>
      </c>
      <c r="N31" s="69">
        <v>0.31901844989483419</v>
      </c>
      <c r="O31" s="69">
        <v>0.2518217531900796</v>
      </c>
      <c r="P31" s="69">
        <v>0.38713829621548096</v>
      </c>
      <c r="Q31" s="69">
        <v>0.68266870640845356</v>
      </c>
      <c r="R31" s="11"/>
      <c r="S31" s="69">
        <f t="shared" si="29"/>
        <v>0.43084695321837396</v>
      </c>
      <c r="T31" s="69">
        <f>'RD T1'!E88</f>
        <v>0.27268372979366251</v>
      </c>
      <c r="U31" s="69">
        <f t="shared" si="30"/>
        <v>0.70353068301203647</v>
      </c>
      <c r="W31" t="str">
        <f t="shared" si="31"/>
        <v>82 Transport and mobile machine drivers and operatives</v>
      </c>
      <c r="X31" s="69">
        <v>0.83566751557848262</v>
      </c>
      <c r="Y31" s="69">
        <v>0.93064063846110334</v>
      </c>
      <c r="Z31" s="69">
        <v>0.91450947971928243</v>
      </c>
      <c r="AA31" s="69">
        <v>1.1915919515381821</v>
      </c>
      <c r="AB31" s="69">
        <v>1.7062609715757153</v>
      </c>
      <c r="AC31" s="69"/>
      <c r="AD31" s="69">
        <f t="shared" si="32"/>
        <v>0.7917514918564329</v>
      </c>
      <c r="AE31" s="69">
        <f>'RD T1'!E117</f>
        <v>0.86903798771679042</v>
      </c>
      <c r="AF31" s="69">
        <f t="shared" si="33"/>
        <v>1.6607894795732232</v>
      </c>
      <c r="AH31" t="str">
        <f t="shared" si="34"/>
        <v>82 Transport and mobile machine drivers and operatives</v>
      </c>
      <c r="AI31" s="69">
        <v>0.46656768396850667</v>
      </c>
      <c r="AJ31" s="69">
        <v>0.49801865642958715</v>
      </c>
      <c r="AK31" s="69">
        <v>0.46228951818627984</v>
      </c>
      <c r="AL31" s="69">
        <v>0.57349401641483999</v>
      </c>
      <c r="AM31" s="69">
        <v>0.73448343883999434</v>
      </c>
      <c r="AN31" s="69"/>
      <c r="AO31" s="69">
        <f t="shared" si="35"/>
        <v>0.27219392065371451</v>
      </c>
      <c r="AP31" s="69">
        <f>'RD T1'!E146</f>
        <v>0.38590528318381845</v>
      </c>
      <c r="AQ31" s="69">
        <f t="shared" si="36"/>
        <v>0.65809920383753295</v>
      </c>
      <c r="AS31" t="str">
        <f t="shared" si="37"/>
        <v>82 Transport and mobile machine drivers and operatives</v>
      </c>
      <c r="AT31" s="69">
        <v>0.76339965937446475</v>
      </c>
      <c r="AU31" s="69">
        <v>0.75581052259801551</v>
      </c>
      <c r="AV31" s="69">
        <v>0.71683022955518472</v>
      </c>
      <c r="AW31" s="69">
        <v>0.8404349564944823</v>
      </c>
      <c r="AX31" s="69">
        <v>1.0343822897184964</v>
      </c>
      <c r="AY31" s="69"/>
      <c r="AZ31" s="69">
        <f t="shared" si="38"/>
        <v>0.31755206016331172</v>
      </c>
      <c r="BA31" s="69">
        <f>'RD T1'!E175</f>
        <v>0.5732819889525117</v>
      </c>
      <c r="BB31" s="69">
        <f t="shared" si="39"/>
        <v>0.89083404911582342</v>
      </c>
      <c r="BD31" t="str">
        <f t="shared" si="40"/>
        <v>82 Transport and mobile machine drivers and operatives</v>
      </c>
      <c r="BE31" s="69">
        <v>3.9182998343196416</v>
      </c>
      <c r="BF31" s="69">
        <v>4.452527290180865</v>
      </c>
      <c r="BG31" s="69">
        <v>4.060518801781039</v>
      </c>
      <c r="BH31" s="69">
        <v>4.8423581630357617</v>
      </c>
      <c r="BI31" s="69">
        <v>5.6997063198424698</v>
      </c>
      <c r="BJ31" s="69"/>
      <c r="BK31" s="69">
        <f t="shared" si="41"/>
        <v>1.6391875180614308</v>
      </c>
      <c r="BL31" s="69">
        <f>'RD T1'!E204</f>
        <v>2.568255410266473</v>
      </c>
      <c r="BM31" s="69">
        <f t="shared" si="42"/>
        <v>4.2074429283279038</v>
      </c>
      <c r="BO31" t="str">
        <f t="shared" si="43"/>
        <v>82 Transport and mobile machine drivers and operatives</v>
      </c>
      <c r="BP31" s="69">
        <v>7.076506773227579</v>
      </c>
      <c r="BQ31" s="69">
        <v>7.8789828026780517</v>
      </c>
      <c r="BR31" s="69">
        <v>6.5424843653972822</v>
      </c>
      <c r="BS31" s="69">
        <v>7.8831573466612817</v>
      </c>
      <c r="BT31" s="69">
        <v>8.243689051192499</v>
      </c>
      <c r="BU31" s="69"/>
      <c r="BV31" s="69">
        <f t="shared" si="44"/>
        <v>1.7012046857952168</v>
      </c>
      <c r="BW31" s="69">
        <f>'RD T1'!E233</f>
        <v>4.4828400000748392</v>
      </c>
      <c r="BX31" s="69">
        <f t="shared" si="45"/>
        <v>6.184044685870056</v>
      </c>
      <c r="BZ31" t="str">
        <f t="shared" si="46"/>
        <v>82 Transport and mobile machine drivers and operatives</v>
      </c>
      <c r="CA31" s="69">
        <v>6.6315139071686442</v>
      </c>
      <c r="CB31" s="69">
        <v>5.9201912499763161</v>
      </c>
      <c r="CC31" s="69">
        <v>5.3205790763657879</v>
      </c>
      <c r="CD31" s="69">
        <v>4.7500481721737113</v>
      </c>
      <c r="CE31" s="69">
        <v>3.5482319367690311</v>
      </c>
      <c r="CF31" s="69"/>
      <c r="CG31" s="69">
        <f t="shared" si="47"/>
        <v>-1.7723471395967567</v>
      </c>
      <c r="CH31" s="69">
        <f>'RD T1'!E262</f>
        <v>2.0476353812307573</v>
      </c>
      <c r="CI31" s="69">
        <f t="shared" si="48"/>
        <v>0.27528824163400056</v>
      </c>
      <c r="CK31" t="str">
        <f t="shared" si="49"/>
        <v>82 Transport and mobile machine drivers and operatives</v>
      </c>
      <c r="CL31" s="69">
        <v>4.1619040312915905</v>
      </c>
      <c r="CM31" s="69">
        <v>4.0198215082987101</v>
      </c>
      <c r="CN31" s="69">
        <v>3.6615266969888709</v>
      </c>
      <c r="CO31" s="69">
        <v>2.1983204807829981</v>
      </c>
      <c r="CP31" s="69">
        <v>0.89948157343900803</v>
      </c>
      <c r="CQ31" s="69"/>
      <c r="CR31" s="69">
        <f t="shared" si="50"/>
        <v>-2.7620451235498629</v>
      </c>
      <c r="CS31" s="69">
        <f>'RD T1'!E291</f>
        <v>0.77732930445290449</v>
      </c>
      <c r="CT31" s="69">
        <f t="shared" si="51"/>
        <v>-1.9847158190969583</v>
      </c>
    </row>
    <row r="32" spans="1:98" x14ac:dyDescent="0.25">
      <c r="A32" s="10" t="str">
        <f>name!D28</f>
        <v>91 Elementary trades and related occupations</v>
      </c>
      <c r="B32" s="69">
        <v>3.7590641603887676E-4</v>
      </c>
      <c r="C32" s="69">
        <v>3.6353831226516739E-4</v>
      </c>
      <c r="D32" s="69">
        <v>2.8813887556975441E-4</v>
      </c>
      <c r="E32" s="69">
        <v>1.6155732520891769E-3</v>
      </c>
      <c r="F32" s="69">
        <v>4.3909057999789941E-3</v>
      </c>
      <c r="G32" s="11"/>
      <c r="H32" s="69">
        <f t="shared" si="26"/>
        <v>4.10276692440924E-3</v>
      </c>
      <c r="I32" s="69">
        <f>'RD T1'!E60</f>
        <v>1.6241935819812606E-3</v>
      </c>
      <c r="J32" s="69">
        <f t="shared" si="27"/>
        <v>5.7269605063905004E-3</v>
      </c>
      <c r="L32" t="str">
        <f t="shared" si="28"/>
        <v>91 Elementary trades and related occupations</v>
      </c>
      <c r="M32" s="69">
        <v>9.4944692388493804E-2</v>
      </c>
      <c r="N32" s="69">
        <v>0.11747949999425013</v>
      </c>
      <c r="O32" s="69">
        <v>8.233820284885178E-2</v>
      </c>
      <c r="P32" s="69">
        <v>0.22716710764998449</v>
      </c>
      <c r="Q32" s="69">
        <v>0.56150173500271827</v>
      </c>
      <c r="R32" s="11"/>
      <c r="S32" s="69">
        <f t="shared" si="29"/>
        <v>0.47916353215386648</v>
      </c>
      <c r="T32" s="69">
        <f>'RD T1'!E89</f>
        <v>0.19472164215280194</v>
      </c>
      <c r="U32" s="69">
        <f t="shared" si="30"/>
        <v>0.67388517430666839</v>
      </c>
      <c r="W32" t="str">
        <f t="shared" si="31"/>
        <v>91 Elementary trades and related occupations</v>
      </c>
      <c r="X32" s="69">
        <v>0.39237720283047878</v>
      </c>
      <c r="Y32" s="69">
        <v>0.31424204370782349</v>
      </c>
      <c r="Z32" s="69">
        <v>0.29048266008321377</v>
      </c>
      <c r="AA32" s="69">
        <v>0.89123404617032487</v>
      </c>
      <c r="AB32" s="69">
        <v>1.4307624812938422</v>
      </c>
      <c r="AC32" s="69"/>
      <c r="AD32" s="69">
        <f t="shared" si="32"/>
        <v>1.1402798212106284</v>
      </c>
      <c r="AE32" s="69">
        <f>'RD T1'!E118</f>
        <v>0.74368921335253002</v>
      </c>
      <c r="AF32" s="69">
        <f t="shared" si="33"/>
        <v>1.8839690345631586</v>
      </c>
      <c r="AH32" t="str">
        <f t="shared" si="34"/>
        <v>91 Elementary trades and related occupations</v>
      </c>
      <c r="AI32" s="69">
        <v>0.27580342306412464</v>
      </c>
      <c r="AJ32" s="69">
        <v>0.22618035685655974</v>
      </c>
      <c r="AK32" s="69">
        <v>0.20495657990485608</v>
      </c>
      <c r="AL32" s="69">
        <v>0.56885687218169256</v>
      </c>
      <c r="AM32" s="69">
        <v>0.88279371516376515</v>
      </c>
      <c r="AN32" s="69"/>
      <c r="AO32" s="69">
        <f t="shared" si="35"/>
        <v>0.6778371352589091</v>
      </c>
      <c r="AP32" s="69">
        <f>'RD T1'!E147</f>
        <v>0.46811204008986418</v>
      </c>
      <c r="AQ32" s="69">
        <f t="shared" si="36"/>
        <v>1.1459491753487732</v>
      </c>
      <c r="AS32" t="str">
        <f t="shared" si="37"/>
        <v>91 Elementary trades and related occupations</v>
      </c>
      <c r="AT32" s="69">
        <v>0.29279876285428691</v>
      </c>
      <c r="AU32" s="69">
        <v>0.24233903645668414</v>
      </c>
      <c r="AV32" s="69">
        <v>0.23917310083157725</v>
      </c>
      <c r="AW32" s="69">
        <v>0.67833090899445125</v>
      </c>
      <c r="AX32" s="69">
        <v>1.0117713863292546</v>
      </c>
      <c r="AY32" s="69"/>
      <c r="AZ32" s="69">
        <f t="shared" si="38"/>
        <v>0.77259828549767728</v>
      </c>
      <c r="BA32" s="69">
        <f>'RD T1'!E176</f>
        <v>0.49678495259092781</v>
      </c>
      <c r="BB32" s="69">
        <f t="shared" si="39"/>
        <v>1.2693832380886052</v>
      </c>
      <c r="BD32" t="str">
        <f t="shared" si="40"/>
        <v>91 Elementary trades and related occupations</v>
      </c>
      <c r="BE32" s="69">
        <v>1.3785454954796947</v>
      </c>
      <c r="BF32" s="69">
        <v>1.333124883733001</v>
      </c>
      <c r="BG32" s="69">
        <v>1.1374593936486852</v>
      </c>
      <c r="BH32" s="69">
        <v>2.1819567882888511</v>
      </c>
      <c r="BI32" s="69">
        <v>2.8843962065397593</v>
      </c>
      <c r="BJ32" s="69"/>
      <c r="BK32" s="69">
        <f t="shared" si="41"/>
        <v>1.7469368128910741</v>
      </c>
      <c r="BL32" s="69">
        <f>'RD T1'!E205</f>
        <v>1.0204838624944956</v>
      </c>
      <c r="BM32" s="69">
        <f t="shared" si="42"/>
        <v>2.7674206753855697</v>
      </c>
      <c r="BO32" t="str">
        <f t="shared" si="43"/>
        <v>91 Elementary trades and related occupations</v>
      </c>
      <c r="BP32" s="69">
        <v>2.6803910505441078</v>
      </c>
      <c r="BQ32" s="69">
        <v>2.4655015025724429</v>
      </c>
      <c r="BR32" s="69">
        <v>2.0590194278196883</v>
      </c>
      <c r="BS32" s="69">
        <v>3.9106021761305061</v>
      </c>
      <c r="BT32" s="69">
        <v>4.4182415888379172</v>
      </c>
      <c r="BU32" s="69"/>
      <c r="BV32" s="69">
        <f t="shared" si="44"/>
        <v>2.3592221610182289</v>
      </c>
      <c r="BW32" s="69">
        <f>'RD T1'!E234</f>
        <v>1.6759981580794405</v>
      </c>
      <c r="BX32" s="69">
        <f t="shared" si="45"/>
        <v>4.0352203190976699</v>
      </c>
      <c r="BZ32" t="str">
        <f t="shared" si="46"/>
        <v>91 Elementary trades and related occupations</v>
      </c>
      <c r="CA32" s="69">
        <v>3.6636203672646119</v>
      </c>
      <c r="CB32" s="69">
        <v>3.1081519747237261</v>
      </c>
      <c r="CC32" s="69">
        <v>2.6670253289912735</v>
      </c>
      <c r="CD32" s="69">
        <v>4.1709365388823594</v>
      </c>
      <c r="CE32" s="69">
        <v>3.4732844371305114</v>
      </c>
      <c r="CF32" s="69"/>
      <c r="CG32" s="69">
        <f t="shared" si="47"/>
        <v>0.80625910813923785</v>
      </c>
      <c r="CH32" s="69">
        <f>'RD T1'!E263</f>
        <v>1.6622623516562582</v>
      </c>
      <c r="CI32" s="69">
        <f t="shared" si="48"/>
        <v>2.4685214597954959</v>
      </c>
      <c r="CK32" t="str">
        <f t="shared" si="49"/>
        <v>91 Elementary trades and related occupations</v>
      </c>
      <c r="CL32" s="69">
        <v>2.7085866793612428</v>
      </c>
      <c r="CM32" s="69">
        <v>2.0246577177732124</v>
      </c>
      <c r="CN32" s="69">
        <v>1.9171516914918572</v>
      </c>
      <c r="CO32" s="69">
        <v>2.3798120173032151</v>
      </c>
      <c r="CP32" s="69">
        <v>1.8296447519611361</v>
      </c>
      <c r="CQ32" s="69"/>
      <c r="CR32" s="69">
        <f t="shared" si="50"/>
        <v>-8.7506939530721084E-2</v>
      </c>
      <c r="CS32" s="69">
        <f>'RD T1'!E292</f>
        <v>0.78628444670210529</v>
      </c>
      <c r="CT32" s="69">
        <f t="shared" si="51"/>
        <v>0.6987775071713842</v>
      </c>
    </row>
    <row r="33" spans="1:98" x14ac:dyDescent="0.25">
      <c r="A33" s="10" t="str">
        <f>name!D29</f>
        <v>92 Elementary administration and service occupations</v>
      </c>
      <c r="B33" s="69">
        <v>2.6417849741303193E-2</v>
      </c>
      <c r="C33" s="69">
        <v>3.4392134349490087E-2</v>
      </c>
      <c r="D33" s="69">
        <v>3.0219019625804429E-2</v>
      </c>
      <c r="E33" s="69">
        <v>3.9030790819186735E-2</v>
      </c>
      <c r="F33" s="69">
        <v>6.3023984633075569E-2</v>
      </c>
      <c r="G33" s="11"/>
      <c r="H33" s="69">
        <f t="shared" ref="H33" si="52">F33-D33</f>
        <v>3.280496500727114E-2</v>
      </c>
      <c r="I33" s="69">
        <f>'RD T1'!E61</f>
        <v>2.3930716909883215E-2</v>
      </c>
      <c r="J33" s="69">
        <f t="shared" ref="J33" si="53">SUM(H33:I33)</f>
        <v>5.6735681917154356E-2</v>
      </c>
      <c r="L33" t="str">
        <f t="shared" ref="L33" si="54">A33</f>
        <v>92 Elementary administration and service occupations</v>
      </c>
      <c r="M33" s="69">
        <v>0.57063303165658319</v>
      </c>
      <c r="N33" s="69">
        <v>0.77750574110263626</v>
      </c>
      <c r="O33" s="69">
        <v>0.73708123360489275</v>
      </c>
      <c r="P33" s="69">
        <v>0.98723573965922162</v>
      </c>
      <c r="Q33" s="69">
        <v>1.8064625630166862</v>
      </c>
      <c r="R33" s="11"/>
      <c r="S33" s="69">
        <f t="shared" ref="S33" si="55">Q33-O33</f>
        <v>1.0693813294117933</v>
      </c>
      <c r="T33" s="69">
        <f>'RD T1'!E90</f>
        <v>0.66220527041180643</v>
      </c>
      <c r="U33" s="69">
        <f t="shared" ref="U33" si="56">SUM(S33:T33)</f>
        <v>1.7315865998235997</v>
      </c>
      <c r="W33" t="str">
        <f t="shared" ref="W33" si="57">A33</f>
        <v>92 Elementary administration and service occupations</v>
      </c>
      <c r="X33" s="69">
        <v>2.4173826847085138</v>
      </c>
      <c r="Y33" s="69">
        <v>2.399644330571939</v>
      </c>
      <c r="Z33" s="69">
        <v>2.6413229067033677</v>
      </c>
      <c r="AA33" s="69">
        <v>2.8335207875097823</v>
      </c>
      <c r="AB33" s="69">
        <v>3.4638014357797484</v>
      </c>
      <c r="AC33" s="69"/>
      <c r="AD33" s="69">
        <f t="shared" ref="AD33" si="58">AB33-Z33</f>
        <v>0.82247852907638075</v>
      </c>
      <c r="AE33" s="69">
        <f>'RD T1'!E119</f>
        <v>1.9680100392578594</v>
      </c>
      <c r="AF33" s="69">
        <f t="shared" ref="AF33" si="59">SUM(AD33:AE33)</f>
        <v>2.79048856833424</v>
      </c>
      <c r="AH33" t="str">
        <f t="shared" ref="AH33" si="60">L33</f>
        <v>92 Elementary administration and service occupations</v>
      </c>
      <c r="AI33" s="69">
        <v>1.1829153515110173</v>
      </c>
      <c r="AJ33" s="69">
        <v>1.1419215154375471</v>
      </c>
      <c r="AK33" s="69">
        <v>1.2543753307393342</v>
      </c>
      <c r="AL33" s="69">
        <v>1.3114934307396355</v>
      </c>
      <c r="AM33" s="69">
        <v>1.7025810300778372</v>
      </c>
      <c r="AN33" s="69"/>
      <c r="AO33" s="69">
        <f t="shared" ref="AO33" si="61">AM33-AK33</f>
        <v>0.44820569933850307</v>
      </c>
      <c r="AP33" s="69">
        <f>'RD T1'!E148</f>
        <v>0.86732867628261101</v>
      </c>
      <c r="AQ33" s="69">
        <f t="shared" ref="AQ33" si="62">SUM(AO33:AP33)</f>
        <v>1.3155343756211142</v>
      </c>
      <c r="AS33" t="str">
        <f t="shared" ref="AS33" si="63">W33</f>
        <v>92 Elementary administration and service occupations</v>
      </c>
      <c r="AT33" s="69">
        <v>1.1226203795994012</v>
      </c>
      <c r="AU33" s="69">
        <v>1.0823722382523213</v>
      </c>
      <c r="AV33" s="69">
        <v>1.1941374659678323</v>
      </c>
      <c r="AW33" s="69">
        <v>1.225871097942594</v>
      </c>
      <c r="AX33" s="69">
        <v>1.5497068647464707</v>
      </c>
      <c r="AY33" s="69"/>
      <c r="AZ33" s="69">
        <f t="shared" ref="AZ33" si="64">AX33-AV33</f>
        <v>0.35556939877863836</v>
      </c>
      <c r="BA33" s="69">
        <f>'RD T1'!E177</f>
        <v>0.82051324101484202</v>
      </c>
      <c r="BB33" s="69">
        <f t="shared" ref="BB33" si="65">SUM(AZ33:BA33)</f>
        <v>1.1760826397934805</v>
      </c>
      <c r="BD33" t="str">
        <f t="shared" ref="BD33" si="66">AH33</f>
        <v>92 Elementary administration and service occupations</v>
      </c>
      <c r="BE33" s="69">
        <v>6.8626022170124301</v>
      </c>
      <c r="BF33" s="69">
        <v>6.6916251812528804</v>
      </c>
      <c r="BG33" s="69">
        <v>6.1912334318314324</v>
      </c>
      <c r="BH33" s="69">
        <v>5.5499312870307387</v>
      </c>
      <c r="BI33" s="69">
        <v>4.9460314313631795</v>
      </c>
      <c r="BJ33" s="69"/>
      <c r="BK33" s="69">
        <f t="shared" ref="BK33" si="67">BI33-BG33</f>
        <v>-1.2452020004682529</v>
      </c>
      <c r="BL33" s="69">
        <f>'RD T1'!E206</f>
        <v>2.5832101706434947</v>
      </c>
      <c r="BM33" s="69">
        <f t="shared" ref="BM33" si="68">SUM(BK33:BL33)</f>
        <v>1.3380081701752418</v>
      </c>
      <c r="BO33" t="str">
        <f t="shared" ref="BO33" si="69">AS33</f>
        <v>92 Elementary administration and service occupations</v>
      </c>
      <c r="BP33" s="69">
        <v>12.752365486209147</v>
      </c>
      <c r="BQ33" s="69">
        <v>13.161509556921764</v>
      </c>
      <c r="BR33" s="69">
        <v>10.801026085895028</v>
      </c>
      <c r="BS33" s="69">
        <v>10.868004462729548</v>
      </c>
      <c r="BT33" s="69">
        <v>9.7307374286109134</v>
      </c>
      <c r="BU33" s="69"/>
      <c r="BV33" s="69">
        <f t="shared" ref="BV33" si="70">BT33-BR33</f>
        <v>-1.0702886572841148</v>
      </c>
      <c r="BW33" s="69">
        <f>'RD T1'!E235</f>
        <v>5.2595955435450481</v>
      </c>
      <c r="BX33" s="69">
        <f t="shared" ref="BX33" si="71">SUM(BV33:BW33)</f>
        <v>4.1893068862609333</v>
      </c>
      <c r="BZ33" t="str">
        <f t="shared" ref="BZ33" si="72">BD33</f>
        <v>92 Elementary administration and service occupations</v>
      </c>
      <c r="CA33" s="69">
        <v>11.79982424486613</v>
      </c>
      <c r="CB33" s="69">
        <v>10.738818823747891</v>
      </c>
      <c r="CC33" s="69">
        <v>9.2319589785710523</v>
      </c>
      <c r="CD33" s="69">
        <v>7.49635908974646</v>
      </c>
      <c r="CE33" s="69">
        <v>4.7408136531862057</v>
      </c>
      <c r="CF33" s="69"/>
      <c r="CG33" s="69">
        <f t="shared" ref="CG33" si="73">CE33-CC33</f>
        <v>-4.4911453253848466</v>
      </c>
      <c r="CH33" s="69">
        <f>'RD T1'!E264</f>
        <v>2.7616875827452185</v>
      </c>
      <c r="CI33" s="69">
        <f t="shared" ref="CI33" si="74">SUM(CG33:CH33)</f>
        <v>-1.729457742639628</v>
      </c>
      <c r="CK33" t="str">
        <f t="shared" ref="CK33" si="75">BO33</f>
        <v>92 Elementary administration and service occupations</v>
      </c>
      <c r="CL33" s="69">
        <v>8.7377334885472564</v>
      </c>
      <c r="CM33" s="69">
        <v>5.7391211313016184</v>
      </c>
      <c r="CN33" s="69">
        <v>5.6075842246575638</v>
      </c>
      <c r="CO33" s="69">
        <v>2.9126967636099148</v>
      </c>
      <c r="CP33" s="69">
        <v>1.4780064718658348</v>
      </c>
      <c r="CQ33" s="69"/>
      <c r="CR33" s="69">
        <f t="shared" ref="CR33" si="76">CP33-CN33</f>
        <v>-4.1295777527917288</v>
      </c>
      <c r="CS33" s="69">
        <f>'RD T1'!E293</f>
        <v>0.80154576182449222</v>
      </c>
      <c r="CT33" s="69">
        <f t="shared" ref="CT33" si="77">SUM(CR33:CS33)</f>
        <v>-3.3280319909672365</v>
      </c>
    </row>
    <row r="34" spans="1:98" x14ac:dyDescent="0.25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5">
      <c r="A35" s="231" t="str">
        <f>name!D3</f>
        <v>All occupations</v>
      </c>
      <c r="B35" s="67">
        <f>SUM(B8:B33)</f>
        <v>5.3073112621041894</v>
      </c>
      <c r="C35" s="67">
        <f t="shared" ref="C35:F35" si="78">SUM(C8:C33)</f>
        <v>7.3068406233037173</v>
      </c>
      <c r="D35" s="67">
        <f t="shared" si="78"/>
        <v>7.0915685334472123</v>
      </c>
      <c r="E35" s="67">
        <f t="shared" si="78"/>
        <v>9.1694021499465546</v>
      </c>
      <c r="F35" s="67">
        <f t="shared" si="78"/>
        <v>13.476587127561658</v>
      </c>
      <c r="G35" s="11"/>
      <c r="H35" s="67">
        <f>F35-D35</f>
        <v>6.3850185941144453</v>
      </c>
      <c r="I35" s="67">
        <f>SUM(I8:I33)</f>
        <v>4.7951940249128757</v>
      </c>
      <c r="J35" s="67">
        <f>SUM(H35:I35)</f>
        <v>11.180212619027321</v>
      </c>
      <c r="L35" s="24" t="str">
        <f>A35</f>
        <v>All occupations</v>
      </c>
      <c r="M35" s="67">
        <f>SUM(M8:M33)</f>
        <v>34.372407642251311</v>
      </c>
      <c r="N35" s="67">
        <f t="shared" ref="N35:Q35" si="79">SUM(N8:N33)</f>
        <v>47.972540866402213</v>
      </c>
      <c r="O35" s="67">
        <f t="shared" si="79"/>
        <v>47.914110923791952</v>
      </c>
      <c r="P35" s="67">
        <f t="shared" si="79"/>
        <v>60.818658304566441</v>
      </c>
      <c r="Q35" s="67">
        <f t="shared" si="79"/>
        <v>89.274782430541549</v>
      </c>
      <c r="R35" s="11"/>
      <c r="S35" s="67">
        <f t="shared" si="29"/>
        <v>41.360671506749597</v>
      </c>
      <c r="T35" s="67">
        <f>SUM(T8:T33)</f>
        <v>33.58553851456778</v>
      </c>
      <c r="U35" s="67">
        <f>SUM(S35:T35)</f>
        <v>74.94621002131737</v>
      </c>
      <c r="W35" s="24" t="str">
        <f>A35</f>
        <v>All occupations</v>
      </c>
      <c r="X35" s="67">
        <f>SUM(X8:X33)</f>
        <v>83.671480205468669</v>
      </c>
      <c r="Y35" s="67">
        <f t="shared" ref="Y35:AB35" si="80">SUM(Y8:Y33)</f>
        <v>81.914992761114334</v>
      </c>
      <c r="Z35" s="67">
        <f t="shared" si="80"/>
        <v>91.033181866654544</v>
      </c>
      <c r="AA35" s="67">
        <f t="shared" si="80"/>
        <v>97.545774606448276</v>
      </c>
      <c r="AB35" s="67">
        <f t="shared" si="80"/>
        <v>112.29678035556742</v>
      </c>
      <c r="AC35" s="69"/>
      <c r="AD35" s="67">
        <f t="shared" ref="AD35" si="81">AB35-Z35</f>
        <v>21.263598488912876</v>
      </c>
      <c r="AE35" s="67">
        <f>SUM(AE8:AE33)</f>
        <v>56.735715122556407</v>
      </c>
      <c r="AF35" s="67">
        <f>SUM(AD35:AE35)</f>
        <v>77.99931361146929</v>
      </c>
      <c r="AH35" s="24" t="str">
        <f>L35</f>
        <v>All occupations</v>
      </c>
      <c r="AI35" s="67">
        <f>SUM(AI8:AI33)</f>
        <v>27.262700234542422</v>
      </c>
      <c r="AJ35" s="67">
        <f t="shared" ref="AJ35:AM35" si="82">SUM(AJ8:AJ33)</f>
        <v>24.998245553760142</v>
      </c>
      <c r="AK35" s="67">
        <f t="shared" si="82"/>
        <v>27.828114439543285</v>
      </c>
      <c r="AL35" s="67">
        <f t="shared" si="82"/>
        <v>27.092094788061463</v>
      </c>
      <c r="AM35" s="67">
        <f t="shared" si="82"/>
        <v>29.363125462266954</v>
      </c>
      <c r="AN35" s="69"/>
      <c r="AO35" s="67">
        <f t="shared" ref="AO35" si="83">AM35-AK35</f>
        <v>1.5350110227236691</v>
      </c>
      <c r="AP35" s="67">
        <f>SUM(AP8:AP33)</f>
        <v>15.019741836005547</v>
      </c>
      <c r="AQ35" s="67">
        <f>SUM(AO35:AP35)</f>
        <v>16.554752858729216</v>
      </c>
      <c r="AS35" s="24" t="str">
        <f>W35</f>
        <v>All occupations</v>
      </c>
      <c r="AT35" s="67">
        <f>SUM(AT8:AT33)</f>
        <v>26.614616285853849</v>
      </c>
      <c r="AU35" s="67">
        <f t="shared" ref="AU35:AX35" si="84">SUM(AU8:AU33)</f>
        <v>24.767108663845466</v>
      </c>
      <c r="AV35" s="67">
        <f t="shared" si="84"/>
        <v>26.960304923339166</v>
      </c>
      <c r="AW35" s="67">
        <f t="shared" si="84"/>
        <v>27.933787823735219</v>
      </c>
      <c r="AX35" s="67">
        <f t="shared" si="84"/>
        <v>31.755382202989345</v>
      </c>
      <c r="AY35" s="69"/>
      <c r="AZ35" s="67">
        <f t="shared" ref="AZ35" si="85">AX35-AV35</f>
        <v>4.7950772796501795</v>
      </c>
      <c r="BA35" s="67">
        <f>SUM(BA8:BA33)</f>
        <v>15.058075897480387</v>
      </c>
      <c r="BB35" s="67">
        <f>SUM(AZ35:BA35)</f>
        <v>19.853153177130565</v>
      </c>
      <c r="BD35" s="24" t="str">
        <f>AH35</f>
        <v>All occupations</v>
      </c>
      <c r="BE35" s="67">
        <f>SUM(BE8:BE33)</f>
        <v>101.26753787756181</v>
      </c>
      <c r="BF35" s="67">
        <f t="shared" ref="BF35:BI35" si="86">SUM(BF8:BF33)</f>
        <v>109.81054068418119</v>
      </c>
      <c r="BG35" s="67">
        <f t="shared" si="86"/>
        <v>104.45390013907631</v>
      </c>
      <c r="BH35" s="67">
        <f t="shared" si="86"/>
        <v>109.27689045318868</v>
      </c>
      <c r="BI35" s="67">
        <f t="shared" si="86"/>
        <v>110.31070181595217</v>
      </c>
      <c r="BJ35" s="69"/>
      <c r="BK35" s="67">
        <f t="shared" ref="BK35" si="87">BI35-BG35</f>
        <v>5.8568016768758611</v>
      </c>
      <c r="BL35" s="67">
        <f>SUM(BL8:BL33)</f>
        <v>48.736537431972828</v>
      </c>
      <c r="BM35" s="67">
        <f>SUM(BK35:BL35)</f>
        <v>54.593339108848689</v>
      </c>
      <c r="BO35" s="24" t="str">
        <f>AS35</f>
        <v>All occupations</v>
      </c>
      <c r="BP35" s="67">
        <f>SUM(BP8:BP33)</f>
        <v>111.83473985337373</v>
      </c>
      <c r="BQ35" s="67">
        <f t="shared" ref="BQ35:BT35" si="88">SUM(BQ8:BQ33)</f>
        <v>114.81041065304427</v>
      </c>
      <c r="BR35" s="67">
        <f t="shared" si="88"/>
        <v>99.097694185079135</v>
      </c>
      <c r="BS35" s="67">
        <f t="shared" si="88"/>
        <v>104.59848858249424</v>
      </c>
      <c r="BT35" s="67">
        <f t="shared" si="88"/>
        <v>91.393991461314428</v>
      </c>
      <c r="BU35" s="69"/>
      <c r="BV35" s="67">
        <f t="shared" ref="BV35" si="89">BT35-BR35</f>
        <v>-7.7037027237647067</v>
      </c>
      <c r="BW35" s="67">
        <f>SUM(BW8:BW33)</f>
        <v>47.034586230722482</v>
      </c>
      <c r="BX35" s="67">
        <f>SUM(BV35:BW35)</f>
        <v>39.330883506957775</v>
      </c>
      <c r="BZ35" s="24" t="str">
        <f>BD35</f>
        <v>All occupations</v>
      </c>
      <c r="CA35" s="67">
        <f>SUM(CA8:CA33)</f>
        <v>74.233403679264796</v>
      </c>
      <c r="CB35" s="67">
        <f t="shared" ref="CB35:CE35" si="90">SUM(CB8:CB33)</f>
        <v>65.981308811181776</v>
      </c>
      <c r="CC35" s="67">
        <f t="shared" si="90"/>
        <v>60.025143488041756</v>
      </c>
      <c r="CD35" s="67">
        <f t="shared" si="90"/>
        <v>51.781456172775407</v>
      </c>
      <c r="CE35" s="67">
        <f t="shared" si="90"/>
        <v>31.922824506490013</v>
      </c>
      <c r="CF35" s="69"/>
      <c r="CG35" s="67">
        <f t="shared" ref="CG35" si="91">CE35-CC35</f>
        <v>-28.102318981551743</v>
      </c>
      <c r="CH35" s="67">
        <f>SUM(CH8:CH33)</f>
        <v>18.511091400538422</v>
      </c>
      <c r="CI35" s="67">
        <f>SUM(CG35:CH35)</f>
        <v>-9.591227581013321</v>
      </c>
      <c r="CK35" s="24" t="str">
        <f>BO35</f>
        <v>All occupations</v>
      </c>
      <c r="CL35" s="67">
        <f>SUM(CL8:CL33)</f>
        <v>40.997802959579282</v>
      </c>
      <c r="CM35" s="67">
        <f t="shared" ref="CM35:CP35" si="92">SUM(CM8:CM33)</f>
        <v>32.369011383166665</v>
      </c>
      <c r="CN35" s="67">
        <f t="shared" si="92"/>
        <v>31.789981501026592</v>
      </c>
      <c r="CO35" s="67">
        <f t="shared" si="92"/>
        <v>19.911447118783805</v>
      </c>
      <c r="CP35" s="67">
        <f t="shared" si="92"/>
        <v>12.149824637316081</v>
      </c>
      <c r="CQ35" s="69"/>
      <c r="CR35" s="67">
        <f t="shared" ref="CR35" si="93">CP35-CN35</f>
        <v>-19.640156863710509</v>
      </c>
      <c r="CS35" s="67">
        <f>SUM(CS8:CS33)</f>
        <v>6.2417331481104696</v>
      </c>
      <c r="CT35" s="67">
        <f>SUM(CR35:CS35)</f>
        <v>-13.398423715600039</v>
      </c>
    </row>
    <row r="38" spans="1:98" ht="52.5" customHeight="1" x14ac:dyDescent="0.25">
      <c r="A38" s="382" t="str">
        <f>CONCATENATE(A$1," (Continued)")</f>
        <v>Basic Table 2  Employment Change by Occupation and Replacement Demand, RQF8 Doctorate, 2015-2035, Black Country (Continued)</v>
      </c>
      <c r="B38" s="382"/>
      <c r="C38" s="382"/>
      <c r="D38" s="382"/>
      <c r="E38" s="382"/>
      <c r="F38" s="382"/>
      <c r="G38" s="382"/>
      <c r="H38" s="382"/>
      <c r="I38" s="382"/>
      <c r="J38" s="382"/>
      <c r="L38" s="382" t="str">
        <f>CONCATENATE(L$1," (Continued)")</f>
        <v>Basic Table 2.1  Employment Change by Occupation and Replacement Demand, RQF7 Other higher degree, 2015-2035, Black Country (Continued)</v>
      </c>
      <c r="M38" s="382"/>
      <c r="N38" s="382"/>
      <c r="O38" s="382"/>
      <c r="P38" s="382"/>
      <c r="Q38" s="382"/>
      <c r="R38" s="382"/>
      <c r="S38" s="382"/>
      <c r="T38" s="382"/>
      <c r="U38" s="382"/>
      <c r="W38" s="382" t="str">
        <f>CONCATENATE(W$1," (Continued)")</f>
        <v>Basic Table 2.2  Employment Change by Occupation and Replacement Demand, RQF6 First degree, 2015-2035, Black Country (Continued)</v>
      </c>
      <c r="X38" s="382"/>
      <c r="Y38" s="382"/>
      <c r="Z38" s="382"/>
      <c r="AA38" s="382"/>
      <c r="AB38" s="382"/>
      <c r="AC38" s="382"/>
      <c r="AD38" s="382"/>
      <c r="AE38" s="382"/>
      <c r="AF38" s="382"/>
      <c r="AH38" s="382" t="str">
        <f>CONCATENATE(AH$1," (Continued)")</f>
        <v>Basic Table 2.3  Employment Change by Occupation and Replacement Demand, RQF5 Foundation degree;Nursing;Teaching, 2015-2035, Black Country (Continued)</v>
      </c>
      <c r="AI38" s="382"/>
      <c r="AJ38" s="382"/>
      <c r="AK38" s="382"/>
      <c r="AL38" s="382"/>
      <c r="AM38" s="382"/>
      <c r="AN38" s="382"/>
      <c r="AO38" s="382"/>
      <c r="AP38" s="382"/>
      <c r="AQ38" s="382"/>
      <c r="AS38" s="382" t="str">
        <f>CONCATENATE(AS$1," (Continued)")</f>
        <v>Basic Table 2.4  Employment Change by Occupation and Replacement Demand, RQF4 HE below degree level, 2015-2035, Black Country (Continued)</v>
      </c>
      <c r="AT38" s="382"/>
      <c r="AU38" s="382"/>
      <c r="AV38" s="382"/>
      <c r="AW38" s="382"/>
      <c r="AX38" s="382"/>
      <c r="AY38" s="382"/>
      <c r="AZ38" s="382"/>
      <c r="BA38" s="382"/>
      <c r="BB38" s="382"/>
      <c r="BD38" s="382" t="str">
        <f>CONCATENATE(BD$1," (Continued)")</f>
        <v>Basic Table 2.5  Employment Change by Occupation and Replacement Demand, RQF3 A level &amp; equivalent, 2015-2035, Black Country (Continued)</v>
      </c>
      <c r="BE38" s="382"/>
      <c r="BF38" s="382"/>
      <c r="BG38" s="382"/>
      <c r="BH38" s="382"/>
      <c r="BI38" s="382"/>
      <c r="BJ38" s="382"/>
      <c r="BK38" s="382"/>
      <c r="BL38" s="382"/>
      <c r="BM38" s="382"/>
      <c r="BO38" s="382" t="str">
        <f>CONCATENATE(BO$1," (Continued)")</f>
        <v>Basic Table 2.6  Employment Change by Occupation and Replacement Demand, RQF2 GCSE(A-C) &amp; equivalent, 2015-2035, Black Country (Continued)</v>
      </c>
      <c r="BP38" s="382"/>
      <c r="BQ38" s="382"/>
      <c r="BR38" s="382"/>
      <c r="BS38" s="382"/>
      <c r="BT38" s="382"/>
      <c r="BU38" s="382"/>
      <c r="BV38" s="382"/>
      <c r="BW38" s="382"/>
      <c r="BX38" s="382"/>
      <c r="BZ38" s="382" t="str">
        <f>CONCATENATE(BZ$1," (Continued)")</f>
        <v>Basic Table 2.7  Employment Change by Occupation and Replacement Demand, RQF1 GCSE(below grade C) &amp; equivalent, 2015-2035, Black Country (Continued)</v>
      </c>
      <c r="CA38" s="382"/>
      <c r="CB38" s="382"/>
      <c r="CC38" s="382"/>
      <c r="CD38" s="382"/>
      <c r="CE38" s="382"/>
      <c r="CF38" s="382"/>
      <c r="CG38" s="382"/>
      <c r="CH38" s="382"/>
      <c r="CI38" s="382"/>
      <c r="CK38" s="382" t="str">
        <f>CONCATENATE(CK$1," (Continued)")</f>
        <v>Basic Table 2.8  Employment Change by Occupation and Replacement Demand, No Qualification, 2015-2035, Black Country (Continued)</v>
      </c>
      <c r="CL38" s="382"/>
      <c r="CM38" s="382"/>
      <c r="CN38" s="382"/>
      <c r="CO38" s="382"/>
      <c r="CP38" s="382"/>
      <c r="CQ38" s="382"/>
      <c r="CR38" s="382"/>
      <c r="CS38" s="382"/>
      <c r="CT38" s="382"/>
    </row>
    <row r="39" spans="1:98" ht="12.75" customHeight="1" x14ac:dyDescent="0.25"/>
    <row r="40" spans="1:98" ht="12.75" customHeight="1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3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18">
        <f t="shared" ref="B45:F54" si="104">B8/B$35*100</f>
        <v>6.2089122655546261</v>
      </c>
      <c r="C45" s="18">
        <f t="shared" si="104"/>
        <v>5.9547774731768817</v>
      </c>
      <c r="D45" s="18">
        <f t="shared" si="104"/>
        <v>5.6754916948912291</v>
      </c>
      <c r="E45" s="18">
        <f t="shared" si="104"/>
        <v>5.1178311045317022</v>
      </c>
      <c r="F45" s="18">
        <f t="shared" si="104"/>
        <v>5.3846462362912568</v>
      </c>
      <c r="H45" s="68">
        <f t="shared" ref="H45:H70" si="105">IF(D8&gt;0,(H8/D8)*100,0)</f>
        <v>80.298163323577711</v>
      </c>
      <c r="I45" s="69">
        <f t="shared" ref="I45:I70" si="106">IF(D8&gt;0,I8/D8*100,0)</f>
        <v>69.041498988055878</v>
      </c>
      <c r="J45" s="69">
        <f t="shared" ref="J45:J70" si="107">IF(D8&gt;0,(J8/D8)*100,0)</f>
        <v>149.33966231163359</v>
      </c>
      <c r="L45" t="str">
        <f>A45</f>
        <v>11 Corporate managers and directors</v>
      </c>
      <c r="M45" s="18">
        <f t="shared" ref="M45:Q54" si="108">M8/M$35*100</f>
        <v>7.739685774256289</v>
      </c>
      <c r="N45" s="18">
        <f t="shared" si="108"/>
        <v>8.2141671508554523</v>
      </c>
      <c r="O45" s="18">
        <f t="shared" si="108"/>
        <v>7.9388481900917931</v>
      </c>
      <c r="P45" s="18">
        <f t="shared" si="108"/>
        <v>7.0567017710118769</v>
      </c>
      <c r="Q45" s="18">
        <f t="shared" si="108"/>
        <v>7.1643367340616697</v>
      </c>
      <c r="S45" s="68">
        <f t="shared" ref="S45:S70" si="109">IF(O8&gt;0,(S8/O8)*100,0)</f>
        <v>68.144961978688201</v>
      </c>
      <c r="T45" s="69">
        <f t="shared" ref="T45:T70" si="110">IF(O8&gt;0,T8/O8*100,0)</f>
        <v>66.300369572905808</v>
      </c>
      <c r="U45" s="69">
        <f t="shared" ref="U45:U70" si="111">IF(O8&gt;0,(U8/O8)*100,0)</f>
        <v>134.44533155159399</v>
      </c>
      <c r="W45" t="str">
        <f>A45</f>
        <v>11 Corporate managers and directors</v>
      </c>
      <c r="X45" s="18">
        <f t="shared" ref="X45:AB54" si="112">X8/X$35*100</f>
        <v>9.5676512041832673</v>
      </c>
      <c r="Y45" s="18">
        <f t="shared" si="112"/>
        <v>10.308791348617429</v>
      </c>
      <c r="Z45" s="18">
        <f t="shared" si="112"/>
        <v>9.9810742958638627</v>
      </c>
      <c r="AA45" s="18">
        <f t="shared" si="112"/>
        <v>8.6529439169235882</v>
      </c>
      <c r="AB45" s="18">
        <f t="shared" si="112"/>
        <v>8.534147277491547</v>
      </c>
      <c r="AD45" s="68">
        <f t="shared" ref="AD45:AD70" si="113">IF(Z8&gt;0,(AD8/Z8)*100,0)</f>
        <v>5.4752168856540804</v>
      </c>
      <c r="AE45" s="69">
        <f t="shared" ref="AE45:AE70" si="114">IF(Z8&gt;0,AE8/Z8*100,0)</f>
        <v>56.895979748419364</v>
      </c>
      <c r="AF45" s="69">
        <f t="shared" ref="AF45:AF70" si="115">IF(Z8&gt;0,(AF8/Z8)*100,0)</f>
        <v>62.371196634073442</v>
      </c>
      <c r="AH45" t="str">
        <f>L45</f>
        <v>11 Corporate managers and directors</v>
      </c>
      <c r="AI45" s="18">
        <f t="shared" ref="AI45:AM54" si="116">AI8/AI$35*100</f>
        <v>5.9126243944120347</v>
      </c>
      <c r="AJ45" s="18">
        <f t="shared" si="116"/>
        <v>6.8870557772462826</v>
      </c>
      <c r="AK45" s="18">
        <f t="shared" si="116"/>
        <v>6.8615642581856431</v>
      </c>
      <c r="AL45" s="18">
        <f t="shared" si="116"/>
        <v>6.2715193018310726</v>
      </c>
      <c r="AM45" s="18">
        <f t="shared" si="116"/>
        <v>6.3257256510912558</v>
      </c>
      <c r="AO45" s="68">
        <f t="shared" ref="AO45:AO70" si="117">IF(AK8&gt;0,(AO8/AK8)*100,0)</f>
        <v>-2.7239969348142523</v>
      </c>
      <c r="AP45" s="69">
        <f t="shared" ref="AP45:AP70" si="118">IF(AK8&gt;0,AP8/AK8*100,0)</f>
        <v>49.746150982233111</v>
      </c>
      <c r="AQ45" s="69">
        <f t="shared" ref="AQ45:AQ70" si="119">IF(AK8&gt;0,(AQ8/AK8)*100,0)</f>
        <v>47.022154047418866</v>
      </c>
      <c r="AS45" t="str">
        <f>W45</f>
        <v>11 Corporate managers and directors</v>
      </c>
      <c r="AT45" s="18">
        <f t="shared" ref="AT45:AX54" si="120">AT8/AT$35*100</f>
        <v>9.4132096572130237</v>
      </c>
      <c r="AU45" s="18">
        <f t="shared" si="120"/>
        <v>10.085938340858235</v>
      </c>
      <c r="AV45" s="18">
        <f t="shared" si="120"/>
        <v>9.8561494461408738</v>
      </c>
      <c r="AW45" s="18">
        <f t="shared" si="120"/>
        <v>8.1302583944579823</v>
      </c>
      <c r="AX45" s="18">
        <f t="shared" si="120"/>
        <v>7.5921459376584792</v>
      </c>
      <c r="AZ45" s="68">
        <f t="shared" ref="AZ45:AZ70" si="121">IF(AV8&gt;0,(AZ8/AV8)*100,0)</f>
        <v>-9.2702295616948582</v>
      </c>
      <c r="BA45" s="69">
        <f t="shared" ref="BA45:BA70" si="122">IF(AV8&gt;0,BA8/AV8*100,0)</f>
        <v>47.320936801370024</v>
      </c>
      <c r="BB45" s="69">
        <f t="shared" ref="BB45:BB70" si="123">IF(AV8&gt;0,(BB8/AV8)*100,0)</f>
        <v>38.050707239675162</v>
      </c>
      <c r="BD45" t="str">
        <f>AH45</f>
        <v>11 Corporate managers and directors</v>
      </c>
      <c r="BE45" s="18">
        <f t="shared" ref="BE45:BI54" si="124">BE8/BE$35*100</f>
        <v>5.2340419389467572</v>
      </c>
      <c r="BF45" s="18">
        <f t="shared" si="124"/>
        <v>5.8665466477680006</v>
      </c>
      <c r="BG45" s="18">
        <f t="shared" si="124"/>
        <v>6.329680262939263</v>
      </c>
      <c r="BH45" s="18">
        <f t="shared" si="124"/>
        <v>5.3975328928768285</v>
      </c>
      <c r="BI45" s="18">
        <f t="shared" si="124"/>
        <v>5.7631372752385834</v>
      </c>
      <c r="BK45" s="68">
        <f t="shared" ref="BK45:BK70" si="125">IF(BG8&gt;0,(BK8/BG8)*100,0)</f>
        <v>-3.8453748980037941</v>
      </c>
      <c r="BL45" s="69">
        <f t="shared" ref="BL45:BL70" si="126">IF(BG8&gt;0,BL8/BG8*100,0)</f>
        <v>41.179424220765696</v>
      </c>
      <c r="BM45" s="69">
        <f t="shared" ref="BM45:BM70" si="127">IF(BG8&gt;0,(BM8/BG8)*100,0)</f>
        <v>37.334049322761906</v>
      </c>
      <c r="BO45" t="str">
        <f>AS45</f>
        <v>11 Corporate managers and directors</v>
      </c>
      <c r="BP45" s="18">
        <f t="shared" ref="BP45:BT54" si="128">BP8/BP$35*100</f>
        <v>4.3430618593660411</v>
      </c>
      <c r="BQ45" s="18">
        <f t="shared" si="128"/>
        <v>4.7412461893390647</v>
      </c>
      <c r="BR45" s="18">
        <f t="shared" si="128"/>
        <v>5.1323319982507121</v>
      </c>
      <c r="BS45" s="18">
        <f t="shared" si="128"/>
        <v>4.2515210764522475</v>
      </c>
      <c r="BT45" s="18">
        <f t="shared" si="128"/>
        <v>4.2629742538721151</v>
      </c>
      <c r="BV45" s="68">
        <f t="shared" ref="BV45:BV70" si="129">IF(BR8&gt;0,(BV8/BR8)*100,0)</f>
        <v>-23.395891450698802</v>
      </c>
      <c r="BW45" s="69">
        <f t="shared" ref="BW45:BW70" si="130">IF(BR8&gt;0,BW8/BR8*100,0)</f>
        <v>41.342234731702746</v>
      </c>
      <c r="BX45" s="69">
        <f t="shared" ref="BX45:BX70" si="131">IF(BR8&gt;0,(BX8/BR8)*100,0)</f>
        <v>17.946343281003944</v>
      </c>
      <c r="BZ45" t="str">
        <f>BD45</f>
        <v>11 Corporate managers and directors</v>
      </c>
      <c r="CA45" s="18">
        <f t="shared" ref="CA45:CE54" si="132">CA8/CA$35*100</f>
        <v>4.8027701499121642</v>
      </c>
      <c r="CB45" s="18">
        <f t="shared" si="132"/>
        <v>5.5753143162484964</v>
      </c>
      <c r="CC45" s="18">
        <f t="shared" si="132"/>
        <v>6.3752260512436747</v>
      </c>
      <c r="CD45" s="18">
        <f t="shared" si="132"/>
        <v>5.6154695596357715</v>
      </c>
      <c r="CE45" s="18">
        <f t="shared" si="132"/>
        <v>6.508590467036611</v>
      </c>
      <c r="CG45" s="68">
        <f t="shared" ref="CG45:CG70" si="133">IF(CC8&gt;0,(CG8/CC8)*100,0)</f>
        <v>-45.705047091228558</v>
      </c>
      <c r="CH45" s="69">
        <f t="shared" ref="CH45:CH70" si="134">IF(CC8&gt;0,CH8/CC8*100,0)</f>
        <v>31.98147639370158</v>
      </c>
      <c r="CI45" s="69">
        <f t="shared" ref="CI45:CI70" si="135">IF(CC8&gt;0,(CI8/CC8)*100,0)</f>
        <v>-13.723570697526977</v>
      </c>
      <c r="CK45" t="str">
        <f>BO45</f>
        <v>11 Corporate managers and directors</v>
      </c>
      <c r="CL45" s="18">
        <f t="shared" ref="CL45:CP54" si="136">CL8/CL$35*100</f>
        <v>2.5504293256567911</v>
      </c>
      <c r="CM45" s="18">
        <f t="shared" si="136"/>
        <v>3.2958994774400909</v>
      </c>
      <c r="CN45" s="18">
        <f t="shared" si="136"/>
        <v>3.6926697779181437</v>
      </c>
      <c r="CO45" s="18">
        <f t="shared" si="136"/>
        <v>3.7533879747638279</v>
      </c>
      <c r="CP45" s="18">
        <f t="shared" si="136"/>
        <v>5.1050641928298743</v>
      </c>
      <c r="CR45" s="68">
        <f t="shared" ref="CR45:CR70" si="137">IF(CN8&gt;0,(CR8/CN8)*100,0)</f>
        <v>-47.162717892316969</v>
      </c>
      <c r="CS45" s="69">
        <f t="shared" ref="CS45:CS70" si="138">IF(CN8&gt;0,CS8/CN8*100,0)</f>
        <v>22.494684866230049</v>
      </c>
      <c r="CT45" s="69">
        <f t="shared" ref="CT45:CT70" si="139">IF(CN8&gt;0,(CT8/CN8)*100,0)</f>
        <v>-24.668033026086921</v>
      </c>
    </row>
    <row r="46" spans="1:98" x14ac:dyDescent="0.25">
      <c r="A46" t="str">
        <f t="shared" si="103"/>
        <v>12 Other managers and proprietors</v>
      </c>
      <c r="B46" s="18">
        <f t="shared" si="104"/>
        <v>2.0895837247309395</v>
      </c>
      <c r="C46" s="18">
        <f t="shared" si="104"/>
        <v>2.0040470377773838</v>
      </c>
      <c r="D46" s="18">
        <f t="shared" si="104"/>
        <v>1.8425464090941659</v>
      </c>
      <c r="E46" s="18">
        <f t="shared" si="104"/>
        <v>1.9256588579092631</v>
      </c>
      <c r="F46" s="18">
        <f t="shared" si="104"/>
        <v>2.2039587539313552</v>
      </c>
      <c r="H46" s="68">
        <f t="shared" si="105"/>
        <v>127.31214821169554</v>
      </c>
      <c r="I46" s="69">
        <f t="shared" si="106"/>
        <v>96.292185759079516</v>
      </c>
      <c r="J46" s="69">
        <f t="shared" si="107"/>
        <v>223.60433397077509</v>
      </c>
      <c r="L46" t="str">
        <f t="shared" ref="L46:L69" si="140">A46</f>
        <v>12 Other managers and proprietors</v>
      </c>
      <c r="M46" s="18">
        <f t="shared" si="108"/>
        <v>2.764536171793972</v>
      </c>
      <c r="N46" s="18">
        <f t="shared" si="108"/>
        <v>2.6726783285081366</v>
      </c>
      <c r="O46" s="18">
        <f t="shared" si="108"/>
        <v>2.7286494097585767</v>
      </c>
      <c r="P46" s="18">
        <f t="shared" si="108"/>
        <v>2.7616659484984933</v>
      </c>
      <c r="Q46" s="18">
        <f t="shared" si="108"/>
        <v>3.1213068941283821</v>
      </c>
      <c r="S46" s="68">
        <f t="shared" si="109"/>
        <v>113.13466914049619</v>
      </c>
      <c r="T46" s="69">
        <f t="shared" si="110"/>
        <v>88.558501674938668</v>
      </c>
      <c r="U46" s="69">
        <f t="shared" si="111"/>
        <v>201.69317081543488</v>
      </c>
      <c r="W46" t="str">
        <f t="shared" ref="W46:W69" si="141">A46</f>
        <v>12 Other managers and proprietors</v>
      </c>
      <c r="X46" s="18">
        <f t="shared" si="112"/>
        <v>3.0634134517071154</v>
      </c>
      <c r="Y46" s="18">
        <f t="shared" si="112"/>
        <v>3.0297431976238962</v>
      </c>
      <c r="Z46" s="18">
        <f t="shared" si="112"/>
        <v>3.1287500671807833</v>
      </c>
      <c r="AA46" s="18">
        <f t="shared" si="112"/>
        <v>3.1292274776706113</v>
      </c>
      <c r="AB46" s="18">
        <f t="shared" si="112"/>
        <v>3.3197680032018124</v>
      </c>
      <c r="AD46" s="68">
        <f t="shared" si="113"/>
        <v>30.889390346406735</v>
      </c>
      <c r="AE46" s="69">
        <f t="shared" si="114"/>
        <v>75.792274668465836</v>
      </c>
      <c r="AF46" s="69">
        <f t="shared" si="115"/>
        <v>106.68166501487258</v>
      </c>
      <c r="AH46" t="str">
        <f t="shared" ref="AH46:AH69" si="142">L46</f>
        <v>12 Other managers and proprietors</v>
      </c>
      <c r="AI46" s="18">
        <f t="shared" si="116"/>
        <v>2.7167638012409392</v>
      </c>
      <c r="AJ46" s="18">
        <f t="shared" si="116"/>
        <v>2.8773230222501232</v>
      </c>
      <c r="AK46" s="18">
        <f t="shared" si="116"/>
        <v>3.0663872554126943</v>
      </c>
      <c r="AL46" s="18">
        <f t="shared" si="116"/>
        <v>3.0918273263415914</v>
      </c>
      <c r="AM46" s="18">
        <f t="shared" si="116"/>
        <v>3.463042311908616</v>
      </c>
      <c r="AO46" s="68">
        <f t="shared" si="117"/>
        <v>19.165158978646179</v>
      </c>
      <c r="AP46" s="69">
        <f t="shared" si="118"/>
        <v>68.422029386328347</v>
      </c>
      <c r="AQ46" s="69">
        <f t="shared" si="119"/>
        <v>87.587188364974523</v>
      </c>
      <c r="AS46" t="str">
        <f t="shared" ref="AS46:AS69" si="143">W46</f>
        <v>12 Other managers and proprietors</v>
      </c>
      <c r="AT46" s="18">
        <f t="shared" si="120"/>
        <v>3.2926838589704044</v>
      </c>
      <c r="AU46" s="18">
        <f t="shared" si="120"/>
        <v>3.3467094972013145</v>
      </c>
      <c r="AV46" s="18">
        <f t="shared" si="120"/>
        <v>3.4880112216669397</v>
      </c>
      <c r="AW46" s="18">
        <f t="shared" si="120"/>
        <v>3.569264603882198</v>
      </c>
      <c r="AX46" s="18">
        <f t="shared" si="120"/>
        <v>3.6682034409951951</v>
      </c>
      <c r="AZ46" s="68">
        <f t="shared" si="121"/>
        <v>23.870555401894443</v>
      </c>
      <c r="BA46" s="69">
        <f t="shared" si="122"/>
        <v>67.63918314412831</v>
      </c>
      <c r="BB46" s="69">
        <f t="shared" si="123"/>
        <v>91.50973854602276</v>
      </c>
      <c r="BD46" t="str">
        <f t="shared" ref="BD46:BD69" si="144">AH46</f>
        <v>12 Other managers and proprietors</v>
      </c>
      <c r="BE46" s="18">
        <f t="shared" si="124"/>
        <v>2.2185271821190606</v>
      </c>
      <c r="BF46" s="18">
        <f t="shared" si="124"/>
        <v>2.1134902883423874</v>
      </c>
      <c r="BG46" s="18">
        <f t="shared" si="124"/>
        <v>2.1931127974029456</v>
      </c>
      <c r="BH46" s="18">
        <f t="shared" si="124"/>
        <v>2.114280731728198</v>
      </c>
      <c r="BI46" s="18">
        <f t="shared" si="124"/>
        <v>2.2188317973922667</v>
      </c>
      <c r="BK46" s="68">
        <f t="shared" si="125"/>
        <v>6.8455401738417869</v>
      </c>
      <c r="BL46" s="69">
        <f t="shared" si="126"/>
        <v>47.374546484187647</v>
      </c>
      <c r="BM46" s="69">
        <f t="shared" si="127"/>
        <v>54.22008665802943</v>
      </c>
      <c r="BO46" t="str">
        <f t="shared" ref="BO46:BO69" si="145">AS46</f>
        <v>12 Other managers and proprietors</v>
      </c>
      <c r="BP46" s="18">
        <f t="shared" si="128"/>
        <v>2.243890818737527</v>
      </c>
      <c r="BQ46" s="18">
        <f t="shared" si="128"/>
        <v>2.2443977482618434</v>
      </c>
      <c r="BR46" s="18">
        <f t="shared" si="128"/>
        <v>2.5506968259549598</v>
      </c>
      <c r="BS46" s="18">
        <f t="shared" si="128"/>
        <v>2.5398634193042628</v>
      </c>
      <c r="BT46" s="18">
        <f t="shared" si="128"/>
        <v>2.7337943783714005</v>
      </c>
      <c r="BV46" s="68">
        <f t="shared" si="129"/>
        <v>-1.1535447272216597</v>
      </c>
      <c r="BW46" s="69">
        <f t="shared" si="130"/>
        <v>59.339146811253109</v>
      </c>
      <c r="BX46" s="69">
        <f t="shared" si="131"/>
        <v>58.185602084031437</v>
      </c>
      <c r="BZ46" t="str">
        <f t="shared" ref="BZ46:BZ69" si="146">BD46</f>
        <v>12 Other managers and proprietors</v>
      </c>
      <c r="CA46" s="18">
        <f t="shared" si="132"/>
        <v>2.277774451203519</v>
      </c>
      <c r="CB46" s="18">
        <f t="shared" si="132"/>
        <v>2.4069763648667597</v>
      </c>
      <c r="CC46" s="18">
        <f t="shared" si="132"/>
        <v>2.6606904918968888</v>
      </c>
      <c r="CD46" s="18">
        <f t="shared" si="132"/>
        <v>2.737153546116851</v>
      </c>
      <c r="CE46" s="18">
        <f t="shared" si="132"/>
        <v>3.153361923867775</v>
      </c>
      <c r="CG46" s="68">
        <f t="shared" si="133"/>
        <v>-36.969962548049715</v>
      </c>
      <c r="CH46" s="69">
        <f t="shared" si="134"/>
        <v>39.78866523505566</v>
      </c>
      <c r="CI46" s="69">
        <f t="shared" si="135"/>
        <v>2.8187026870059477</v>
      </c>
      <c r="CK46" t="str">
        <f t="shared" ref="CK46:CK69" si="147">BO46</f>
        <v>12 Other managers and proprietors</v>
      </c>
      <c r="CL46" s="18">
        <f t="shared" si="136"/>
        <v>2.0089562313363474</v>
      </c>
      <c r="CM46" s="18">
        <f t="shared" si="136"/>
        <v>2.2552847190977587</v>
      </c>
      <c r="CN46" s="18">
        <f t="shared" si="136"/>
        <v>2.3513401402506768</v>
      </c>
      <c r="CO46" s="18">
        <f t="shared" si="136"/>
        <v>2.6964196516826298</v>
      </c>
      <c r="CP46" s="18">
        <f t="shared" si="136"/>
        <v>2.9232624698570882</v>
      </c>
      <c r="CR46" s="68">
        <f t="shared" si="137"/>
        <v>-52.484851868221227</v>
      </c>
      <c r="CS46" s="69">
        <f t="shared" si="138"/>
        <v>25.199606857018868</v>
      </c>
      <c r="CT46" s="69">
        <f t="shared" si="139"/>
        <v>-27.28524501120236</v>
      </c>
    </row>
    <row r="47" spans="1:98" x14ac:dyDescent="0.25">
      <c r="A47" t="str">
        <f t="shared" si="103"/>
        <v>21 Science, research, engineering and technology professionals</v>
      </c>
      <c r="B47" s="18">
        <f t="shared" si="104"/>
        <v>19.594576682197285</v>
      </c>
      <c r="C47" s="18">
        <f t="shared" si="104"/>
        <v>18.651627425168897</v>
      </c>
      <c r="D47" s="18">
        <f t="shared" si="104"/>
        <v>17.311420601809996</v>
      </c>
      <c r="E47" s="18">
        <f t="shared" si="104"/>
        <v>19.286915590876454</v>
      </c>
      <c r="F47" s="18">
        <f t="shared" si="104"/>
        <v>19.011985526094914</v>
      </c>
      <c r="H47" s="68">
        <f t="shared" si="105"/>
        <v>108.70477518693551</v>
      </c>
      <c r="I47" s="69">
        <f t="shared" si="106"/>
        <v>58.082427802772443</v>
      </c>
      <c r="J47" s="69">
        <f t="shared" si="107"/>
        <v>166.78720298970794</v>
      </c>
      <c r="L47" t="str">
        <f t="shared" si="140"/>
        <v>21 Science, research, engineering and technology professionals</v>
      </c>
      <c r="M47" s="18">
        <f t="shared" si="108"/>
        <v>10.196416926772637</v>
      </c>
      <c r="N47" s="18">
        <f t="shared" si="108"/>
        <v>9.8470398967889903</v>
      </c>
      <c r="O47" s="18">
        <f t="shared" si="108"/>
        <v>9.3158912984929305</v>
      </c>
      <c r="P47" s="18">
        <f t="shared" si="108"/>
        <v>11.095413719038467</v>
      </c>
      <c r="Q47" s="18">
        <f t="shared" si="108"/>
        <v>11.116338962160967</v>
      </c>
      <c r="S47" s="68">
        <f t="shared" si="109"/>
        <v>122.3323892417397</v>
      </c>
      <c r="T47" s="69">
        <f t="shared" si="110"/>
        <v>64.630122099025584</v>
      </c>
      <c r="U47" s="69">
        <f t="shared" si="111"/>
        <v>186.9625113407653</v>
      </c>
      <c r="W47" t="str">
        <f t="shared" si="141"/>
        <v>21 Science, research, engineering and technology professionals</v>
      </c>
      <c r="X47" s="18">
        <f t="shared" si="112"/>
        <v>9.5112222278347271</v>
      </c>
      <c r="Y47" s="18">
        <f t="shared" si="112"/>
        <v>9.231697305554631</v>
      </c>
      <c r="Z47" s="18">
        <f t="shared" si="112"/>
        <v>9.0917806543489821</v>
      </c>
      <c r="AA47" s="18">
        <f t="shared" si="112"/>
        <v>9.8748557593494901</v>
      </c>
      <c r="AB47" s="18">
        <f t="shared" si="112"/>
        <v>9.1756234979857076</v>
      </c>
      <c r="AD47" s="68">
        <f t="shared" si="113"/>
        <v>24.495661584038405</v>
      </c>
      <c r="AE47" s="69">
        <f t="shared" si="114"/>
        <v>46.550830598537871</v>
      </c>
      <c r="AF47" s="69">
        <f t="shared" si="115"/>
        <v>71.046492182576273</v>
      </c>
      <c r="AH47" t="str">
        <f t="shared" si="142"/>
        <v>21 Science, research, engineering and technology professionals</v>
      </c>
      <c r="AI47" s="18">
        <f t="shared" si="116"/>
        <v>3.2439735657808724</v>
      </c>
      <c r="AJ47" s="18">
        <f t="shared" si="116"/>
        <v>3.220701485515959</v>
      </c>
      <c r="AK47" s="18">
        <f t="shared" si="116"/>
        <v>3.2986449628773244</v>
      </c>
      <c r="AL47" s="18">
        <f t="shared" si="116"/>
        <v>3.841291714136442</v>
      </c>
      <c r="AM47" s="18">
        <f t="shared" si="116"/>
        <v>3.833496465394258</v>
      </c>
      <c r="AO47" s="68">
        <f t="shared" si="117"/>
        <v>22.624709865374012</v>
      </c>
      <c r="AP47" s="69">
        <f t="shared" si="118"/>
        <v>44.343836410148398</v>
      </c>
      <c r="AQ47" s="69">
        <f t="shared" si="119"/>
        <v>66.968546275522414</v>
      </c>
      <c r="AS47" t="str">
        <f t="shared" si="143"/>
        <v>21 Science, research, engineering and technology professionals</v>
      </c>
      <c r="AT47" s="18">
        <f t="shared" si="120"/>
        <v>9.5383751381972477</v>
      </c>
      <c r="AU47" s="18">
        <f t="shared" si="120"/>
        <v>9.6054948918589105</v>
      </c>
      <c r="AV47" s="18">
        <f t="shared" si="120"/>
        <v>9.6093767010942432</v>
      </c>
      <c r="AW47" s="18">
        <f t="shared" si="120"/>
        <v>9.9233247804423073</v>
      </c>
      <c r="AX47" s="18">
        <f t="shared" si="120"/>
        <v>8.7096677549892014</v>
      </c>
      <c r="AZ47" s="68">
        <f t="shared" si="121"/>
        <v>6.7576275911460444</v>
      </c>
      <c r="BA47" s="69">
        <f t="shared" si="122"/>
        <v>37.388715417763279</v>
      </c>
      <c r="BB47" s="69">
        <f t="shared" si="123"/>
        <v>44.146343008909319</v>
      </c>
      <c r="BD47" t="str">
        <f t="shared" si="144"/>
        <v>21 Science, research, engineering and technology professionals</v>
      </c>
      <c r="BE47" s="18">
        <f t="shared" si="124"/>
        <v>3.270109336382184</v>
      </c>
      <c r="BF47" s="18">
        <f t="shared" si="124"/>
        <v>3.5156078587503825</v>
      </c>
      <c r="BG47" s="18">
        <f t="shared" si="124"/>
        <v>3.9495763638042267</v>
      </c>
      <c r="BH47" s="18">
        <f t="shared" si="124"/>
        <v>4.4031061434275767</v>
      </c>
      <c r="BI47" s="18">
        <f t="shared" si="124"/>
        <v>4.6246705048510055</v>
      </c>
      <c r="BK47" s="68">
        <f t="shared" si="125"/>
        <v>23.658298907401367</v>
      </c>
      <c r="BL47" s="69">
        <f t="shared" si="126"/>
        <v>35.304413880566727</v>
      </c>
      <c r="BM47" s="69">
        <f t="shared" si="127"/>
        <v>58.962712787968094</v>
      </c>
      <c r="BO47" t="str">
        <f t="shared" si="145"/>
        <v>21 Science, research, engineering and technology professionals</v>
      </c>
      <c r="BP47" s="18">
        <f t="shared" si="128"/>
        <v>2.2286061966103938</v>
      </c>
      <c r="BQ47" s="18">
        <f t="shared" si="128"/>
        <v>2.4378483128065058</v>
      </c>
      <c r="BR47" s="18">
        <f t="shared" si="128"/>
        <v>2.8437064906055238</v>
      </c>
      <c r="BS47" s="18">
        <f t="shared" si="128"/>
        <v>3.1919509763245353</v>
      </c>
      <c r="BT47" s="18">
        <f t="shared" si="128"/>
        <v>3.3430180316857898</v>
      </c>
      <c r="BV47" s="68">
        <f t="shared" si="129"/>
        <v>8.4196610476810605</v>
      </c>
      <c r="BW47" s="69">
        <f t="shared" si="130"/>
        <v>39.343431435145035</v>
      </c>
      <c r="BX47" s="69">
        <f t="shared" si="131"/>
        <v>47.763092482826096</v>
      </c>
      <c r="BZ47" t="str">
        <f t="shared" si="146"/>
        <v>21 Science, research, engineering and technology professionals</v>
      </c>
      <c r="CA47" s="18">
        <f t="shared" si="132"/>
        <v>1.993053886402145</v>
      </c>
      <c r="CB47" s="18">
        <f t="shared" si="132"/>
        <v>2.2889888170010071</v>
      </c>
      <c r="CC47" s="18">
        <f t="shared" si="132"/>
        <v>2.7515527013281988</v>
      </c>
      <c r="CD47" s="18">
        <f t="shared" si="132"/>
        <v>3.2470774200668737</v>
      </c>
      <c r="CE47" s="18">
        <f t="shared" si="132"/>
        <v>3.7049410168476111</v>
      </c>
      <c r="CG47" s="68">
        <f t="shared" si="133"/>
        <v>-28.390347462209842</v>
      </c>
      <c r="CH47" s="69">
        <f t="shared" si="134"/>
        <v>28.76729310043477</v>
      </c>
      <c r="CI47" s="69">
        <f t="shared" si="135"/>
        <v>0.37694563822493132</v>
      </c>
      <c r="CK47" t="str">
        <f t="shared" si="147"/>
        <v>21 Science, research, engineering and technology professionals</v>
      </c>
      <c r="CL47" s="18">
        <f t="shared" si="136"/>
        <v>1.1787560976577898</v>
      </c>
      <c r="CM47" s="18">
        <f t="shared" si="136"/>
        <v>1.6056706049079172</v>
      </c>
      <c r="CN47" s="18">
        <f t="shared" si="136"/>
        <v>1.8952881447748107</v>
      </c>
      <c r="CO47" s="18">
        <f t="shared" si="136"/>
        <v>2.701615078260907</v>
      </c>
      <c r="CP47" s="18">
        <f t="shared" si="136"/>
        <v>3.613182362199121</v>
      </c>
      <c r="CR47" s="68">
        <f t="shared" si="137"/>
        <v>-27.139127098270183</v>
      </c>
      <c r="CS47" s="69">
        <f t="shared" si="138"/>
        <v>26.887682356921772</v>
      </c>
      <c r="CT47" s="69">
        <f t="shared" si="139"/>
        <v>-0.2514447413484116</v>
      </c>
    </row>
    <row r="48" spans="1:98" x14ac:dyDescent="0.25">
      <c r="A48" t="str">
        <f t="shared" si="103"/>
        <v>22 Health professionals</v>
      </c>
      <c r="B48" s="18">
        <f t="shared" si="104"/>
        <v>19.188664289367665</v>
      </c>
      <c r="C48" s="18">
        <f t="shared" si="104"/>
        <v>24.166771148353362</v>
      </c>
      <c r="D48" s="18">
        <f t="shared" si="104"/>
        <v>24.24888624249763</v>
      </c>
      <c r="E48" s="18">
        <f t="shared" si="104"/>
        <v>24.71697026425214</v>
      </c>
      <c r="F48" s="18">
        <f t="shared" si="104"/>
        <v>25.13355583907811</v>
      </c>
      <c r="H48" s="68">
        <f t="shared" si="105"/>
        <v>96.969852145177256</v>
      </c>
      <c r="I48" s="69">
        <f t="shared" si="106"/>
        <v>70.96665992964823</v>
      </c>
      <c r="J48" s="69">
        <f t="shared" si="107"/>
        <v>167.93651207482549</v>
      </c>
      <c r="L48" t="str">
        <f t="shared" si="140"/>
        <v>22 Health professionals</v>
      </c>
      <c r="M48" s="18">
        <f t="shared" si="108"/>
        <v>8.9519258494870435</v>
      </c>
      <c r="N48" s="18">
        <f t="shared" si="108"/>
        <v>11.028733170970911</v>
      </c>
      <c r="O48" s="18">
        <f t="shared" si="108"/>
        <v>10.924260837842368</v>
      </c>
      <c r="P48" s="18">
        <f t="shared" si="108"/>
        <v>10.267724164140347</v>
      </c>
      <c r="Q48" s="18">
        <f t="shared" si="108"/>
        <v>9.9859414514890208</v>
      </c>
      <c r="S48" s="68">
        <f t="shared" si="109"/>
        <v>70.318694951546746</v>
      </c>
      <c r="T48" s="69">
        <f t="shared" si="110"/>
        <v>66.847856620184416</v>
      </c>
      <c r="U48" s="69">
        <f t="shared" si="111"/>
        <v>137.16655157173116</v>
      </c>
      <c r="W48" t="str">
        <f t="shared" si="141"/>
        <v>22 Health professionals</v>
      </c>
      <c r="X48" s="18">
        <f t="shared" si="112"/>
        <v>9.2234924991149914</v>
      </c>
      <c r="Y48" s="18">
        <f t="shared" si="112"/>
        <v>11.32874624993655</v>
      </c>
      <c r="Z48" s="18">
        <f t="shared" si="112"/>
        <v>10.816371562303013</v>
      </c>
      <c r="AA48" s="18">
        <f t="shared" si="112"/>
        <v>9.9565665229941374</v>
      </c>
      <c r="AB48" s="18">
        <f t="shared" si="112"/>
        <v>8.9362813233621559</v>
      </c>
      <c r="AD48" s="68">
        <f t="shared" si="113"/>
        <v>1.9161048018208837</v>
      </c>
      <c r="AE48" s="69">
        <f t="shared" si="114"/>
        <v>58.281299151773069</v>
      </c>
      <c r="AF48" s="69">
        <f t="shared" si="115"/>
        <v>60.197403953593955</v>
      </c>
      <c r="AH48" t="str">
        <f t="shared" si="142"/>
        <v>22 Health professionals</v>
      </c>
      <c r="AI48" s="18">
        <f t="shared" si="116"/>
        <v>14.953944165515656</v>
      </c>
      <c r="AJ48" s="18">
        <f t="shared" si="116"/>
        <v>13.82478340724477</v>
      </c>
      <c r="AK48" s="18">
        <f t="shared" si="116"/>
        <v>12.145816134684612</v>
      </c>
      <c r="AL48" s="18">
        <f t="shared" si="116"/>
        <v>6.6163780521504592</v>
      </c>
      <c r="AM48" s="18">
        <f t="shared" si="116"/>
        <v>2.2387859722767942</v>
      </c>
      <c r="AO48" s="68">
        <f t="shared" si="117"/>
        <v>-80.55068210945025</v>
      </c>
      <c r="AP48" s="69">
        <f t="shared" si="118"/>
        <v>18.074594977220144</v>
      </c>
      <c r="AQ48" s="69">
        <f t="shared" si="119"/>
        <v>-62.476087132230106</v>
      </c>
      <c r="AS48" t="str">
        <f t="shared" si="143"/>
        <v>22 Health professionals</v>
      </c>
      <c r="AT48" s="18">
        <f t="shared" si="120"/>
        <v>1.8831851760362648</v>
      </c>
      <c r="AU48" s="18">
        <f t="shared" si="120"/>
        <v>2.2583341104266226</v>
      </c>
      <c r="AV48" s="18">
        <f t="shared" si="120"/>
        <v>2.3658328668578803</v>
      </c>
      <c r="AW48" s="18">
        <f t="shared" si="120"/>
        <v>2.2769597660880088</v>
      </c>
      <c r="AX48" s="18">
        <f t="shared" si="120"/>
        <v>2.1381338386031814</v>
      </c>
      <c r="AZ48" s="68">
        <f t="shared" si="121"/>
        <v>6.449437376879481</v>
      </c>
      <c r="BA48" s="69">
        <f t="shared" si="122"/>
        <v>52.206595968050095</v>
      </c>
      <c r="BB48" s="69">
        <f t="shared" si="123"/>
        <v>58.656033344929583</v>
      </c>
      <c r="BD48" t="str">
        <f t="shared" si="144"/>
        <v>22 Health professionals</v>
      </c>
      <c r="BE48" s="18">
        <f t="shared" si="124"/>
        <v>2.1445008609105045</v>
      </c>
      <c r="BF48" s="18">
        <f t="shared" si="124"/>
        <v>2.7888282509559699</v>
      </c>
      <c r="BG48" s="18">
        <f t="shared" si="124"/>
        <v>2.6809095081070828</v>
      </c>
      <c r="BH48" s="18">
        <f t="shared" si="124"/>
        <v>2.6488912242409901</v>
      </c>
      <c r="BI48" s="18">
        <f t="shared" si="124"/>
        <v>2.4710300071396496</v>
      </c>
      <c r="BK48" s="68">
        <f t="shared" si="125"/>
        <v>-2.6605581759952837</v>
      </c>
      <c r="BL48" s="69">
        <f t="shared" si="126"/>
        <v>56.860564841552943</v>
      </c>
      <c r="BM48" s="69">
        <f t="shared" si="127"/>
        <v>54.200006665557652</v>
      </c>
      <c r="BO48" t="str">
        <f t="shared" si="145"/>
        <v>22 Health professionals</v>
      </c>
      <c r="BP48" s="18">
        <f t="shared" si="128"/>
        <v>1.697151653275061</v>
      </c>
      <c r="BQ48" s="18">
        <f t="shared" si="128"/>
        <v>2.1085338814539556</v>
      </c>
      <c r="BR48" s="18">
        <f t="shared" si="128"/>
        <v>2.0334857353033491</v>
      </c>
      <c r="BS48" s="18">
        <f t="shared" si="128"/>
        <v>1.9467287811702527</v>
      </c>
      <c r="BT48" s="18">
        <f t="shared" si="128"/>
        <v>1.7974403784882278</v>
      </c>
      <c r="BV48" s="68">
        <f t="shared" si="129"/>
        <v>-18.479382861004311</v>
      </c>
      <c r="BW48" s="69">
        <f t="shared" si="130"/>
        <v>49.926680943254844</v>
      </c>
      <c r="BX48" s="69">
        <f t="shared" si="131"/>
        <v>31.447298082250537</v>
      </c>
      <c r="BZ48" t="str">
        <f t="shared" si="146"/>
        <v>22 Health professionals</v>
      </c>
      <c r="CA48" s="18">
        <f t="shared" si="132"/>
        <v>1.3502201326541685</v>
      </c>
      <c r="CB48" s="18">
        <f t="shared" si="132"/>
        <v>1.8739242038141726</v>
      </c>
      <c r="CC48" s="18">
        <f t="shared" si="132"/>
        <v>1.5677670630418479</v>
      </c>
      <c r="CD48" s="18">
        <f t="shared" si="132"/>
        <v>1.4729768210777965</v>
      </c>
      <c r="CE48" s="18">
        <f t="shared" si="132"/>
        <v>1.1565969790275334</v>
      </c>
      <c r="CG48" s="68">
        <f t="shared" si="133"/>
        <v>-60.765454959267259</v>
      </c>
      <c r="CH48" s="69">
        <f t="shared" si="134"/>
        <v>29.603403314897836</v>
      </c>
      <c r="CI48" s="69">
        <f t="shared" si="135"/>
        <v>-31.162051644369431</v>
      </c>
      <c r="CK48" t="str">
        <f t="shared" si="147"/>
        <v>22 Health professionals</v>
      </c>
      <c r="CL48" s="18">
        <f t="shared" si="136"/>
        <v>0.51683359842602816</v>
      </c>
      <c r="CM48" s="18">
        <f t="shared" si="136"/>
        <v>0.75476244582578167</v>
      </c>
      <c r="CN48" s="18">
        <f t="shared" si="136"/>
        <v>0.97714415214552408</v>
      </c>
      <c r="CO48" s="18">
        <f t="shared" si="136"/>
        <v>0.99778677537461558</v>
      </c>
      <c r="CP48" s="18">
        <f t="shared" si="136"/>
        <v>1.3848942246445648</v>
      </c>
      <c r="CR48" s="68">
        <f t="shared" si="137"/>
        <v>-45.832636032305032</v>
      </c>
      <c r="CS48" s="69">
        <f t="shared" si="138"/>
        <v>28.221445716182771</v>
      </c>
      <c r="CT48" s="69">
        <f t="shared" si="139"/>
        <v>-17.611190316122261</v>
      </c>
    </row>
    <row r="49" spans="1:98" x14ac:dyDescent="0.25">
      <c r="A49" t="str">
        <f t="shared" si="103"/>
        <v>23 Teaching and other educational professionals</v>
      </c>
      <c r="B49" s="18">
        <f t="shared" si="104"/>
        <v>28.49881819620861</v>
      </c>
      <c r="C49" s="18">
        <f t="shared" si="104"/>
        <v>26.021301462406697</v>
      </c>
      <c r="D49" s="18">
        <f t="shared" si="104"/>
        <v>27.697892344495166</v>
      </c>
      <c r="E49" s="18">
        <f t="shared" si="104"/>
        <v>24.644033323373534</v>
      </c>
      <c r="F49" s="18">
        <f t="shared" si="104"/>
        <v>21.097611238343006</v>
      </c>
      <c r="H49" s="68">
        <f t="shared" si="105"/>
        <v>44.751869546617137</v>
      </c>
      <c r="I49" s="69">
        <f t="shared" si="106"/>
        <v>60.440823799029232</v>
      </c>
      <c r="J49" s="69">
        <f t="shared" si="107"/>
        <v>105.19269334564638</v>
      </c>
      <c r="L49" t="str">
        <f t="shared" si="140"/>
        <v>23 Teaching and other educational professionals</v>
      </c>
      <c r="M49" s="18">
        <f t="shared" si="108"/>
        <v>24.380973989436271</v>
      </c>
      <c r="N49" s="18">
        <f t="shared" si="108"/>
        <v>22.923166972657366</v>
      </c>
      <c r="O49" s="18">
        <f t="shared" si="108"/>
        <v>23.986987219358966</v>
      </c>
      <c r="P49" s="18">
        <f t="shared" si="108"/>
        <v>21.444923529210271</v>
      </c>
      <c r="Q49" s="18">
        <f t="shared" si="108"/>
        <v>18.265513243936525</v>
      </c>
      <c r="S49" s="68">
        <f t="shared" si="109"/>
        <v>41.880118575725177</v>
      </c>
      <c r="T49" s="69">
        <f t="shared" si="110"/>
        <v>61.512383982049926</v>
      </c>
      <c r="U49" s="69">
        <f t="shared" si="111"/>
        <v>103.3925025577751</v>
      </c>
      <c r="W49" t="str">
        <f t="shared" si="141"/>
        <v>23 Teaching and other educational professionals</v>
      </c>
      <c r="X49" s="18">
        <f t="shared" si="112"/>
        <v>7.5793005325595031</v>
      </c>
      <c r="Y49" s="18">
        <f t="shared" si="112"/>
        <v>6.1644153729096258</v>
      </c>
      <c r="Z49" s="18">
        <f t="shared" si="112"/>
        <v>6.2364781933001305</v>
      </c>
      <c r="AA49" s="18">
        <f t="shared" si="112"/>
        <v>4.4659729893823439</v>
      </c>
      <c r="AB49" s="18">
        <f t="shared" si="112"/>
        <v>2.7364409973312878</v>
      </c>
      <c r="AD49" s="68">
        <f t="shared" si="113"/>
        <v>-45.872961935003502</v>
      </c>
      <c r="AE49" s="69">
        <f t="shared" si="114"/>
        <v>38.863119817112349</v>
      </c>
      <c r="AF49" s="69">
        <f t="shared" si="115"/>
        <v>-7.0098421178911545</v>
      </c>
      <c r="AH49" t="str">
        <f t="shared" si="142"/>
        <v>23 Teaching and other educational professionals</v>
      </c>
      <c r="AI49" s="18">
        <f t="shared" si="116"/>
        <v>3.2554675265013691</v>
      </c>
      <c r="AJ49" s="18">
        <f t="shared" si="116"/>
        <v>1.7315194500284248</v>
      </c>
      <c r="AK49" s="18">
        <f t="shared" si="116"/>
        <v>1.5265435661022486</v>
      </c>
      <c r="AL49" s="18">
        <f t="shared" si="116"/>
        <v>0.81472133701493576</v>
      </c>
      <c r="AM49" s="18">
        <f t="shared" si="116"/>
        <v>0.74230486271909502</v>
      </c>
      <c r="AO49" s="68">
        <f t="shared" si="117"/>
        <v>-48.691230137391678</v>
      </c>
      <c r="AP49" s="69">
        <f t="shared" si="118"/>
        <v>16.551670032254055</v>
      </c>
      <c r="AQ49" s="69">
        <f t="shared" si="119"/>
        <v>-32.139560105137626</v>
      </c>
      <c r="AS49" t="str">
        <f t="shared" si="143"/>
        <v>23 Teaching and other educational professionals</v>
      </c>
      <c r="AT49" s="18">
        <f t="shared" si="120"/>
        <v>0.80248968008301058</v>
      </c>
      <c r="AU49" s="18">
        <f t="shared" si="120"/>
        <v>0.68031896127974745</v>
      </c>
      <c r="AV49" s="18">
        <f t="shared" si="120"/>
        <v>0.7185403643467233</v>
      </c>
      <c r="AW49" s="18">
        <f t="shared" si="120"/>
        <v>0.5165322517620482</v>
      </c>
      <c r="AX49" s="18">
        <f t="shared" si="120"/>
        <v>0.36396916152546899</v>
      </c>
      <c r="AZ49" s="68">
        <f t="shared" si="121"/>
        <v>-40.336879683926405</v>
      </c>
      <c r="BA49" s="69">
        <f t="shared" si="122"/>
        <v>35.143699003153692</v>
      </c>
      <c r="BB49" s="69">
        <f t="shared" si="123"/>
        <v>-5.1931806807727163</v>
      </c>
      <c r="BD49" t="str">
        <f t="shared" si="144"/>
        <v>23 Teaching and other educational professionals</v>
      </c>
      <c r="BE49" s="18">
        <f t="shared" si="124"/>
        <v>0.79294318368067462</v>
      </c>
      <c r="BF49" s="18">
        <f t="shared" si="124"/>
        <v>0.75031124056332121</v>
      </c>
      <c r="BG49" s="18">
        <f t="shared" si="124"/>
        <v>0.85588907592712893</v>
      </c>
      <c r="BH49" s="18">
        <f t="shared" si="124"/>
        <v>0.73805525530865801</v>
      </c>
      <c r="BI49" s="18">
        <f t="shared" si="124"/>
        <v>0.7356160597672986</v>
      </c>
      <c r="BK49" s="68">
        <f t="shared" si="125"/>
        <v>-9.2332665996828371</v>
      </c>
      <c r="BL49" s="69">
        <f t="shared" si="126"/>
        <v>40.116270607684321</v>
      </c>
      <c r="BM49" s="69">
        <f t="shared" si="127"/>
        <v>30.883004008001478</v>
      </c>
      <c r="BO49" t="str">
        <f t="shared" si="145"/>
        <v>23 Teaching and other educational professionals</v>
      </c>
      <c r="BP49" s="18">
        <f t="shared" si="128"/>
        <v>0.69357365464298082</v>
      </c>
      <c r="BQ49" s="18">
        <f t="shared" si="128"/>
        <v>0.67360919408857334</v>
      </c>
      <c r="BR49" s="18">
        <f t="shared" si="128"/>
        <v>0.70440806577493609</v>
      </c>
      <c r="BS49" s="18">
        <f t="shared" si="128"/>
        <v>0.59732532327184973</v>
      </c>
      <c r="BT49" s="18">
        <f t="shared" si="128"/>
        <v>0.51677165656600521</v>
      </c>
      <c r="BV49" s="68">
        <f t="shared" si="129"/>
        <v>-32.340550328462328</v>
      </c>
      <c r="BW49" s="69">
        <f t="shared" si="130"/>
        <v>43.463350337196225</v>
      </c>
      <c r="BX49" s="69">
        <f t="shared" si="131"/>
        <v>11.122800008733899</v>
      </c>
      <c r="BZ49" t="str">
        <f t="shared" si="146"/>
        <v>23 Teaching and other educational professionals</v>
      </c>
      <c r="CA49" s="18">
        <f t="shared" si="132"/>
        <v>0.64881715583053046</v>
      </c>
      <c r="CB49" s="18">
        <f t="shared" si="132"/>
        <v>0.70716811559084869</v>
      </c>
      <c r="CC49" s="18">
        <f t="shared" si="132"/>
        <v>0.78288837827472424</v>
      </c>
      <c r="CD49" s="18">
        <f t="shared" si="132"/>
        <v>0.71418175525072092</v>
      </c>
      <c r="CE49" s="18">
        <f t="shared" si="132"/>
        <v>0.65376134756031679</v>
      </c>
      <c r="CG49" s="68">
        <f t="shared" si="133"/>
        <v>-55.589312379232815</v>
      </c>
      <c r="CH49" s="69">
        <f t="shared" si="134"/>
        <v>32.577957933380702</v>
      </c>
      <c r="CI49" s="69">
        <f t="shared" si="135"/>
        <v>-23.01135444585211</v>
      </c>
      <c r="CK49" t="str">
        <f t="shared" si="147"/>
        <v>23 Teaching and other educational professionals</v>
      </c>
      <c r="CL49" s="18">
        <f t="shared" si="136"/>
        <v>0.35225247256387487</v>
      </c>
      <c r="CM49" s="18">
        <f t="shared" si="136"/>
        <v>0.47149684793275426</v>
      </c>
      <c r="CN49" s="18">
        <f t="shared" si="136"/>
        <v>0.66519736270936447</v>
      </c>
      <c r="CO49" s="18">
        <f t="shared" si="136"/>
        <v>0.72800575086427277</v>
      </c>
      <c r="CP49" s="18">
        <f t="shared" si="136"/>
        <v>0.96035713329090888</v>
      </c>
      <c r="CR49" s="68">
        <f t="shared" si="137"/>
        <v>-44.822504717762435</v>
      </c>
      <c r="CS49" s="69">
        <f t="shared" si="138"/>
        <v>30.001890531825907</v>
      </c>
      <c r="CT49" s="69">
        <f t="shared" si="139"/>
        <v>-14.820614185936526</v>
      </c>
    </row>
    <row r="50" spans="1:98" x14ac:dyDescent="0.25">
      <c r="A50" t="str">
        <f t="shared" si="103"/>
        <v>24 Business, media and public service professionals</v>
      </c>
      <c r="B50" s="18">
        <f t="shared" si="104"/>
        <v>6.1249416649075092</v>
      </c>
      <c r="C50" s="18">
        <f t="shared" si="104"/>
        <v>6.1981368635236507</v>
      </c>
      <c r="D50" s="18">
        <f t="shared" si="104"/>
        <v>6.4864084173788568</v>
      </c>
      <c r="E50" s="18">
        <f t="shared" si="104"/>
        <v>6.5723882927438915</v>
      </c>
      <c r="F50" s="18">
        <f t="shared" si="104"/>
        <v>6.9051304159578999</v>
      </c>
      <c r="H50" s="68">
        <f t="shared" si="105"/>
        <v>102.30434662605265</v>
      </c>
      <c r="I50" s="69">
        <f t="shared" si="106"/>
        <v>71.47637878690422</v>
      </c>
      <c r="J50" s="69">
        <f t="shared" si="107"/>
        <v>173.78072541295688</v>
      </c>
      <c r="L50" t="str">
        <f t="shared" si="140"/>
        <v>24 Business, media and public service professionals</v>
      </c>
      <c r="M50" s="18">
        <f t="shared" si="108"/>
        <v>11.333649636196167</v>
      </c>
      <c r="N50" s="18">
        <f t="shared" si="108"/>
        <v>11.811625457632351</v>
      </c>
      <c r="O50" s="18">
        <f t="shared" si="108"/>
        <v>11.881168753935135</v>
      </c>
      <c r="P50" s="18">
        <f t="shared" si="108"/>
        <v>11.511373671336674</v>
      </c>
      <c r="Q50" s="18">
        <f t="shared" si="108"/>
        <v>10.913330227506401</v>
      </c>
      <c r="S50" s="68">
        <f t="shared" si="109"/>
        <v>71.144717485963071</v>
      </c>
      <c r="T50" s="69">
        <f t="shared" si="110"/>
        <v>64.537433943815415</v>
      </c>
      <c r="U50" s="69">
        <f t="shared" si="111"/>
        <v>135.68215142977849</v>
      </c>
      <c r="W50" t="str">
        <f t="shared" si="141"/>
        <v>24 Business, media and public service professionals</v>
      </c>
      <c r="X50" s="18">
        <f t="shared" si="112"/>
        <v>10.064944484193509</v>
      </c>
      <c r="Y50" s="18">
        <f t="shared" si="112"/>
        <v>10.219571531487299</v>
      </c>
      <c r="Z50" s="18">
        <f t="shared" si="112"/>
        <v>10.829839812685123</v>
      </c>
      <c r="AA50" s="18">
        <f t="shared" si="112"/>
        <v>10.179000203347396</v>
      </c>
      <c r="AB50" s="18">
        <f t="shared" si="112"/>
        <v>9.5554230401937552</v>
      </c>
      <c r="AD50" s="68">
        <f t="shared" si="113"/>
        <v>8.841738028533431</v>
      </c>
      <c r="AE50" s="69">
        <f t="shared" si="114"/>
        <v>54.147611059674858</v>
      </c>
      <c r="AF50" s="69">
        <f t="shared" si="115"/>
        <v>62.989349088208293</v>
      </c>
      <c r="AH50" t="str">
        <f t="shared" si="142"/>
        <v>24 Business, media and public service professionals</v>
      </c>
      <c r="AI50" s="18">
        <f t="shared" si="116"/>
        <v>3.7195658080015979</v>
      </c>
      <c r="AJ50" s="18">
        <f t="shared" si="116"/>
        <v>3.6782150967614875</v>
      </c>
      <c r="AK50" s="18">
        <f t="shared" si="116"/>
        <v>3.9452460227224004</v>
      </c>
      <c r="AL50" s="18">
        <f t="shared" si="116"/>
        <v>3.6046782862862994</v>
      </c>
      <c r="AM50" s="18">
        <f t="shared" si="116"/>
        <v>3.3954320041293999</v>
      </c>
      <c r="AO50" s="68">
        <f t="shared" si="117"/>
        <v>-9.1887931675622152</v>
      </c>
      <c r="AP50" s="69">
        <f t="shared" si="118"/>
        <v>34.655637844553155</v>
      </c>
      <c r="AQ50" s="69">
        <f t="shared" si="119"/>
        <v>25.466844676990942</v>
      </c>
      <c r="AS50" t="str">
        <f t="shared" si="143"/>
        <v>24 Business, media and public service professionals</v>
      </c>
      <c r="AT50" s="18">
        <f t="shared" si="120"/>
        <v>5.4862217011015391</v>
      </c>
      <c r="AU50" s="18">
        <f t="shared" si="120"/>
        <v>5.5819790225570713</v>
      </c>
      <c r="AV50" s="18">
        <f t="shared" si="120"/>
        <v>6.0396088221509858</v>
      </c>
      <c r="AW50" s="18">
        <f t="shared" si="120"/>
        <v>5.7873988307548263</v>
      </c>
      <c r="AX50" s="18">
        <f t="shared" si="120"/>
        <v>5.4925215973897732</v>
      </c>
      <c r="AZ50" s="68">
        <f t="shared" si="121"/>
        <v>7.1162861832211055</v>
      </c>
      <c r="BA50" s="69">
        <f t="shared" si="122"/>
        <v>49.395236140477884</v>
      </c>
      <c r="BB50" s="69">
        <f t="shared" si="123"/>
        <v>56.511522323698991</v>
      </c>
      <c r="BD50" t="str">
        <f t="shared" si="144"/>
        <v>24 Business, media and public service professionals</v>
      </c>
      <c r="BE50" s="18">
        <f t="shared" si="124"/>
        <v>3.0952134195883851</v>
      </c>
      <c r="BF50" s="18">
        <f t="shared" si="124"/>
        <v>3.4824359782100118</v>
      </c>
      <c r="BG50" s="18">
        <f t="shared" si="124"/>
        <v>4.0435292582530318</v>
      </c>
      <c r="BH50" s="18">
        <f t="shared" si="124"/>
        <v>4.0893119534124187</v>
      </c>
      <c r="BI50" s="18">
        <f t="shared" si="124"/>
        <v>4.4273934766637231</v>
      </c>
      <c r="BK50" s="68">
        <f t="shared" si="125"/>
        <v>15.632660498176859</v>
      </c>
      <c r="BL50" s="69">
        <f t="shared" si="126"/>
        <v>45.887969589947005</v>
      </c>
      <c r="BM50" s="69">
        <f t="shared" si="127"/>
        <v>61.520630088123852</v>
      </c>
      <c r="BO50" t="str">
        <f t="shared" si="145"/>
        <v>24 Business, media and public service professionals</v>
      </c>
      <c r="BP50" s="18">
        <f t="shared" si="128"/>
        <v>2.2309337640823141</v>
      </c>
      <c r="BQ50" s="18">
        <f t="shared" si="128"/>
        <v>2.359435874355726</v>
      </c>
      <c r="BR50" s="18">
        <f t="shared" si="128"/>
        <v>2.6848835440560519</v>
      </c>
      <c r="BS50" s="18">
        <f t="shared" si="128"/>
        <v>2.5077762881592003</v>
      </c>
      <c r="BT50" s="18">
        <f t="shared" si="128"/>
        <v>2.4619159585215868</v>
      </c>
      <c r="BV50" s="68">
        <f t="shared" si="129"/>
        <v>-15.432816679559528</v>
      </c>
      <c r="BW50" s="69">
        <f t="shared" si="130"/>
        <v>40.945152716332892</v>
      </c>
      <c r="BX50" s="69">
        <f t="shared" si="131"/>
        <v>25.512336036773362</v>
      </c>
      <c r="BZ50" t="str">
        <f t="shared" si="146"/>
        <v>24 Business, media and public service professionals</v>
      </c>
      <c r="CA50" s="18">
        <f t="shared" si="132"/>
        <v>2.0768112513823369</v>
      </c>
      <c r="CB50" s="18">
        <f t="shared" si="132"/>
        <v>2.4244997672151745</v>
      </c>
      <c r="CC50" s="18">
        <f t="shared" si="132"/>
        <v>2.8152126093976757</v>
      </c>
      <c r="CD50" s="18">
        <f t="shared" si="132"/>
        <v>2.7733616285936127</v>
      </c>
      <c r="CE50" s="18">
        <f t="shared" si="132"/>
        <v>2.8311931588247408</v>
      </c>
      <c r="CG50" s="68">
        <f t="shared" si="133"/>
        <v>-46.51568909607888</v>
      </c>
      <c r="CH50" s="69">
        <f t="shared" si="134"/>
        <v>29.997278579907</v>
      </c>
      <c r="CI50" s="69">
        <f t="shared" si="135"/>
        <v>-16.518410516171876</v>
      </c>
      <c r="CK50" t="str">
        <f t="shared" si="147"/>
        <v>24 Business, media and public service professionals</v>
      </c>
      <c r="CL50" s="18">
        <f t="shared" si="136"/>
        <v>1.2651986533972746</v>
      </c>
      <c r="CM50" s="18">
        <f t="shared" si="136"/>
        <v>1.6407264341053989</v>
      </c>
      <c r="CN50" s="18">
        <f t="shared" si="136"/>
        <v>2.0319781419729415</v>
      </c>
      <c r="CO50" s="18">
        <f t="shared" si="136"/>
        <v>2.326467931212294</v>
      </c>
      <c r="CP50" s="18">
        <f t="shared" si="136"/>
        <v>2.8916056444446876</v>
      </c>
      <c r="CR50" s="68">
        <f t="shared" si="137"/>
        <v>-45.612416087022289</v>
      </c>
      <c r="CS50" s="69">
        <f t="shared" si="138"/>
        <v>25.335438052513187</v>
      </c>
      <c r="CT50" s="69">
        <f t="shared" si="139"/>
        <v>-20.276978034509106</v>
      </c>
    </row>
    <row r="51" spans="1:98" x14ac:dyDescent="0.25">
      <c r="A51" t="str">
        <f t="shared" si="103"/>
        <v>31 Science, engineering and technology associate professionals</v>
      </c>
      <c r="B51" s="18">
        <f t="shared" si="104"/>
        <v>2.0607751345951351</v>
      </c>
      <c r="C51" s="18">
        <f t="shared" si="104"/>
        <v>1.9212461348142842</v>
      </c>
      <c r="D51" s="18">
        <f t="shared" si="104"/>
        <v>1.8783712472564293</v>
      </c>
      <c r="E51" s="18">
        <f t="shared" si="104"/>
        <v>1.8216262209453222</v>
      </c>
      <c r="F51" s="18">
        <f t="shared" si="104"/>
        <v>2.0584033868412948</v>
      </c>
      <c r="H51" s="68">
        <f t="shared" si="105"/>
        <v>108.2507984139143</v>
      </c>
      <c r="I51" s="69">
        <f t="shared" si="106"/>
        <v>66.043569869070538</v>
      </c>
      <c r="J51" s="69">
        <f t="shared" si="107"/>
        <v>174.29436828298483</v>
      </c>
      <c r="L51" t="str">
        <f t="shared" si="140"/>
        <v>31 Science, engineering and technology associate professionals</v>
      </c>
      <c r="M51" s="18">
        <f t="shared" si="108"/>
        <v>1.9707634935618008</v>
      </c>
      <c r="N51" s="18">
        <f t="shared" si="108"/>
        <v>1.9548093497864083</v>
      </c>
      <c r="O51" s="18">
        <f t="shared" si="108"/>
        <v>1.8616089800404438</v>
      </c>
      <c r="P51" s="18">
        <f t="shared" si="108"/>
        <v>1.6586808623324745</v>
      </c>
      <c r="Q51" s="18">
        <f t="shared" si="108"/>
        <v>1.6007960444862319</v>
      </c>
      <c r="S51" s="68">
        <f t="shared" si="109"/>
        <v>60.218589391551347</v>
      </c>
      <c r="T51" s="69">
        <f t="shared" si="110"/>
        <v>52.087540227373687</v>
      </c>
      <c r="U51" s="69">
        <f t="shared" si="111"/>
        <v>112.30612961892503</v>
      </c>
      <c r="W51" t="str">
        <f t="shared" si="141"/>
        <v>31 Science, engineering and technology associate professionals</v>
      </c>
      <c r="X51" s="18">
        <f t="shared" si="112"/>
        <v>2.167999520662907</v>
      </c>
      <c r="Y51" s="18">
        <f t="shared" si="112"/>
        <v>2.1546493869282366</v>
      </c>
      <c r="Z51" s="18">
        <f t="shared" si="112"/>
        <v>2.1377511008728765</v>
      </c>
      <c r="AA51" s="18">
        <f t="shared" si="112"/>
        <v>1.9003056756136956</v>
      </c>
      <c r="AB51" s="18">
        <f t="shared" si="112"/>
        <v>1.8161129672114282</v>
      </c>
      <c r="AD51" s="68">
        <f t="shared" si="113"/>
        <v>4.7980743480951729</v>
      </c>
      <c r="AE51" s="69">
        <f t="shared" si="114"/>
        <v>43.679404130168706</v>
      </c>
      <c r="AF51" s="69">
        <f t="shared" si="115"/>
        <v>48.477478478263883</v>
      </c>
      <c r="AH51" t="str">
        <f t="shared" si="142"/>
        <v>31 Science, engineering and technology associate professionals</v>
      </c>
      <c r="AI51" s="18">
        <f t="shared" si="116"/>
        <v>1.1833822935587583</v>
      </c>
      <c r="AJ51" s="18">
        <f t="shared" si="116"/>
        <v>1.3512283426339524</v>
      </c>
      <c r="AK51" s="18">
        <f t="shared" si="116"/>
        <v>1.4225989759447277</v>
      </c>
      <c r="AL51" s="18">
        <f t="shared" si="116"/>
        <v>1.4647382987719828</v>
      </c>
      <c r="AM51" s="18">
        <f t="shared" si="116"/>
        <v>1.7274603896800012</v>
      </c>
      <c r="AO51" s="68">
        <f t="shared" si="117"/>
        <v>28.128017438618496</v>
      </c>
      <c r="AP51" s="69">
        <f t="shared" si="118"/>
        <v>50.360569413833886</v>
      </c>
      <c r="AQ51" s="69">
        <f t="shared" si="119"/>
        <v>78.488586852452386</v>
      </c>
      <c r="AS51" t="str">
        <f t="shared" si="143"/>
        <v>31 Science, engineering and technology associate professionals</v>
      </c>
      <c r="AT51" s="18">
        <f t="shared" si="120"/>
        <v>3.4188443980063861</v>
      </c>
      <c r="AU51" s="18">
        <f t="shared" si="120"/>
        <v>3.4481472592886613</v>
      </c>
      <c r="AV51" s="18">
        <f t="shared" si="120"/>
        <v>3.4259442402758191</v>
      </c>
      <c r="AW51" s="18">
        <f t="shared" si="120"/>
        <v>2.7783849645854617</v>
      </c>
      <c r="AX51" s="18">
        <f t="shared" si="120"/>
        <v>2.3907620483039218</v>
      </c>
      <c r="AZ51" s="68">
        <f t="shared" si="121"/>
        <v>-17.80439294783422</v>
      </c>
      <c r="BA51" s="69">
        <f t="shared" si="122"/>
        <v>31.795631152979098</v>
      </c>
      <c r="BB51" s="69">
        <f t="shared" si="123"/>
        <v>13.991238205144876</v>
      </c>
      <c r="BD51" t="str">
        <f t="shared" si="144"/>
        <v>31 Science, engineering and technology associate professionals</v>
      </c>
      <c r="BE51" s="18">
        <f t="shared" si="124"/>
        <v>1.5190664709312571</v>
      </c>
      <c r="BF51" s="18">
        <f t="shared" si="124"/>
        <v>1.4134781892518034</v>
      </c>
      <c r="BG51" s="18">
        <f t="shared" si="124"/>
        <v>1.6050467504299086</v>
      </c>
      <c r="BH51" s="18">
        <f t="shared" si="124"/>
        <v>1.3119876893872622</v>
      </c>
      <c r="BI51" s="18">
        <f t="shared" si="124"/>
        <v>1.1311765765004762</v>
      </c>
      <c r="BK51" s="68">
        <f t="shared" si="125"/>
        <v>-25.572110526567897</v>
      </c>
      <c r="BL51" s="69">
        <f t="shared" si="126"/>
        <v>28.280312854746388</v>
      </c>
      <c r="BM51" s="69">
        <f t="shared" si="127"/>
        <v>2.7082023281784893</v>
      </c>
      <c r="BO51" t="str">
        <f t="shared" si="145"/>
        <v>31 Science, engineering and technology associate professionals</v>
      </c>
      <c r="BP51" s="18">
        <f t="shared" si="128"/>
        <v>1.0424877562376316</v>
      </c>
      <c r="BQ51" s="18">
        <f t="shared" si="128"/>
        <v>1.1622382982916502</v>
      </c>
      <c r="BR51" s="18">
        <f t="shared" si="128"/>
        <v>1.3755345746485177</v>
      </c>
      <c r="BS51" s="18">
        <f t="shared" si="128"/>
        <v>1.2387088524421335</v>
      </c>
      <c r="BT51" s="18">
        <f t="shared" si="128"/>
        <v>1.3622023994572523</v>
      </c>
      <c r="BV51" s="68">
        <f t="shared" si="129"/>
        <v>-8.6677356001884203</v>
      </c>
      <c r="BW51" s="69">
        <f t="shared" si="130"/>
        <v>36.117298975782312</v>
      </c>
      <c r="BX51" s="69">
        <f t="shared" si="131"/>
        <v>27.449563375593893</v>
      </c>
      <c r="BZ51" t="str">
        <f t="shared" si="146"/>
        <v>31 Science, engineering and technology associate professionals</v>
      </c>
      <c r="CA51" s="18">
        <f t="shared" si="132"/>
        <v>1.1787367895628644</v>
      </c>
      <c r="CB51" s="18">
        <f t="shared" si="132"/>
        <v>1.3797537578257972</v>
      </c>
      <c r="CC51" s="18">
        <f t="shared" si="132"/>
        <v>1.7611500435261631</v>
      </c>
      <c r="CD51" s="18">
        <f t="shared" si="132"/>
        <v>1.5985361128848463</v>
      </c>
      <c r="CE51" s="18">
        <f t="shared" si="132"/>
        <v>1.9955421532873636</v>
      </c>
      <c r="CG51" s="68">
        <f t="shared" si="133"/>
        <v>-39.739510963877741</v>
      </c>
      <c r="CH51" s="69">
        <f t="shared" si="134"/>
        <v>26.750075009793356</v>
      </c>
      <c r="CI51" s="69">
        <f t="shared" si="135"/>
        <v>-12.98943595408438</v>
      </c>
      <c r="CK51" t="str">
        <f t="shared" si="147"/>
        <v>31 Science, engineering and technology associate professionals</v>
      </c>
      <c r="CL51" s="18">
        <f t="shared" si="136"/>
        <v>0.55400641084282465</v>
      </c>
      <c r="CM51" s="18">
        <f t="shared" si="136"/>
        <v>0.7599700653479301</v>
      </c>
      <c r="CN51" s="18">
        <f t="shared" si="136"/>
        <v>1.0202624358159269</v>
      </c>
      <c r="CO51" s="18">
        <f t="shared" si="136"/>
        <v>1.2810535253962883</v>
      </c>
      <c r="CP51" s="18">
        <f t="shared" si="136"/>
        <v>2.3549689605192063</v>
      </c>
      <c r="CR51" s="68">
        <f t="shared" si="137"/>
        <v>-11.782849657881624</v>
      </c>
      <c r="CS51" s="69">
        <f t="shared" si="138"/>
        <v>32.667132944578967</v>
      </c>
      <c r="CT51" s="69">
        <f t="shared" si="139"/>
        <v>20.884283286697347</v>
      </c>
    </row>
    <row r="52" spans="1:98" x14ac:dyDescent="0.25">
      <c r="A52" t="str">
        <f t="shared" si="103"/>
        <v>32 Health and social care associate professionals</v>
      </c>
      <c r="B52" s="18">
        <f t="shared" si="104"/>
        <v>0.53059902283004223</v>
      </c>
      <c r="C52" s="18">
        <f t="shared" si="104"/>
        <v>0.59286223467388066</v>
      </c>
      <c r="D52" s="18">
        <f t="shared" si="104"/>
        <v>0.5461868249777595</v>
      </c>
      <c r="E52" s="18">
        <f t="shared" si="104"/>
        <v>0.91381290589520447</v>
      </c>
      <c r="F52" s="18">
        <f t="shared" si="104"/>
        <v>1.3350262875833501</v>
      </c>
      <c r="H52" s="68">
        <f t="shared" si="105"/>
        <v>364.50053280421326</v>
      </c>
      <c r="I52" s="69">
        <f t="shared" si="106"/>
        <v>158.48165680854393</v>
      </c>
      <c r="J52" s="69">
        <f t="shared" si="107"/>
        <v>522.98218961275722</v>
      </c>
      <c r="L52" t="str">
        <f t="shared" si="140"/>
        <v>32 Health and social care associate professionals</v>
      </c>
      <c r="M52" s="18">
        <f t="shared" si="108"/>
        <v>2.0684494912795985</v>
      </c>
      <c r="N52" s="18">
        <f t="shared" si="108"/>
        <v>2.5296730483937866</v>
      </c>
      <c r="O52" s="18">
        <f t="shared" si="108"/>
        <v>2.5896274145116438</v>
      </c>
      <c r="P52" s="18">
        <f t="shared" si="108"/>
        <v>4.262846661767199</v>
      </c>
      <c r="Q52" s="18">
        <f t="shared" si="108"/>
        <v>5.5324410387344916</v>
      </c>
      <c r="S52" s="68">
        <f t="shared" si="109"/>
        <v>298.05664358354801</v>
      </c>
      <c r="T52" s="69">
        <f t="shared" si="110"/>
        <v>140.22717998462838</v>
      </c>
      <c r="U52" s="69">
        <f t="shared" si="111"/>
        <v>438.28382356817644</v>
      </c>
      <c r="W52" t="str">
        <f t="shared" si="141"/>
        <v>32 Health and social care associate professionals</v>
      </c>
      <c r="X52" s="18">
        <f t="shared" si="112"/>
        <v>3.054212180292422</v>
      </c>
      <c r="Y52" s="18">
        <f t="shared" si="112"/>
        <v>3.8160400297255452</v>
      </c>
      <c r="Z52" s="18">
        <f t="shared" si="112"/>
        <v>3.8127018175159009</v>
      </c>
      <c r="AA52" s="18">
        <f t="shared" si="112"/>
        <v>6.1273306838599257</v>
      </c>
      <c r="AB52" s="18">
        <f t="shared" si="112"/>
        <v>6.8789025859526873</v>
      </c>
      <c r="AD52" s="68">
        <f t="shared" si="113"/>
        <v>122.56347825219207</v>
      </c>
      <c r="AE52" s="69">
        <f t="shared" si="114"/>
        <v>118.60293528708669</v>
      </c>
      <c r="AF52" s="69">
        <f t="shared" si="115"/>
        <v>241.16641353927878</v>
      </c>
      <c r="AH52" t="str">
        <f t="shared" si="142"/>
        <v>32 Health and social care associate professionals</v>
      </c>
      <c r="AI52" s="18">
        <f t="shared" si="116"/>
        <v>6.8540238071320356</v>
      </c>
      <c r="AJ52" s="18">
        <f t="shared" si="116"/>
        <v>6.9606178263901874</v>
      </c>
      <c r="AK52" s="18">
        <f t="shared" si="116"/>
        <v>6.5806266044227</v>
      </c>
      <c r="AL52" s="18">
        <f t="shared" si="116"/>
        <v>7.6298381556924975</v>
      </c>
      <c r="AM52" s="18">
        <f t="shared" si="116"/>
        <v>4.4578625760952431</v>
      </c>
      <c r="AO52" s="68">
        <f t="shared" si="117"/>
        <v>-28.521088982209292</v>
      </c>
      <c r="AP52" s="69">
        <f t="shared" si="118"/>
        <v>44.233104155974232</v>
      </c>
      <c r="AQ52" s="69">
        <f t="shared" si="119"/>
        <v>15.712015173764939</v>
      </c>
      <c r="AS52" t="str">
        <f t="shared" si="143"/>
        <v>32 Health and social care associate professionals</v>
      </c>
      <c r="AT52" s="18">
        <f t="shared" si="120"/>
        <v>1.4316077675661578</v>
      </c>
      <c r="AU52" s="18">
        <f t="shared" si="120"/>
        <v>1.6832674869757762</v>
      </c>
      <c r="AV52" s="18">
        <f t="shared" si="120"/>
        <v>1.8056800063533489</v>
      </c>
      <c r="AW52" s="18">
        <f t="shared" si="120"/>
        <v>2.5429869373941156</v>
      </c>
      <c r="AX52" s="18">
        <f t="shared" si="120"/>
        <v>2.6490265364163332</v>
      </c>
      <c r="AZ52" s="68">
        <f t="shared" si="121"/>
        <v>72.797742331544981</v>
      </c>
      <c r="BA52" s="69">
        <f t="shared" si="122"/>
        <v>86.548125467426985</v>
      </c>
      <c r="BB52" s="69">
        <f t="shared" si="123"/>
        <v>159.34586779897197</v>
      </c>
      <c r="BD52" t="str">
        <f t="shared" si="144"/>
        <v>32 Health and social care associate professionals</v>
      </c>
      <c r="BE52" s="18">
        <f t="shared" si="124"/>
        <v>1.4788118252904516</v>
      </c>
      <c r="BF52" s="18">
        <f t="shared" si="124"/>
        <v>1.9003156889512856</v>
      </c>
      <c r="BG52" s="18">
        <f t="shared" si="124"/>
        <v>1.8890840037581316</v>
      </c>
      <c r="BH52" s="18">
        <f t="shared" si="124"/>
        <v>3.0464734036926204</v>
      </c>
      <c r="BI52" s="18">
        <f t="shared" si="124"/>
        <v>3.3551362191273504</v>
      </c>
      <c r="BK52" s="68">
        <f t="shared" si="125"/>
        <v>87.565031326906038</v>
      </c>
      <c r="BL52" s="69">
        <f t="shared" si="126"/>
        <v>97.466116568968062</v>
      </c>
      <c r="BM52" s="69">
        <f t="shared" si="127"/>
        <v>185.03114789587408</v>
      </c>
      <c r="BO52" t="str">
        <f t="shared" si="145"/>
        <v>32 Health and social care associate professionals</v>
      </c>
      <c r="BP52" s="18">
        <f t="shared" si="128"/>
        <v>1.2157433817332242</v>
      </c>
      <c r="BQ52" s="18">
        <f t="shared" si="128"/>
        <v>1.4715875464508033</v>
      </c>
      <c r="BR52" s="18">
        <f t="shared" si="128"/>
        <v>1.407328329705352</v>
      </c>
      <c r="BS52" s="18">
        <f t="shared" si="128"/>
        <v>2.159193394902311</v>
      </c>
      <c r="BT52" s="18">
        <f t="shared" si="128"/>
        <v>2.1254978558795297</v>
      </c>
      <c r="BV52" s="68">
        <f t="shared" si="129"/>
        <v>39.289806922535611</v>
      </c>
      <c r="BW52" s="69">
        <f t="shared" si="130"/>
        <v>82.443486300450928</v>
      </c>
      <c r="BX52" s="69">
        <f t="shared" si="131"/>
        <v>121.73329322298653</v>
      </c>
      <c r="BZ52" t="str">
        <f t="shared" si="146"/>
        <v>32 Health and social care associate professionals</v>
      </c>
      <c r="CA52" s="18">
        <f t="shared" si="132"/>
        <v>0.71495973439270477</v>
      </c>
      <c r="CB52" s="18">
        <f t="shared" si="132"/>
        <v>0.81426597521962329</v>
      </c>
      <c r="CC52" s="18">
        <f t="shared" si="132"/>
        <v>0.7387531755795409</v>
      </c>
      <c r="CD52" s="18">
        <f t="shared" si="132"/>
        <v>1.0329595099346742</v>
      </c>
      <c r="CE52" s="18">
        <f t="shared" si="132"/>
        <v>0.95030667707578287</v>
      </c>
      <c r="CG52" s="68">
        <f t="shared" si="133"/>
        <v>-31.587962751993647</v>
      </c>
      <c r="CH52" s="69">
        <f t="shared" si="134"/>
        <v>45.4724348723012</v>
      </c>
      <c r="CI52" s="69">
        <f t="shared" si="135"/>
        <v>13.884472120307551</v>
      </c>
      <c r="CK52" t="str">
        <f t="shared" si="147"/>
        <v>32 Health and social care associate professionals</v>
      </c>
      <c r="CL52" s="18">
        <f t="shared" si="136"/>
        <v>0.24567459766087407</v>
      </c>
      <c r="CM52" s="18">
        <f t="shared" si="136"/>
        <v>0.31968202569661064</v>
      </c>
      <c r="CN52" s="18">
        <f t="shared" si="136"/>
        <v>0.38426925838556814</v>
      </c>
      <c r="CO52" s="18">
        <f t="shared" si="136"/>
        <v>0.63735948584190494</v>
      </c>
      <c r="CP52" s="18">
        <f t="shared" si="136"/>
        <v>0.94529849602051197</v>
      </c>
      <c r="CR52" s="68">
        <f t="shared" si="137"/>
        <v>-5.9815560402421015</v>
      </c>
      <c r="CS52" s="69">
        <f t="shared" si="138"/>
        <v>42.396889110798526</v>
      </c>
      <c r="CT52" s="69">
        <f t="shared" si="139"/>
        <v>36.415333070556422</v>
      </c>
    </row>
    <row r="53" spans="1:98" x14ac:dyDescent="0.25">
      <c r="A53" t="str">
        <f t="shared" si="103"/>
        <v>33 Protective service occupations</v>
      </c>
      <c r="B53" s="18">
        <f t="shared" si="104"/>
        <v>0.31361308114783731</v>
      </c>
      <c r="C53" s="18">
        <f t="shared" si="104"/>
        <v>0.34110726094087579</v>
      </c>
      <c r="D53" s="18">
        <f t="shared" si="104"/>
        <v>0.31633241674927209</v>
      </c>
      <c r="E53" s="18">
        <f t="shared" si="104"/>
        <v>0.30201089535741132</v>
      </c>
      <c r="F53" s="18">
        <f t="shared" si="104"/>
        <v>0.35579446972347695</v>
      </c>
      <c r="H53" s="68">
        <f t="shared" si="105"/>
        <v>113.74359673599447</v>
      </c>
      <c r="I53" s="69">
        <f t="shared" si="106"/>
        <v>56.402653110559854</v>
      </c>
      <c r="J53" s="69">
        <f t="shared" si="107"/>
        <v>170.14624984655435</v>
      </c>
      <c r="L53" t="str">
        <f t="shared" si="140"/>
        <v>33 Protective service occupations</v>
      </c>
      <c r="M53" s="18">
        <f t="shared" si="108"/>
        <v>0.60471182395560596</v>
      </c>
      <c r="N53" s="18">
        <f t="shared" si="108"/>
        <v>0.59495421964081308</v>
      </c>
      <c r="O53" s="18">
        <f t="shared" si="108"/>
        <v>0.54881502965999662</v>
      </c>
      <c r="P53" s="18">
        <f t="shared" si="108"/>
        <v>0.47759386591335684</v>
      </c>
      <c r="Q53" s="18">
        <f t="shared" si="108"/>
        <v>0.53181051081100106</v>
      </c>
      <c r="S53" s="68">
        <f t="shared" si="109"/>
        <v>80.549498629881001</v>
      </c>
      <c r="T53" s="69">
        <f t="shared" si="110"/>
        <v>42.538111921167463</v>
      </c>
      <c r="U53" s="69">
        <f t="shared" si="111"/>
        <v>123.08761055104847</v>
      </c>
      <c r="W53" t="str">
        <f t="shared" si="141"/>
        <v>33 Protective service occupations</v>
      </c>
      <c r="X53" s="18">
        <f t="shared" si="112"/>
        <v>1.1426628270794796</v>
      </c>
      <c r="Y53" s="18">
        <f t="shared" si="112"/>
        <v>1.1689806711387243</v>
      </c>
      <c r="Z53" s="18">
        <f t="shared" si="112"/>
        <v>1.2350913648603101</v>
      </c>
      <c r="AA53" s="18">
        <f t="shared" si="112"/>
        <v>1.0513109679610306</v>
      </c>
      <c r="AB53" s="18">
        <f t="shared" si="112"/>
        <v>1.2653965262555447</v>
      </c>
      <c r="AD53" s="68">
        <f t="shared" si="113"/>
        <v>26.384884120157686</v>
      </c>
      <c r="AE53" s="69">
        <f t="shared" si="114"/>
        <v>43.668922117190533</v>
      </c>
      <c r="AF53" s="69">
        <f t="shared" si="115"/>
        <v>70.053806237348226</v>
      </c>
      <c r="AH53" t="str">
        <f t="shared" si="142"/>
        <v>33 Protective service occupations</v>
      </c>
      <c r="AI53" s="18">
        <f t="shared" si="116"/>
        <v>1.0780642865051739</v>
      </c>
      <c r="AJ53" s="18">
        <f t="shared" si="116"/>
        <v>1.1486913796197518</v>
      </c>
      <c r="AK53" s="18">
        <f t="shared" si="116"/>
        <v>1.1932701126700527</v>
      </c>
      <c r="AL53" s="18">
        <f t="shared" si="116"/>
        <v>1.1463898277675695</v>
      </c>
      <c r="AM53" s="18">
        <f t="shared" si="116"/>
        <v>1.4459114415865029</v>
      </c>
      <c r="AO53" s="68">
        <f t="shared" si="117"/>
        <v>27.856093601250887</v>
      </c>
      <c r="AP53" s="69">
        <f t="shared" si="118"/>
        <v>38.393581762043979</v>
      </c>
      <c r="AQ53" s="69">
        <f t="shared" si="119"/>
        <v>66.249675363294855</v>
      </c>
      <c r="AS53" t="str">
        <f t="shared" si="143"/>
        <v>33 Protective service occupations</v>
      </c>
      <c r="AT53" s="18">
        <f t="shared" si="120"/>
        <v>1.0006452449809713</v>
      </c>
      <c r="AU53" s="18">
        <f t="shared" si="120"/>
        <v>0.95846448899901648</v>
      </c>
      <c r="AV53" s="18">
        <f t="shared" si="120"/>
        <v>0.99284963204044774</v>
      </c>
      <c r="AW53" s="18">
        <f t="shared" si="120"/>
        <v>0.78140558631986035</v>
      </c>
      <c r="AX53" s="18">
        <f t="shared" si="120"/>
        <v>0.80739831100278792</v>
      </c>
      <c r="AZ53" s="68">
        <f t="shared" si="121"/>
        <v>-4.2151327242857946</v>
      </c>
      <c r="BA53" s="69">
        <f t="shared" si="122"/>
        <v>33.084128932963772</v>
      </c>
      <c r="BB53" s="69">
        <f t="shared" si="123"/>
        <v>28.868996208677977</v>
      </c>
      <c r="BD53" t="str">
        <f t="shared" si="144"/>
        <v>33 Protective service occupations</v>
      </c>
      <c r="BE53" s="18">
        <f t="shared" si="124"/>
        <v>0.84693638234386681</v>
      </c>
      <c r="BF53" s="18">
        <f t="shared" si="124"/>
        <v>0.76244948728985751</v>
      </c>
      <c r="BG53" s="18">
        <f t="shared" si="124"/>
        <v>0.84464454259787314</v>
      </c>
      <c r="BH53" s="18">
        <f t="shared" si="124"/>
        <v>0.68069608668678705</v>
      </c>
      <c r="BI53" s="18">
        <f t="shared" si="124"/>
        <v>0.63982941027829887</v>
      </c>
      <c r="BK53" s="68">
        <f t="shared" si="125"/>
        <v>-20.001249143037228</v>
      </c>
      <c r="BL53" s="69">
        <f t="shared" si="126"/>
        <v>21.603621598218705</v>
      </c>
      <c r="BM53" s="69">
        <f t="shared" si="127"/>
        <v>1.6023724551814766</v>
      </c>
      <c r="BO53" t="str">
        <f t="shared" si="145"/>
        <v>33 Protective service occupations</v>
      </c>
      <c r="BP53" s="18">
        <f t="shared" si="128"/>
        <v>0.96118290703483722</v>
      </c>
      <c r="BQ53" s="18">
        <f t="shared" si="128"/>
        <v>0.96880368017470586</v>
      </c>
      <c r="BR53" s="18">
        <f t="shared" si="128"/>
        <v>1.089909735837163</v>
      </c>
      <c r="BS53" s="18">
        <f t="shared" si="128"/>
        <v>0.8735868411308747</v>
      </c>
      <c r="BT53" s="18">
        <f t="shared" si="128"/>
        <v>0.82929566804495636</v>
      </c>
      <c r="BV53" s="68">
        <f t="shared" si="129"/>
        <v>-29.82652876147376</v>
      </c>
      <c r="BW53" s="69">
        <f t="shared" si="130"/>
        <v>24.985944019621993</v>
      </c>
      <c r="BX53" s="69">
        <f t="shared" si="131"/>
        <v>-4.8405847418517638</v>
      </c>
      <c r="BZ53" t="str">
        <f t="shared" si="146"/>
        <v>33 Protective service occupations</v>
      </c>
      <c r="CA53" s="18">
        <f t="shared" si="132"/>
        <v>0.82905386996330011</v>
      </c>
      <c r="CB53" s="18">
        <f t="shared" si="132"/>
        <v>0.85918793974927332</v>
      </c>
      <c r="CC53" s="18">
        <f t="shared" si="132"/>
        <v>0.97281254377577486</v>
      </c>
      <c r="CD53" s="18">
        <f t="shared" si="132"/>
        <v>0.84068598529943583</v>
      </c>
      <c r="CE53" s="18">
        <f t="shared" si="132"/>
        <v>0.91505019285077938</v>
      </c>
      <c r="CG53" s="68">
        <f t="shared" si="133"/>
        <v>-49.975373066784606</v>
      </c>
      <c r="CH53" s="69">
        <f t="shared" si="134"/>
        <v>23.382746114005528</v>
      </c>
      <c r="CI53" s="69">
        <f t="shared" si="135"/>
        <v>-26.592626952779074</v>
      </c>
      <c r="CK53" t="str">
        <f t="shared" si="147"/>
        <v>33 Protective service occupations</v>
      </c>
      <c r="CL53" s="18">
        <f t="shared" si="136"/>
        <v>0.37946350215044661</v>
      </c>
      <c r="CM53" s="18">
        <f t="shared" si="136"/>
        <v>0.36492269294598206</v>
      </c>
      <c r="CN53" s="18">
        <f t="shared" si="136"/>
        <v>0.41388615007933977</v>
      </c>
      <c r="CO53" s="18">
        <f t="shared" si="136"/>
        <v>0.46563346369075664</v>
      </c>
      <c r="CP53" s="18">
        <f t="shared" si="136"/>
        <v>0.58774798048992383</v>
      </c>
      <c r="CR53" s="68">
        <f t="shared" si="137"/>
        <v>-45.726230456342812</v>
      </c>
      <c r="CS53" s="69">
        <f t="shared" si="138"/>
        <v>15.708530912645482</v>
      </c>
      <c r="CT53" s="69">
        <f t="shared" si="139"/>
        <v>-30.017699543697322</v>
      </c>
    </row>
    <row r="54" spans="1:98" x14ac:dyDescent="0.25">
      <c r="A54" t="str">
        <f t="shared" si="103"/>
        <v>34 Culture, media and sports occupations</v>
      </c>
      <c r="B54" s="18">
        <f t="shared" si="104"/>
        <v>0.97326715612166181</v>
      </c>
      <c r="C54" s="18">
        <f t="shared" si="104"/>
        <v>1.0170819890588414</v>
      </c>
      <c r="D54" s="18">
        <f t="shared" si="104"/>
        <v>1.0722577813983543</v>
      </c>
      <c r="E54" s="18">
        <f t="shared" si="104"/>
        <v>0.96823260409030754</v>
      </c>
      <c r="F54" s="18">
        <f t="shared" si="104"/>
        <v>0.94391517126787283</v>
      </c>
      <c r="H54" s="68">
        <f t="shared" si="105"/>
        <v>67.290538418558782</v>
      </c>
      <c r="I54" s="69">
        <f t="shared" si="106"/>
        <v>65.427854330423543</v>
      </c>
      <c r="J54" s="69">
        <f t="shared" si="107"/>
        <v>132.71839274898232</v>
      </c>
      <c r="L54" t="str">
        <f t="shared" si="140"/>
        <v>34 Culture, media and sports occupations</v>
      </c>
      <c r="M54" s="18">
        <f t="shared" si="108"/>
        <v>2.8758905988310461</v>
      </c>
      <c r="N54" s="18">
        <f t="shared" si="108"/>
        <v>2.791197110419001</v>
      </c>
      <c r="O54" s="18">
        <f t="shared" si="108"/>
        <v>2.7865783025060042</v>
      </c>
      <c r="P54" s="18">
        <f t="shared" si="108"/>
        <v>2.235045567799836</v>
      </c>
      <c r="Q54" s="18">
        <f t="shared" si="108"/>
        <v>2.0352950265624314</v>
      </c>
      <c r="S54" s="68">
        <f t="shared" si="109"/>
        <v>36.088518636340247</v>
      </c>
      <c r="T54" s="69">
        <f t="shared" si="110"/>
        <v>55.699289237249097</v>
      </c>
      <c r="U54" s="69">
        <f t="shared" si="111"/>
        <v>91.78780787358933</v>
      </c>
      <c r="W54" t="str">
        <f t="shared" si="141"/>
        <v>34 Culture, media and sports occupations</v>
      </c>
      <c r="X54" s="18">
        <f t="shared" si="112"/>
        <v>3.3880836872139666</v>
      </c>
      <c r="Y54" s="18">
        <f t="shared" si="112"/>
        <v>3.2239811940438221</v>
      </c>
      <c r="Z54" s="18">
        <f t="shared" si="112"/>
        <v>3.0599592409961636</v>
      </c>
      <c r="AA54" s="18">
        <f t="shared" si="112"/>
        <v>2.455793834889155</v>
      </c>
      <c r="AB54" s="18">
        <f t="shared" si="112"/>
        <v>2.2988978552182568</v>
      </c>
      <c r="AD54" s="68">
        <f t="shared" si="113"/>
        <v>-7.3230750214938505</v>
      </c>
      <c r="AE54" s="69">
        <f t="shared" si="114"/>
        <v>43.896107610898163</v>
      </c>
      <c r="AF54" s="69">
        <f t="shared" si="115"/>
        <v>36.573032589404313</v>
      </c>
      <c r="AH54" t="str">
        <f t="shared" si="142"/>
        <v>34 Culture, media and sports occupations</v>
      </c>
      <c r="AI54" s="18">
        <f t="shared" si="116"/>
        <v>1.4950863864152242</v>
      </c>
      <c r="AJ54" s="18">
        <f t="shared" si="116"/>
        <v>1.3305819267028949</v>
      </c>
      <c r="AK54" s="18">
        <f t="shared" si="116"/>
        <v>1.4514556617595984</v>
      </c>
      <c r="AL54" s="18">
        <f t="shared" si="116"/>
        <v>1.3270673592688611</v>
      </c>
      <c r="AM54" s="18">
        <f t="shared" si="116"/>
        <v>1.5797587106574276</v>
      </c>
      <c r="AO54" s="68">
        <f t="shared" si="117"/>
        <v>14.843252835439587</v>
      </c>
      <c r="AP54" s="69">
        <f t="shared" si="118"/>
        <v>50.327084303178125</v>
      </c>
      <c r="AQ54" s="69">
        <f t="shared" si="119"/>
        <v>65.170337138617725</v>
      </c>
      <c r="AS54" t="str">
        <f t="shared" si="143"/>
        <v>34 Culture, media and sports occupations</v>
      </c>
      <c r="AT54" s="18">
        <f t="shared" si="120"/>
        <v>1.8010518671157618</v>
      </c>
      <c r="AU54" s="18">
        <f t="shared" si="120"/>
        <v>1.7225566594816271</v>
      </c>
      <c r="AV54" s="18">
        <f t="shared" si="120"/>
        <v>1.6669502745831313</v>
      </c>
      <c r="AW54" s="18">
        <f t="shared" si="120"/>
        <v>1.3137680140779691</v>
      </c>
      <c r="AX54" s="18">
        <f t="shared" si="120"/>
        <v>1.1927298606963361</v>
      </c>
      <c r="AZ54" s="68">
        <f t="shared" si="121"/>
        <v>-15.722432580467352</v>
      </c>
      <c r="BA54" s="69">
        <f t="shared" si="122"/>
        <v>40.066051922566452</v>
      </c>
      <c r="BB54" s="69">
        <f t="shared" si="123"/>
        <v>24.343619342099103</v>
      </c>
      <c r="BD54" t="str">
        <f t="shared" si="144"/>
        <v>34 Culture, media and sports occupations</v>
      </c>
      <c r="BE54" s="18">
        <f t="shared" si="124"/>
        <v>1.2381811820719271</v>
      </c>
      <c r="BF54" s="18">
        <f t="shared" si="124"/>
        <v>1.1814874736294185</v>
      </c>
      <c r="BG54" s="18">
        <f t="shared" si="124"/>
        <v>1.2840868240670791</v>
      </c>
      <c r="BH54" s="18">
        <f t="shared" si="124"/>
        <v>1.0569996599537324</v>
      </c>
      <c r="BI54" s="18">
        <f t="shared" si="124"/>
        <v>1.1557570114571101</v>
      </c>
      <c r="BK54" s="68">
        <f t="shared" si="125"/>
        <v>-4.9471519137346371</v>
      </c>
      <c r="BL54" s="69">
        <f t="shared" si="126"/>
        <v>35.518248949152017</v>
      </c>
      <c r="BM54" s="69">
        <f t="shared" si="127"/>
        <v>30.571097035417377</v>
      </c>
      <c r="BO54" t="str">
        <f t="shared" si="145"/>
        <v>34 Culture, media and sports occupations</v>
      </c>
      <c r="BP54" s="18">
        <f t="shared" si="128"/>
        <v>0.62020892880606593</v>
      </c>
      <c r="BQ54" s="18">
        <f t="shared" si="128"/>
        <v>0.56123100255146818</v>
      </c>
      <c r="BR54" s="18">
        <f t="shared" si="128"/>
        <v>0.57791210786536995</v>
      </c>
      <c r="BS54" s="18">
        <f t="shared" si="128"/>
        <v>0.42533669708711586</v>
      </c>
      <c r="BT54" s="18">
        <f t="shared" si="128"/>
        <v>0.34373771944223613</v>
      </c>
      <c r="BV54" s="68">
        <f t="shared" si="129"/>
        <v>-45.144586497877313</v>
      </c>
      <c r="BW54" s="69">
        <f t="shared" si="130"/>
        <v>27.807127994684549</v>
      </c>
      <c r="BX54" s="69">
        <f t="shared" si="131"/>
        <v>-17.337458503192767</v>
      </c>
      <c r="BZ54" t="str">
        <f t="shared" si="146"/>
        <v>34 Culture, media and sports occupations</v>
      </c>
      <c r="CA54" s="18">
        <f t="shared" si="132"/>
        <v>0.72333849595183408</v>
      </c>
      <c r="CB54" s="18">
        <f t="shared" si="132"/>
        <v>0.68466794805184705</v>
      </c>
      <c r="CC54" s="18">
        <f t="shared" si="132"/>
        <v>0.73856375733898849</v>
      </c>
      <c r="CD54" s="18">
        <f t="shared" si="132"/>
        <v>0.52950285012779019</v>
      </c>
      <c r="CE54" s="18">
        <f t="shared" si="132"/>
        <v>0.43355407686755126</v>
      </c>
      <c r="CG54" s="68">
        <f t="shared" si="133"/>
        <v>-68.780683852285335</v>
      </c>
      <c r="CH54" s="69">
        <f t="shared" si="134"/>
        <v>19.784239461806198</v>
      </c>
      <c r="CI54" s="69">
        <f t="shared" si="135"/>
        <v>-48.996444390479148</v>
      </c>
      <c r="CK54" t="str">
        <f t="shared" si="147"/>
        <v>34 Culture, media and sports occupations</v>
      </c>
      <c r="CL54" s="18">
        <f t="shared" si="136"/>
        <v>0.68438593765049049</v>
      </c>
      <c r="CM54" s="18">
        <f t="shared" si="136"/>
        <v>0.81470371627270799</v>
      </c>
      <c r="CN54" s="18">
        <f t="shared" si="136"/>
        <v>0.9065546339777093</v>
      </c>
      <c r="CO54" s="18">
        <f t="shared" si="136"/>
        <v>0.90146579694002171</v>
      </c>
      <c r="CP54" s="18">
        <f t="shared" si="136"/>
        <v>1.2011827819582883</v>
      </c>
      <c r="CR54" s="68">
        <f t="shared" si="137"/>
        <v>-49.359865493292574</v>
      </c>
      <c r="CS54" s="69">
        <f t="shared" si="138"/>
        <v>23.010777322903213</v>
      </c>
      <c r="CT54" s="69">
        <f t="shared" si="139"/>
        <v>-26.349088170389358</v>
      </c>
    </row>
    <row r="55" spans="1:98" x14ac:dyDescent="0.25">
      <c r="A55" t="str">
        <f t="shared" si="103"/>
        <v>35 Business and public service associate professionals</v>
      </c>
      <c r="B55" s="18">
        <f t="shared" ref="B55:F64" si="148">B18/B$35*100</f>
        <v>5.0163524118882368</v>
      </c>
      <c r="C55" s="18">
        <f t="shared" si="148"/>
        <v>4.7110485162231059</v>
      </c>
      <c r="D55" s="18">
        <f t="shared" si="148"/>
        <v>4.5969818145078776</v>
      </c>
      <c r="E55" s="18">
        <f t="shared" si="148"/>
        <v>4.6617082121291293</v>
      </c>
      <c r="F55" s="18">
        <f t="shared" si="148"/>
        <v>5.1256850621558092</v>
      </c>
      <c r="H55" s="68">
        <f t="shared" si="105"/>
        <v>111.89306922629616</v>
      </c>
      <c r="I55" s="69">
        <f t="shared" si="106"/>
        <v>70.816813680663486</v>
      </c>
      <c r="J55" s="69">
        <f t="shared" si="107"/>
        <v>182.70988290695962</v>
      </c>
      <c r="L55" t="str">
        <f t="shared" si="140"/>
        <v>35 Business and public service associate professionals</v>
      </c>
      <c r="M55" s="18">
        <f t="shared" ref="M55:Q64" si="149">M18/M$35*100</f>
        <v>7.7795802542957802</v>
      </c>
      <c r="N55" s="18">
        <f t="shared" si="149"/>
        <v>7.3388113764883816</v>
      </c>
      <c r="O55" s="18">
        <f t="shared" si="149"/>
        <v>7.1808923304283203</v>
      </c>
      <c r="P55" s="18">
        <f t="shared" si="149"/>
        <v>7.0973227332574025</v>
      </c>
      <c r="Q55" s="18">
        <f t="shared" si="149"/>
        <v>7.0778855950382376</v>
      </c>
      <c r="S55" s="68">
        <f t="shared" si="109"/>
        <v>83.649812819817043</v>
      </c>
      <c r="T55" s="69">
        <f t="shared" si="110"/>
        <v>66.904120392203097</v>
      </c>
      <c r="U55" s="69">
        <f t="shared" si="111"/>
        <v>150.55393321202013</v>
      </c>
      <c r="W55" t="str">
        <f t="shared" si="141"/>
        <v>35 Business and public service associate professionals</v>
      </c>
      <c r="X55" s="18">
        <f t="shared" ref="X55:AB64" si="150">X18/X$35*100</f>
        <v>8.4521495699675988</v>
      </c>
      <c r="Y55" s="18">
        <f t="shared" si="150"/>
        <v>7.9356305466831687</v>
      </c>
      <c r="Z55" s="18">
        <f t="shared" si="150"/>
        <v>7.9222161645982965</v>
      </c>
      <c r="AA55" s="18">
        <f t="shared" si="150"/>
        <v>7.459585204896392</v>
      </c>
      <c r="AB55" s="18">
        <f t="shared" si="150"/>
        <v>6.9017485344865914</v>
      </c>
      <c r="AD55" s="68">
        <f t="shared" si="113"/>
        <v>7.4682125024363595</v>
      </c>
      <c r="AE55" s="69">
        <f t="shared" si="114"/>
        <v>52.978169633891738</v>
      </c>
      <c r="AF55" s="69">
        <f t="shared" si="115"/>
        <v>60.44638213632809</v>
      </c>
      <c r="AH55" t="str">
        <f t="shared" si="142"/>
        <v>35 Business and public service associate professionals</v>
      </c>
      <c r="AI55" s="18">
        <f t="shared" ref="AI55:AM64" si="151">AI18/AI$35*100</f>
        <v>7.0951342447907555</v>
      </c>
      <c r="AJ55" s="18">
        <f t="shared" si="151"/>
        <v>7.5354067899245178</v>
      </c>
      <c r="AK55" s="18">
        <f t="shared" si="151"/>
        <v>7.84462864405881</v>
      </c>
      <c r="AL55" s="18">
        <f t="shared" si="151"/>
        <v>8.1937657289601056</v>
      </c>
      <c r="AM55" s="18">
        <f t="shared" si="151"/>
        <v>8.3860185138799874</v>
      </c>
      <c r="AO55" s="68">
        <f t="shared" si="117"/>
        <v>12.798137199224241</v>
      </c>
      <c r="AP55" s="69">
        <f t="shared" si="118"/>
        <v>51.782210280410446</v>
      </c>
      <c r="AQ55" s="69">
        <f t="shared" si="119"/>
        <v>64.580347479634682</v>
      </c>
      <c r="AS55" t="str">
        <f t="shared" si="143"/>
        <v>35 Business and public service associate professionals</v>
      </c>
      <c r="AT55" s="18">
        <f t="shared" ref="AT55:AX64" si="152">AT18/AT$35*100</f>
        <v>7.0314616972116122</v>
      </c>
      <c r="AU55" s="18">
        <f t="shared" si="152"/>
        <v>6.880170912123706</v>
      </c>
      <c r="AV55" s="18">
        <f t="shared" si="152"/>
        <v>7.0710929589870393</v>
      </c>
      <c r="AW55" s="18">
        <f t="shared" si="152"/>
        <v>6.8657664532361276</v>
      </c>
      <c r="AX55" s="18">
        <f t="shared" si="152"/>
        <v>6.6963662935671744</v>
      </c>
      <c r="AZ55" s="68">
        <f t="shared" si="121"/>
        <v>11.543739328941793</v>
      </c>
      <c r="BA55" s="69">
        <f t="shared" si="122"/>
        <v>49.955286267929047</v>
      </c>
      <c r="BB55" s="69">
        <f t="shared" si="123"/>
        <v>61.499025596870851</v>
      </c>
      <c r="BD55" t="str">
        <f t="shared" si="144"/>
        <v>35 Business and public service associate professionals</v>
      </c>
      <c r="BE55" s="18">
        <f t="shared" ref="BE55:BI64" si="153">BE18/BE$35*100</f>
        <v>5.1126465647845762</v>
      </c>
      <c r="BF55" s="18">
        <f t="shared" si="153"/>
        <v>5.0510492308275934</v>
      </c>
      <c r="BG55" s="18">
        <f t="shared" si="153"/>
        <v>5.3978894894872003</v>
      </c>
      <c r="BH55" s="18">
        <f t="shared" si="153"/>
        <v>5.0827591254815783</v>
      </c>
      <c r="BI55" s="18">
        <f t="shared" si="153"/>
        <v>4.9517053244811908</v>
      </c>
      <c r="BK55" s="68">
        <f t="shared" si="125"/>
        <v>-3.1223065694906711</v>
      </c>
      <c r="BL55" s="69">
        <f t="shared" si="126"/>
        <v>40.722303431392035</v>
      </c>
      <c r="BM55" s="69">
        <f t="shared" si="127"/>
        <v>37.599996861901367</v>
      </c>
      <c r="BO55" t="str">
        <f t="shared" si="145"/>
        <v>35 Business and public service associate professionals</v>
      </c>
      <c r="BP55" s="18">
        <f t="shared" ref="BP55:BT64" si="154">BP18/BP$35*100</f>
        <v>4.2229053542001553</v>
      </c>
      <c r="BQ55" s="18">
        <f t="shared" si="154"/>
        <v>4.1818019564396431</v>
      </c>
      <c r="BR55" s="18">
        <f t="shared" si="154"/>
        <v>4.4800669705888376</v>
      </c>
      <c r="BS55" s="18">
        <f t="shared" si="154"/>
        <v>4.1748755492188154</v>
      </c>
      <c r="BT55" s="18">
        <f t="shared" si="154"/>
        <v>4.0870760495821505</v>
      </c>
      <c r="BV55" s="68">
        <f t="shared" si="129"/>
        <v>-15.863913372983715</v>
      </c>
      <c r="BW55" s="69">
        <f t="shared" si="130"/>
        <v>39.122389095515594</v>
      </c>
      <c r="BX55" s="69">
        <f t="shared" si="131"/>
        <v>23.258475722531877</v>
      </c>
      <c r="BZ55" t="str">
        <f t="shared" si="146"/>
        <v>35 Business and public service associate professionals</v>
      </c>
      <c r="CA55" s="18">
        <f t="shared" ref="CA55:CE64" si="155">CA18/CA$35*100</f>
        <v>3.8666231906233786</v>
      </c>
      <c r="CB55" s="18">
        <f t="shared" si="155"/>
        <v>4.0015946898140946</v>
      </c>
      <c r="CC55" s="18">
        <f t="shared" si="155"/>
        <v>4.3323136543789431</v>
      </c>
      <c r="CD55" s="18">
        <f t="shared" si="155"/>
        <v>4.0452736779003571</v>
      </c>
      <c r="CE55" s="18">
        <f t="shared" si="155"/>
        <v>3.9671664114632006</v>
      </c>
      <c r="CG55" s="68">
        <f t="shared" si="133"/>
        <v>-51.300037106591908</v>
      </c>
      <c r="CH55" s="69">
        <f t="shared" si="134"/>
        <v>26.553200472769127</v>
      </c>
      <c r="CI55" s="69">
        <f t="shared" si="135"/>
        <v>-24.746836633822781</v>
      </c>
      <c r="CK55" t="str">
        <f t="shared" si="147"/>
        <v>35 Business and public service associate professionals</v>
      </c>
      <c r="CL55" s="18">
        <f t="shared" ref="CL55:CP64" si="156">CL18/CL$35*100</f>
        <v>2.1829600344826483</v>
      </c>
      <c r="CM55" s="18">
        <f t="shared" si="156"/>
        <v>2.6044280196500997</v>
      </c>
      <c r="CN55" s="18">
        <f t="shared" si="156"/>
        <v>3.0593307073967551</v>
      </c>
      <c r="CO55" s="18">
        <f t="shared" si="156"/>
        <v>3.0551298415380326</v>
      </c>
      <c r="CP55" s="18">
        <f t="shared" si="156"/>
        <v>4.2730703676414059</v>
      </c>
      <c r="CR55" s="68">
        <f t="shared" si="137"/>
        <v>-46.618182856742905</v>
      </c>
      <c r="CS55" s="69">
        <f t="shared" si="138"/>
        <v>21.1467159509392</v>
      </c>
      <c r="CT55" s="69">
        <f t="shared" si="139"/>
        <v>-25.471466905803702</v>
      </c>
    </row>
    <row r="56" spans="1:98" x14ac:dyDescent="0.25">
      <c r="A56" t="str">
        <f t="shared" si="103"/>
        <v>41 Administrative occupations</v>
      </c>
      <c r="B56" s="18">
        <f t="shared" si="148"/>
        <v>4.1239027376358299</v>
      </c>
      <c r="C56" s="18">
        <f t="shared" si="148"/>
        <v>3.6432824628967526</v>
      </c>
      <c r="D56" s="18">
        <f t="shared" si="148"/>
        <v>3.9385792680193084</v>
      </c>
      <c r="E56" s="18">
        <f t="shared" si="148"/>
        <v>4.1967924125141112</v>
      </c>
      <c r="F56" s="18">
        <f t="shared" si="148"/>
        <v>4.7927985718897199</v>
      </c>
      <c r="H56" s="68">
        <f t="shared" si="105"/>
        <v>131.25290963177406</v>
      </c>
      <c r="I56" s="69">
        <f t="shared" si="106"/>
        <v>81.284464199183148</v>
      </c>
      <c r="J56" s="69">
        <f t="shared" si="107"/>
        <v>212.53737383095719</v>
      </c>
      <c r="L56" t="str">
        <f t="shared" si="140"/>
        <v>41 Administrative occupations</v>
      </c>
      <c r="M56" s="18">
        <f t="shared" si="149"/>
        <v>6.0615992915877817</v>
      </c>
      <c r="N56" s="18">
        <f t="shared" si="149"/>
        <v>5.5808547083861306</v>
      </c>
      <c r="O56" s="18">
        <f t="shared" si="149"/>
        <v>6.0813429090419824</v>
      </c>
      <c r="P56" s="18">
        <f t="shared" si="149"/>
        <v>6.4938123023206717</v>
      </c>
      <c r="Q56" s="18">
        <f t="shared" si="149"/>
        <v>6.5547478025744264</v>
      </c>
      <c r="S56" s="68">
        <f t="shared" si="109"/>
        <v>100.82688889362512</v>
      </c>
      <c r="T56" s="69">
        <f t="shared" si="110"/>
        <v>77.702821264374336</v>
      </c>
      <c r="U56" s="69">
        <f t="shared" si="111"/>
        <v>178.52971015799946</v>
      </c>
      <c r="W56" t="str">
        <f t="shared" si="141"/>
        <v>41 Administrative occupations</v>
      </c>
      <c r="X56" s="18">
        <f t="shared" si="150"/>
        <v>10.136070809928645</v>
      </c>
      <c r="Y56" s="18">
        <f t="shared" si="150"/>
        <v>9.3106400500419824</v>
      </c>
      <c r="Z56" s="18">
        <f t="shared" si="150"/>
        <v>10.100073606159263</v>
      </c>
      <c r="AA56" s="18">
        <f t="shared" si="150"/>
        <v>10.815034582478731</v>
      </c>
      <c r="AB56" s="18">
        <f t="shared" si="150"/>
        <v>11.274622254000962</v>
      </c>
      <c r="AD56" s="68">
        <f t="shared" si="113"/>
        <v>37.703520469830579</v>
      </c>
      <c r="AE56" s="69">
        <f t="shared" si="114"/>
        <v>68.734621798021607</v>
      </c>
      <c r="AF56" s="69">
        <f t="shared" si="115"/>
        <v>106.4381422678522</v>
      </c>
      <c r="AH56" t="str">
        <f t="shared" si="142"/>
        <v>41 Administrative occupations</v>
      </c>
      <c r="AI56" s="18">
        <f t="shared" si="151"/>
        <v>10.874579682291651</v>
      </c>
      <c r="AJ56" s="18">
        <f t="shared" si="151"/>
        <v>11.22254286207288</v>
      </c>
      <c r="AK56" s="18">
        <f t="shared" si="151"/>
        <v>12.316874961447578</v>
      </c>
      <c r="AL56" s="18">
        <f t="shared" si="151"/>
        <v>14.035036437987555</v>
      </c>
      <c r="AM56" s="18">
        <f t="shared" si="151"/>
        <v>15.644053739324553</v>
      </c>
      <c r="AO56" s="68">
        <f t="shared" si="117"/>
        <v>34.019275755356247</v>
      </c>
      <c r="AP56" s="69">
        <f t="shared" si="118"/>
        <v>71.091607523504877</v>
      </c>
      <c r="AQ56" s="69">
        <f t="shared" si="119"/>
        <v>105.11088327886114</v>
      </c>
      <c r="AS56" t="str">
        <f t="shared" si="143"/>
        <v>41 Administrative occupations</v>
      </c>
      <c r="AT56" s="18">
        <f t="shared" si="152"/>
        <v>11.246509626625041</v>
      </c>
      <c r="AU56" s="18">
        <f t="shared" si="152"/>
        <v>10.475251247706986</v>
      </c>
      <c r="AV56" s="18">
        <f t="shared" si="152"/>
        <v>11.826025403903529</v>
      </c>
      <c r="AW56" s="18">
        <f t="shared" si="152"/>
        <v>12.041128042351398</v>
      </c>
      <c r="AX56" s="18">
        <f t="shared" si="152"/>
        <v>12.243081940487839</v>
      </c>
      <c r="AZ56" s="68">
        <f t="shared" si="121"/>
        <v>21.939523321480216</v>
      </c>
      <c r="BA56" s="69">
        <f t="shared" si="122"/>
        <v>61.575620902593833</v>
      </c>
      <c r="BB56" s="69">
        <f t="shared" si="123"/>
        <v>83.515144224074049</v>
      </c>
      <c r="BD56" t="str">
        <f t="shared" si="144"/>
        <v>41 Administrative occupations</v>
      </c>
      <c r="BE56" s="18">
        <f t="shared" si="153"/>
        <v>9.8441945767015504</v>
      </c>
      <c r="BF56" s="18">
        <f t="shared" si="153"/>
        <v>8.8198709258673631</v>
      </c>
      <c r="BG56" s="18">
        <f t="shared" si="153"/>
        <v>9.467845613125208</v>
      </c>
      <c r="BH56" s="18">
        <f t="shared" si="153"/>
        <v>9.2749366547142031</v>
      </c>
      <c r="BI56" s="18">
        <f t="shared" si="153"/>
        <v>8.4061818953916738</v>
      </c>
      <c r="BK56" s="68">
        <f t="shared" si="125"/>
        <v>-6.2350334929379132</v>
      </c>
      <c r="BL56" s="69">
        <f t="shared" si="126"/>
        <v>45.912174290039729</v>
      </c>
      <c r="BM56" s="69">
        <f t="shared" si="127"/>
        <v>39.677140797101821</v>
      </c>
      <c r="BO56" t="str">
        <f t="shared" si="145"/>
        <v>41 Administrative occupations</v>
      </c>
      <c r="BP56" s="18">
        <f t="shared" si="154"/>
        <v>11.844064008222926</v>
      </c>
      <c r="BQ56" s="18">
        <f t="shared" si="154"/>
        <v>10.752474720235707</v>
      </c>
      <c r="BR56" s="18">
        <f t="shared" si="154"/>
        <v>11.48328996281027</v>
      </c>
      <c r="BS56" s="18">
        <f t="shared" si="154"/>
        <v>11.199240757067747</v>
      </c>
      <c r="BT56" s="18">
        <f t="shared" si="154"/>
        <v>9.7488088496548837</v>
      </c>
      <c r="BV56" s="68">
        <f t="shared" si="129"/>
        <v>-21.704046191506766</v>
      </c>
      <c r="BW56" s="69">
        <f t="shared" si="130"/>
        <v>43.173185916606016</v>
      </c>
      <c r="BX56" s="69">
        <f t="shared" si="131"/>
        <v>21.46913972509925</v>
      </c>
      <c r="BZ56" t="str">
        <f t="shared" si="146"/>
        <v>41 Administrative occupations</v>
      </c>
      <c r="CA56" s="18">
        <f t="shared" si="155"/>
        <v>9.0551362236010515</v>
      </c>
      <c r="CB56" s="18">
        <f t="shared" si="155"/>
        <v>8.2096525443221164</v>
      </c>
      <c r="CC56" s="18">
        <f t="shared" si="155"/>
        <v>8.1649035580275733</v>
      </c>
      <c r="CD56" s="18">
        <f t="shared" si="155"/>
        <v>7.032974521520055</v>
      </c>
      <c r="CE56" s="18">
        <f t="shared" si="155"/>
        <v>4.0854447917127183</v>
      </c>
      <c r="CG56" s="68">
        <f t="shared" si="133"/>
        <v>-73.389294401516793</v>
      </c>
      <c r="CH56" s="69">
        <f t="shared" si="134"/>
        <v>23.105743560778119</v>
      </c>
      <c r="CI56" s="69">
        <f t="shared" si="135"/>
        <v>-50.28355084073867</v>
      </c>
      <c r="CK56" t="str">
        <f t="shared" si="147"/>
        <v>41 Administrative occupations</v>
      </c>
      <c r="CL56" s="18">
        <f t="shared" si="156"/>
        <v>6.0013120507924196</v>
      </c>
      <c r="CM56" s="18">
        <f t="shared" si="156"/>
        <v>5.4003962057476329</v>
      </c>
      <c r="CN56" s="18">
        <f t="shared" si="156"/>
        <v>6.3681351402741599</v>
      </c>
      <c r="CO56" s="18">
        <f t="shared" si="156"/>
        <v>6.996788101352065</v>
      </c>
      <c r="CP56" s="18">
        <f t="shared" si="156"/>
        <v>8.1710858661677452</v>
      </c>
      <c r="CR56" s="68">
        <f t="shared" si="137"/>
        <v>-50.960364032801905</v>
      </c>
      <c r="CS56" s="69">
        <f t="shared" si="138"/>
        <v>21.769252605413982</v>
      </c>
      <c r="CT56" s="69">
        <f t="shared" si="139"/>
        <v>-29.191111427387927</v>
      </c>
    </row>
    <row r="57" spans="1:98" x14ac:dyDescent="0.25">
      <c r="A57" t="str">
        <f t="shared" si="103"/>
        <v>42 Secretarial and related occupations</v>
      </c>
      <c r="B57" s="18">
        <f t="shared" si="148"/>
        <v>0.30168535599603957</v>
      </c>
      <c r="C57" s="18">
        <f t="shared" si="148"/>
        <v>0.2400324196908406</v>
      </c>
      <c r="D57" s="18">
        <f t="shared" si="148"/>
        <v>0.29117115335668692</v>
      </c>
      <c r="E57" s="18">
        <f t="shared" si="148"/>
        <v>0.32943024742851446</v>
      </c>
      <c r="F57" s="18">
        <f t="shared" si="148"/>
        <v>0.34953616996763193</v>
      </c>
      <c r="H57" s="68">
        <f t="shared" si="105"/>
        <v>128.12947210256218</v>
      </c>
      <c r="I57" s="69">
        <f t="shared" si="106"/>
        <v>97.573562711705236</v>
      </c>
      <c r="J57" s="69">
        <f t="shared" si="107"/>
        <v>225.70303481426745</v>
      </c>
      <c r="L57" t="str">
        <f t="shared" si="140"/>
        <v>42 Secretarial and related occupations</v>
      </c>
      <c r="M57" s="18">
        <f t="shared" si="149"/>
        <v>0.96780578940416895</v>
      </c>
      <c r="N57" s="18">
        <f t="shared" si="149"/>
        <v>0.8557495438161391</v>
      </c>
      <c r="O57" s="18">
        <f t="shared" si="149"/>
        <v>0.98646005432893524</v>
      </c>
      <c r="P57" s="18">
        <f t="shared" si="149"/>
        <v>0.98824088129817012</v>
      </c>
      <c r="Q57" s="18">
        <f t="shared" si="149"/>
        <v>0.55114398418754651</v>
      </c>
      <c r="S57" s="68">
        <f t="shared" si="109"/>
        <v>4.1000490764802757</v>
      </c>
      <c r="T57" s="69">
        <f t="shared" si="110"/>
        <v>63.601391096133597</v>
      </c>
      <c r="U57" s="69">
        <f t="shared" si="111"/>
        <v>67.701440172613886</v>
      </c>
      <c r="W57" t="str">
        <f t="shared" si="141"/>
        <v>42 Secretarial and related occupations</v>
      </c>
      <c r="X57" s="18">
        <f t="shared" si="150"/>
        <v>1.5755478347354381</v>
      </c>
      <c r="Y57" s="18">
        <f t="shared" si="150"/>
        <v>1.3919666870245972</v>
      </c>
      <c r="Z57" s="18">
        <f t="shared" si="150"/>
        <v>1.5080510193854431</v>
      </c>
      <c r="AA57" s="18">
        <f t="shared" si="150"/>
        <v>1.6834097178632463</v>
      </c>
      <c r="AB57" s="18">
        <f t="shared" si="150"/>
        <v>1.803172966766045</v>
      </c>
      <c r="AD57" s="68">
        <f t="shared" si="113"/>
        <v>47.498952229069488</v>
      </c>
      <c r="AE57" s="69">
        <f t="shared" si="114"/>
        <v>80.727476185741949</v>
      </c>
      <c r="AF57" s="69">
        <f t="shared" si="115"/>
        <v>128.22642841481141</v>
      </c>
      <c r="AH57" t="str">
        <f t="shared" si="142"/>
        <v>42 Secretarial and related occupations</v>
      </c>
      <c r="AI57" s="18">
        <f t="shared" si="151"/>
        <v>2.3486083810760676</v>
      </c>
      <c r="AJ57" s="18">
        <f t="shared" si="151"/>
        <v>2.2534242323002518</v>
      </c>
      <c r="AK57" s="18">
        <f t="shared" si="151"/>
        <v>2.5395922009937317</v>
      </c>
      <c r="AL57" s="18">
        <f t="shared" si="151"/>
        <v>2.7142618947093</v>
      </c>
      <c r="AM57" s="18">
        <f t="shared" si="151"/>
        <v>2.4380755753019385</v>
      </c>
      <c r="AO57" s="68">
        <f t="shared" si="117"/>
        <v>1.2981885258622217</v>
      </c>
      <c r="AP57" s="69">
        <f t="shared" si="118"/>
        <v>63.316026638761137</v>
      </c>
      <c r="AQ57" s="69">
        <f t="shared" si="119"/>
        <v>64.61421516462336</v>
      </c>
      <c r="AS57" t="str">
        <f t="shared" si="143"/>
        <v>42 Secretarial and related occupations</v>
      </c>
      <c r="AT57" s="18">
        <f t="shared" si="152"/>
        <v>2.0540007667768023</v>
      </c>
      <c r="AU57" s="18">
        <f t="shared" si="152"/>
        <v>1.7953576547601953</v>
      </c>
      <c r="AV57" s="18">
        <f t="shared" si="152"/>
        <v>2.0603814278344337</v>
      </c>
      <c r="AW57" s="18">
        <f t="shared" si="152"/>
        <v>2.070048981153997</v>
      </c>
      <c r="AX57" s="18">
        <f t="shared" si="152"/>
        <v>1.868616448328789</v>
      </c>
      <c r="AZ57" s="68">
        <f t="shared" si="121"/>
        <v>6.8230774303812636</v>
      </c>
      <c r="BA57" s="69">
        <f t="shared" si="122"/>
        <v>59.92554216023359</v>
      </c>
      <c r="BB57" s="69">
        <f t="shared" si="123"/>
        <v>66.748619590614851</v>
      </c>
      <c r="BD57" t="str">
        <f t="shared" si="144"/>
        <v>42 Secretarial and related occupations</v>
      </c>
      <c r="BE57" s="18">
        <f t="shared" si="153"/>
        <v>2.0073405800113022</v>
      </c>
      <c r="BF57" s="18">
        <f t="shared" si="153"/>
        <v>1.717534787383262</v>
      </c>
      <c r="BG57" s="18">
        <f t="shared" si="153"/>
        <v>1.7028803664442989</v>
      </c>
      <c r="BH57" s="18">
        <f t="shared" si="153"/>
        <v>1.5823060604866865</v>
      </c>
      <c r="BI57" s="18">
        <f t="shared" si="153"/>
        <v>0.47801393449253854</v>
      </c>
      <c r="BK57" s="68">
        <f t="shared" si="125"/>
        <v>-70.35513985975534</v>
      </c>
      <c r="BL57" s="69">
        <f t="shared" si="126"/>
        <v>35.99443391425951</v>
      </c>
      <c r="BM57" s="69">
        <f t="shared" si="127"/>
        <v>-34.360705945495837</v>
      </c>
      <c r="BO57" t="str">
        <f t="shared" si="145"/>
        <v>42 Secretarial and related occupations</v>
      </c>
      <c r="BP57" s="18">
        <f t="shared" si="154"/>
        <v>2.6400662400639825</v>
      </c>
      <c r="BQ57" s="18">
        <f t="shared" si="154"/>
        <v>2.1100277822740199</v>
      </c>
      <c r="BR57" s="18">
        <f t="shared" si="154"/>
        <v>2.0502731692320824</v>
      </c>
      <c r="BS57" s="18">
        <f t="shared" si="154"/>
        <v>1.4508021660354853</v>
      </c>
      <c r="BT57" s="18">
        <f t="shared" si="154"/>
        <v>0.40435132680050223</v>
      </c>
      <c r="BV57" s="68">
        <f t="shared" si="129"/>
        <v>-81.811317606256821</v>
      </c>
      <c r="BW57" s="69">
        <f t="shared" si="130"/>
        <v>26.99542549191883</v>
      </c>
      <c r="BX57" s="69">
        <f t="shared" si="131"/>
        <v>-54.815892114337984</v>
      </c>
      <c r="BZ57" t="str">
        <f t="shared" si="146"/>
        <v>42 Secretarial and related occupations</v>
      </c>
      <c r="CA57" s="18">
        <f t="shared" si="155"/>
        <v>3.2285041615958123</v>
      </c>
      <c r="CB57" s="18">
        <f t="shared" si="155"/>
        <v>3.0914802957703338</v>
      </c>
      <c r="CC57" s="18">
        <f t="shared" si="155"/>
        <v>2.8022728459975057</v>
      </c>
      <c r="CD57" s="18">
        <f t="shared" si="155"/>
        <v>2.3538235822739209</v>
      </c>
      <c r="CE57" s="18">
        <f t="shared" si="155"/>
        <v>0.72292732769015611</v>
      </c>
      <c r="CG57" s="68">
        <f t="shared" si="133"/>
        <v>-86.280056370139917</v>
      </c>
      <c r="CH57" s="69">
        <f t="shared" si="134"/>
        <v>23.280198414630789</v>
      </c>
      <c r="CI57" s="69">
        <f t="shared" si="135"/>
        <v>-62.999857955509128</v>
      </c>
      <c r="CK57" t="str">
        <f t="shared" si="147"/>
        <v>42 Secretarial and related occupations</v>
      </c>
      <c r="CL57" s="18">
        <f t="shared" si="156"/>
        <v>1.8628240817872903</v>
      </c>
      <c r="CM57" s="18">
        <f t="shared" si="156"/>
        <v>1.7616553133837987</v>
      </c>
      <c r="CN57" s="18">
        <f t="shared" si="156"/>
        <v>2.0743385801345662</v>
      </c>
      <c r="CO57" s="18">
        <f t="shared" si="156"/>
        <v>2.5912894920529235</v>
      </c>
      <c r="CP57" s="18">
        <f t="shared" si="156"/>
        <v>3.3457872150472245</v>
      </c>
      <c r="CR57" s="68">
        <f t="shared" si="137"/>
        <v>-38.354921920253041</v>
      </c>
      <c r="CS57" s="69">
        <f t="shared" si="138"/>
        <v>31.258386301198609</v>
      </c>
      <c r="CT57" s="69">
        <f t="shared" si="139"/>
        <v>-7.0965356190544338</v>
      </c>
    </row>
    <row r="58" spans="1:98" x14ac:dyDescent="0.25">
      <c r="A58" t="str">
        <f t="shared" si="103"/>
        <v>51 Skilled agricultural and related trades</v>
      </c>
      <c r="B58" s="18">
        <f t="shared" si="148"/>
        <v>0.12129225058431156</v>
      </c>
      <c r="C58" s="18">
        <f t="shared" si="148"/>
        <v>0.11737895324694331</v>
      </c>
      <c r="D58" s="18">
        <f t="shared" si="148"/>
        <v>9.1480547675613949E-2</v>
      </c>
      <c r="E58" s="18">
        <f t="shared" si="148"/>
        <v>8.8305788044108699E-2</v>
      </c>
      <c r="F58" s="18">
        <f t="shared" si="148"/>
        <v>0.11664783511235982</v>
      </c>
      <c r="H58" s="68">
        <f t="shared" si="105"/>
        <v>142.31792765648521</v>
      </c>
      <c r="I58" s="69">
        <f t="shared" si="106"/>
        <v>97.742852765624505</v>
      </c>
      <c r="J58" s="69">
        <f t="shared" si="107"/>
        <v>240.06078042210973</v>
      </c>
      <c r="L58" t="str">
        <f t="shared" si="140"/>
        <v>51 Skilled agricultural and related trades</v>
      </c>
      <c r="M58" s="18">
        <f t="shared" si="149"/>
        <v>0.17470224146060548</v>
      </c>
      <c r="N58" s="18">
        <f t="shared" si="149"/>
        <v>0.12600701460444222</v>
      </c>
      <c r="O58" s="18">
        <f t="shared" si="149"/>
        <v>0.10725154548386739</v>
      </c>
      <c r="P58" s="18">
        <f t="shared" si="149"/>
        <v>0.10000946460408308</v>
      </c>
      <c r="Q58" s="18">
        <f t="shared" si="149"/>
        <v>9.2337674321836816E-2</v>
      </c>
      <c r="S58" s="68">
        <f t="shared" si="109"/>
        <v>60.413435271786796</v>
      </c>
      <c r="T58" s="69">
        <f t="shared" si="110"/>
        <v>68.283276309569899</v>
      </c>
      <c r="U58" s="69">
        <f t="shared" si="111"/>
        <v>128.69671158135668</v>
      </c>
      <c r="W58" t="str">
        <f t="shared" si="141"/>
        <v>51 Skilled agricultural and related trades</v>
      </c>
      <c r="X58" s="18">
        <f t="shared" si="150"/>
        <v>0.59929016681451897</v>
      </c>
      <c r="Y58" s="18">
        <f t="shared" si="150"/>
        <v>0.45432214008925303</v>
      </c>
      <c r="Z58" s="18">
        <f t="shared" si="150"/>
        <v>0.37940966353173172</v>
      </c>
      <c r="AA58" s="18">
        <f t="shared" si="150"/>
        <v>0.39153812214580452</v>
      </c>
      <c r="AB58" s="18">
        <f t="shared" si="150"/>
        <v>0.45672745709998147</v>
      </c>
      <c r="AD58" s="68">
        <f t="shared" si="113"/>
        <v>48.496533217310386</v>
      </c>
      <c r="AE58" s="69">
        <f t="shared" si="114"/>
        <v>82.341322767913624</v>
      </c>
      <c r="AF58" s="69">
        <f t="shared" si="115"/>
        <v>130.83785598522402</v>
      </c>
      <c r="AH58" t="str">
        <f t="shared" si="142"/>
        <v>51 Skilled agricultural and related trades</v>
      </c>
      <c r="AI58" s="18">
        <f t="shared" si="151"/>
        <v>0.66392780448336552</v>
      </c>
      <c r="AJ58" s="18">
        <f t="shared" si="151"/>
        <v>0.63287140157380128</v>
      </c>
      <c r="AK58" s="18">
        <f t="shared" si="151"/>
        <v>0.49231508556208559</v>
      </c>
      <c r="AL58" s="18">
        <f t="shared" si="151"/>
        <v>0.58780836738921127</v>
      </c>
      <c r="AM58" s="18">
        <f t="shared" si="151"/>
        <v>0.72915092312782259</v>
      </c>
      <c r="AO58" s="68">
        <f t="shared" si="117"/>
        <v>56.276179842279348</v>
      </c>
      <c r="AP58" s="69">
        <f t="shared" si="118"/>
        <v>89.344057459392189</v>
      </c>
      <c r="AQ58" s="69">
        <f t="shared" si="119"/>
        <v>145.62023730167152</v>
      </c>
      <c r="AS58" t="str">
        <f t="shared" si="143"/>
        <v>51 Skilled agricultural and related trades</v>
      </c>
      <c r="AT58" s="18">
        <f t="shared" si="152"/>
        <v>1.33136124010791</v>
      </c>
      <c r="AU58" s="18">
        <f t="shared" si="152"/>
        <v>1.2443075615003611</v>
      </c>
      <c r="AV58" s="18">
        <f t="shared" si="152"/>
        <v>1.0166484233848301</v>
      </c>
      <c r="AW58" s="18">
        <f t="shared" si="152"/>
        <v>1.1092532164431861</v>
      </c>
      <c r="AX58" s="18">
        <f t="shared" si="152"/>
        <v>1.4636201744388189</v>
      </c>
      <c r="AZ58" s="68">
        <f t="shared" si="121"/>
        <v>69.570437264349934</v>
      </c>
      <c r="BA58" s="69">
        <f t="shared" si="122"/>
        <v>80.678589853808262</v>
      </c>
      <c r="BB58" s="69">
        <f t="shared" si="123"/>
        <v>150.24902711815821</v>
      </c>
      <c r="BD58" t="str">
        <f t="shared" si="144"/>
        <v>51 Skilled agricultural and related trades</v>
      </c>
      <c r="BE58" s="18">
        <f t="shared" si="153"/>
        <v>0.56401801388564943</v>
      </c>
      <c r="BF58" s="18">
        <f t="shared" si="153"/>
        <v>0.50569086409164243</v>
      </c>
      <c r="BG58" s="18">
        <f t="shared" si="153"/>
        <v>0.41063176631208886</v>
      </c>
      <c r="BH58" s="18">
        <f t="shared" si="153"/>
        <v>0.40016606088386303</v>
      </c>
      <c r="BI58" s="18">
        <f t="shared" si="153"/>
        <v>0.43974262380667339</v>
      </c>
      <c r="BK58" s="68">
        <f t="shared" si="125"/>
        <v>13.093854839123614</v>
      </c>
      <c r="BL58" s="69">
        <f t="shared" si="126"/>
        <v>54.875559608995182</v>
      </c>
      <c r="BM58" s="69">
        <f t="shared" si="127"/>
        <v>67.969414448118798</v>
      </c>
      <c r="BO58" t="str">
        <f t="shared" si="145"/>
        <v>51 Skilled agricultural and related trades</v>
      </c>
      <c r="BP58" s="18">
        <f t="shared" si="154"/>
        <v>0.97045165575891534</v>
      </c>
      <c r="BQ58" s="18">
        <f t="shared" si="154"/>
        <v>0.89084672015021549</v>
      </c>
      <c r="BR58" s="18">
        <f t="shared" si="154"/>
        <v>0.7720510893105289</v>
      </c>
      <c r="BS58" s="18">
        <f t="shared" si="154"/>
        <v>0.73593992531385488</v>
      </c>
      <c r="BT58" s="18">
        <f t="shared" si="154"/>
        <v>0.79176510778038267</v>
      </c>
      <c r="BV58" s="68">
        <f t="shared" si="129"/>
        <v>-5.4188883313642666</v>
      </c>
      <c r="BW58" s="69">
        <f t="shared" si="130"/>
        <v>55.538313380666096</v>
      </c>
      <c r="BX58" s="69">
        <f t="shared" si="131"/>
        <v>50.119425049301839</v>
      </c>
      <c r="BZ58" t="str">
        <f t="shared" si="146"/>
        <v>51 Skilled agricultural and related trades</v>
      </c>
      <c r="CA58" s="18">
        <f t="shared" si="155"/>
        <v>1.1237098331798037</v>
      </c>
      <c r="CB58" s="18">
        <f t="shared" si="155"/>
        <v>1.0937454374289513</v>
      </c>
      <c r="CC58" s="18">
        <f t="shared" si="155"/>
        <v>1.1914109352629365</v>
      </c>
      <c r="CD58" s="18">
        <f t="shared" si="155"/>
        <v>1.3167426966321674</v>
      </c>
      <c r="CE58" s="18">
        <f t="shared" si="155"/>
        <v>2.5165426799806392</v>
      </c>
      <c r="CG58" s="68">
        <f t="shared" si="133"/>
        <v>12.333896115531529</v>
      </c>
      <c r="CH58" s="69">
        <f t="shared" si="134"/>
        <v>47.051683151019525</v>
      </c>
      <c r="CI58" s="69">
        <f t="shared" si="135"/>
        <v>59.385579266551048</v>
      </c>
      <c r="CK58" t="str">
        <f t="shared" si="147"/>
        <v>51 Skilled agricultural and related trades</v>
      </c>
      <c r="CL58" s="18">
        <f t="shared" si="156"/>
        <v>1.7986709790780733</v>
      </c>
      <c r="CM58" s="18">
        <f t="shared" si="156"/>
        <v>1.8513630330368802</v>
      </c>
      <c r="CN58" s="18">
        <f t="shared" si="156"/>
        <v>1.4773050411617714</v>
      </c>
      <c r="CO58" s="18">
        <f t="shared" si="156"/>
        <v>1.8555869267014462</v>
      </c>
      <c r="CP58" s="18">
        <f t="shared" si="156"/>
        <v>1.917990006370035</v>
      </c>
      <c r="CR58" s="68">
        <f t="shared" si="137"/>
        <v>-50.380098867628618</v>
      </c>
      <c r="CS58" s="69">
        <f t="shared" si="138"/>
        <v>27.450685570143239</v>
      </c>
      <c r="CT58" s="69">
        <f t="shared" si="139"/>
        <v>-22.929413297485375</v>
      </c>
    </row>
    <row r="59" spans="1:98" x14ac:dyDescent="0.25">
      <c r="A59" t="str">
        <f t="shared" si="103"/>
        <v>52 Skilled metal, electrical and electronic trades</v>
      </c>
      <c r="B59" s="18">
        <f t="shared" si="148"/>
        <v>0.33094663821796938</v>
      </c>
      <c r="C59" s="18">
        <f t="shared" si="148"/>
        <v>0.21031082317657671</v>
      </c>
      <c r="D59" s="18">
        <f t="shared" si="148"/>
        <v>0.16166132308498327</v>
      </c>
      <c r="E59" s="18">
        <f t="shared" si="148"/>
        <v>0.15573722031569948</v>
      </c>
      <c r="F59" s="18">
        <f t="shared" si="148"/>
        <v>0.15367098122734368</v>
      </c>
      <c r="H59" s="68">
        <f t="shared" si="105"/>
        <v>80.643922349133064</v>
      </c>
      <c r="I59" s="69">
        <f t="shared" si="106"/>
        <v>57.142536597300577</v>
      </c>
      <c r="J59" s="69">
        <f t="shared" si="107"/>
        <v>137.78645894643361</v>
      </c>
      <c r="L59" t="str">
        <f t="shared" si="140"/>
        <v>52 Skilled metal, electrical and electronic trades</v>
      </c>
      <c r="M59" s="18">
        <f t="shared" si="149"/>
        <v>1.1786755109906257</v>
      </c>
      <c r="N59" s="18">
        <f t="shared" si="149"/>
        <v>1.073791729480555</v>
      </c>
      <c r="O59" s="18">
        <f t="shared" si="149"/>
        <v>0.72869527753182817</v>
      </c>
      <c r="P59" s="18">
        <f t="shared" si="149"/>
        <v>0.90332621852502326</v>
      </c>
      <c r="Q59" s="18">
        <f t="shared" si="149"/>
        <v>0.99400194838138134</v>
      </c>
      <c r="S59" s="68">
        <f t="shared" si="109"/>
        <v>154.15967541419587</v>
      </c>
      <c r="T59" s="69">
        <f t="shared" si="110"/>
        <v>82.292196189010198</v>
      </c>
      <c r="U59" s="69">
        <f t="shared" si="111"/>
        <v>236.45187160320606</v>
      </c>
      <c r="W59" t="str">
        <f t="shared" si="141"/>
        <v>52 Skilled metal, electrical and electronic trades</v>
      </c>
      <c r="X59" s="18">
        <f t="shared" si="150"/>
        <v>1.5707903864911399</v>
      </c>
      <c r="Y59" s="18">
        <f t="shared" si="150"/>
        <v>1.4901762360552617</v>
      </c>
      <c r="Z59" s="18">
        <f t="shared" si="150"/>
        <v>1.0511813778922494</v>
      </c>
      <c r="AA59" s="18">
        <f t="shared" si="150"/>
        <v>1.1600909735669696</v>
      </c>
      <c r="AB59" s="18">
        <f t="shared" si="150"/>
        <v>1.2180466979735662</v>
      </c>
      <c r="AD59" s="68">
        <f t="shared" si="113"/>
        <v>42.940027799628581</v>
      </c>
      <c r="AE59" s="69">
        <f t="shared" si="114"/>
        <v>60.041968067362305</v>
      </c>
      <c r="AF59" s="69">
        <f t="shared" si="115"/>
        <v>102.98199586699089</v>
      </c>
      <c r="AH59" t="str">
        <f t="shared" si="142"/>
        <v>52 Skilled metal, electrical and electronic trades</v>
      </c>
      <c r="AI59" s="18">
        <f t="shared" si="151"/>
        <v>1.8627496858318195</v>
      </c>
      <c r="AJ59" s="18">
        <f t="shared" si="151"/>
        <v>1.7926878987772752</v>
      </c>
      <c r="AK59" s="18">
        <f t="shared" si="151"/>
        <v>1.3393428725951553</v>
      </c>
      <c r="AL59" s="18">
        <f t="shared" si="151"/>
        <v>1.5070880114105356</v>
      </c>
      <c r="AM59" s="18">
        <f t="shared" si="151"/>
        <v>1.6749953061200535</v>
      </c>
      <c r="AO59" s="68">
        <f t="shared" si="117"/>
        <v>31.959397366890059</v>
      </c>
      <c r="AP59" s="69">
        <f t="shared" si="118"/>
        <v>49.663448581879507</v>
      </c>
      <c r="AQ59" s="69">
        <f t="shared" si="119"/>
        <v>81.622845948769566</v>
      </c>
      <c r="AS59" t="str">
        <f t="shared" si="143"/>
        <v>52 Skilled metal, electrical and electronic trades</v>
      </c>
      <c r="AT59" s="18">
        <f t="shared" si="152"/>
        <v>8.8129012367289263</v>
      </c>
      <c r="AU59" s="18">
        <f t="shared" si="152"/>
        <v>8.3840560220266767</v>
      </c>
      <c r="AV59" s="18">
        <f t="shared" si="152"/>
        <v>6.6375430566129738</v>
      </c>
      <c r="AW59" s="18">
        <f t="shared" si="152"/>
        <v>6.6115426569649038</v>
      </c>
      <c r="AX59" s="18">
        <f t="shared" si="152"/>
        <v>6.4023151822567712</v>
      </c>
      <c r="AZ59" s="68">
        <f t="shared" si="121"/>
        <v>13.61148684075234</v>
      </c>
      <c r="BA59" s="69">
        <f t="shared" si="122"/>
        <v>45.656614199704109</v>
      </c>
      <c r="BB59" s="69">
        <f t="shared" si="123"/>
        <v>59.268101040456443</v>
      </c>
      <c r="BD59" t="str">
        <f t="shared" si="144"/>
        <v>52 Skilled metal, electrical and electronic trades</v>
      </c>
      <c r="BE59" s="18">
        <f t="shared" si="153"/>
        <v>10.978998441918399</v>
      </c>
      <c r="BF59" s="18">
        <f t="shared" si="153"/>
        <v>10.804602601118612</v>
      </c>
      <c r="BG59" s="18">
        <f t="shared" si="153"/>
        <v>9.4109132325470064</v>
      </c>
      <c r="BH59" s="18">
        <f t="shared" si="153"/>
        <v>9.0141082304550011</v>
      </c>
      <c r="BI59" s="18">
        <f t="shared" si="153"/>
        <v>8.586200308962006</v>
      </c>
      <c r="BK59" s="68">
        <f t="shared" si="125"/>
        <v>-3.6476672001956896</v>
      </c>
      <c r="BL59" s="69">
        <f t="shared" si="126"/>
        <v>34.583709758734734</v>
      </c>
      <c r="BM59" s="69">
        <f t="shared" si="127"/>
        <v>30.93604255853905</v>
      </c>
      <c r="BO59" t="str">
        <f t="shared" si="145"/>
        <v>52 Skilled metal, electrical and electronic trades</v>
      </c>
      <c r="BP59" s="18">
        <f t="shared" si="154"/>
        <v>6.2696488514594018</v>
      </c>
      <c r="BQ59" s="18">
        <f t="shared" si="154"/>
        <v>6.214732758640154</v>
      </c>
      <c r="BR59" s="18">
        <f t="shared" si="154"/>
        <v>5.7320342715955599</v>
      </c>
      <c r="BS59" s="18">
        <f t="shared" si="154"/>
        <v>5.4831881416818389</v>
      </c>
      <c r="BT59" s="18">
        <f t="shared" si="154"/>
        <v>5.3746221102352623</v>
      </c>
      <c r="BV59" s="68">
        <f t="shared" si="129"/>
        <v>-13.52446622725939</v>
      </c>
      <c r="BW59" s="69">
        <f t="shared" si="130"/>
        <v>36.438758752726216</v>
      </c>
      <c r="BX59" s="69">
        <f t="shared" si="131"/>
        <v>22.914292525466827</v>
      </c>
      <c r="BZ59" t="str">
        <f t="shared" si="146"/>
        <v>52 Skilled metal, electrical and electronic trades</v>
      </c>
      <c r="CA59" s="18">
        <f t="shared" si="155"/>
        <v>4.9700685422058433</v>
      </c>
      <c r="CB59" s="18">
        <f t="shared" si="155"/>
        <v>4.8880529809954165</v>
      </c>
      <c r="CC59" s="18">
        <f t="shared" si="155"/>
        <v>4.6687465932670156</v>
      </c>
      <c r="CD59" s="18">
        <f t="shared" si="155"/>
        <v>4.3791386419190825</v>
      </c>
      <c r="CE59" s="18">
        <f t="shared" si="155"/>
        <v>3.7599706290295449</v>
      </c>
      <c r="CG59" s="68">
        <f t="shared" si="133"/>
        <v>-57.169587835075056</v>
      </c>
      <c r="CH59" s="69">
        <f t="shared" si="134"/>
        <v>24.631285942793202</v>
      </c>
      <c r="CI59" s="69">
        <f t="shared" si="135"/>
        <v>-32.538301892281858</v>
      </c>
      <c r="CK59" t="str">
        <f t="shared" si="147"/>
        <v>52 Skilled metal, electrical and electronic trades</v>
      </c>
      <c r="CL59" s="18">
        <f t="shared" si="156"/>
        <v>5.3979895186999656</v>
      </c>
      <c r="CM59" s="18">
        <f t="shared" si="156"/>
        <v>5.6933599218991748</v>
      </c>
      <c r="CN59" s="18">
        <f t="shared" si="156"/>
        <v>4.5431702436467774</v>
      </c>
      <c r="CO59" s="18">
        <f t="shared" si="156"/>
        <v>4.1194929051182019</v>
      </c>
      <c r="CP59" s="18">
        <f t="shared" si="156"/>
        <v>3.756642611046932</v>
      </c>
      <c r="CR59" s="68">
        <f t="shared" si="137"/>
        <v>-68.397560862212487</v>
      </c>
      <c r="CS59" s="69">
        <f t="shared" si="138"/>
        <v>17.913822940990954</v>
      </c>
      <c r="CT59" s="69">
        <f t="shared" si="139"/>
        <v>-50.483737921221525</v>
      </c>
    </row>
    <row r="60" spans="1:98" x14ac:dyDescent="0.25">
      <c r="A60" t="str">
        <f t="shared" si="103"/>
        <v>53 Skilled construction and building trades</v>
      </c>
      <c r="B60" s="18">
        <f t="shared" si="148"/>
        <v>0.12688547652915594</v>
      </c>
      <c r="C60" s="18">
        <f t="shared" si="148"/>
        <v>7.8135169487377157E-2</v>
      </c>
      <c r="D60" s="18">
        <f t="shared" si="148"/>
        <v>4.9857710757289259E-2</v>
      </c>
      <c r="E60" s="18">
        <f t="shared" si="148"/>
        <v>5.3827293705312834E-2</v>
      </c>
      <c r="F60" s="18">
        <f t="shared" si="148"/>
        <v>3.7979756335331814E-2</v>
      </c>
      <c r="H60" s="68">
        <f t="shared" si="105"/>
        <v>44.762961606895296</v>
      </c>
      <c r="I60" s="69">
        <f t="shared" si="106"/>
        <v>54.915385547438909</v>
      </c>
      <c r="J60" s="69">
        <f t="shared" si="107"/>
        <v>99.678347154334219</v>
      </c>
      <c r="L60" t="str">
        <f t="shared" si="140"/>
        <v>53 Skilled construction and building trades</v>
      </c>
      <c r="M60" s="18">
        <f t="shared" si="149"/>
        <v>0.46257365486012114</v>
      </c>
      <c r="N60" s="18">
        <f t="shared" si="149"/>
        <v>0.41293557682473608</v>
      </c>
      <c r="O60" s="18">
        <f t="shared" si="149"/>
        <v>0.29344058469864448</v>
      </c>
      <c r="P60" s="18">
        <f t="shared" si="149"/>
        <v>0.31394786626093812</v>
      </c>
      <c r="Q60" s="18">
        <f t="shared" si="149"/>
        <v>0.30497929375513089</v>
      </c>
      <c r="S60" s="68">
        <f t="shared" si="109"/>
        <v>93.64912614341705</v>
      </c>
      <c r="T60" s="69">
        <f t="shared" si="110"/>
        <v>67.495573184452482</v>
      </c>
      <c r="U60" s="69">
        <f t="shared" si="111"/>
        <v>161.14469932786955</v>
      </c>
      <c r="W60" t="str">
        <f t="shared" si="141"/>
        <v>53 Skilled construction and building trades</v>
      </c>
      <c r="X60" s="18">
        <f t="shared" si="150"/>
        <v>0.78481000292404901</v>
      </c>
      <c r="Y60" s="18">
        <f t="shared" si="150"/>
        <v>0.73260282395367604</v>
      </c>
      <c r="Z60" s="18">
        <f t="shared" si="150"/>
        <v>0.53083462135841364</v>
      </c>
      <c r="AA60" s="18">
        <f t="shared" si="150"/>
        <v>0.5674690131027299</v>
      </c>
      <c r="AB60" s="18">
        <f t="shared" si="150"/>
        <v>0.54361430140814393</v>
      </c>
      <c r="AD60" s="68">
        <f t="shared" si="113"/>
        <v>26.327882212909902</v>
      </c>
      <c r="AE60" s="69">
        <f t="shared" si="114"/>
        <v>57.993660470765654</v>
      </c>
      <c r="AF60" s="69">
        <f t="shared" si="115"/>
        <v>84.32154268367556</v>
      </c>
      <c r="AH60" t="str">
        <f t="shared" si="142"/>
        <v>53 Skilled construction and building trades</v>
      </c>
      <c r="AI60" s="18">
        <f t="shared" si="151"/>
        <v>1.431624498156763</v>
      </c>
      <c r="AJ60" s="18">
        <f t="shared" si="151"/>
        <v>1.678030041027915</v>
      </c>
      <c r="AK60" s="18">
        <f t="shared" si="151"/>
        <v>1.3245871109719343</v>
      </c>
      <c r="AL60" s="18">
        <f t="shared" si="151"/>
        <v>1.5625586785459011</v>
      </c>
      <c r="AM60" s="18">
        <f t="shared" si="151"/>
        <v>1.6560189797775036</v>
      </c>
      <c r="AO60" s="68">
        <f t="shared" si="117"/>
        <v>31.917765168895183</v>
      </c>
      <c r="AP60" s="69">
        <f t="shared" si="118"/>
        <v>62.815885138862612</v>
      </c>
      <c r="AQ60" s="69">
        <f t="shared" si="119"/>
        <v>94.733650307757799</v>
      </c>
      <c r="AS60" t="str">
        <f t="shared" si="143"/>
        <v>53 Skilled construction and building trades</v>
      </c>
      <c r="AT60" s="18">
        <f t="shared" si="152"/>
        <v>2.1096023267709487</v>
      </c>
      <c r="AU60" s="18">
        <f t="shared" si="152"/>
        <v>2.5052963371881196</v>
      </c>
      <c r="AV60" s="18">
        <f t="shared" si="152"/>
        <v>1.9791580620360767</v>
      </c>
      <c r="AW60" s="18">
        <f t="shared" si="152"/>
        <v>2.1341525131355628</v>
      </c>
      <c r="AX60" s="18">
        <f t="shared" si="152"/>
        <v>1.9275230134477559</v>
      </c>
      <c r="AZ60" s="68">
        <f t="shared" si="121"/>
        <v>14.71273558094933</v>
      </c>
      <c r="BA60" s="69">
        <f t="shared" si="122"/>
        <v>55.625087135178418</v>
      </c>
      <c r="BB60" s="69">
        <f t="shared" si="123"/>
        <v>70.337822716127747</v>
      </c>
      <c r="BD60" t="str">
        <f t="shared" si="144"/>
        <v>53 Skilled construction and building trades</v>
      </c>
      <c r="BE60" s="18">
        <f t="shared" si="153"/>
        <v>5.770483779633782</v>
      </c>
      <c r="BF60" s="18">
        <f t="shared" si="153"/>
        <v>6.2767605399033961</v>
      </c>
      <c r="BG60" s="18">
        <f t="shared" si="153"/>
        <v>5.4315358384198449</v>
      </c>
      <c r="BH60" s="18">
        <f t="shared" si="153"/>
        <v>5.1467500327159881</v>
      </c>
      <c r="BI60" s="18">
        <f t="shared" si="153"/>
        <v>4.5011538526206829</v>
      </c>
      <c r="BK60" s="68">
        <f t="shared" si="125"/>
        <v>-12.482642635989992</v>
      </c>
      <c r="BL60" s="69">
        <f t="shared" si="126"/>
        <v>36.46399263114953</v>
      </c>
      <c r="BM60" s="69">
        <f t="shared" si="127"/>
        <v>23.981349995159537</v>
      </c>
      <c r="BO60" t="str">
        <f t="shared" si="145"/>
        <v>53 Skilled construction and building trades</v>
      </c>
      <c r="BP60" s="18">
        <f t="shared" si="154"/>
        <v>4.9895954980006145</v>
      </c>
      <c r="BQ60" s="18">
        <f t="shared" si="154"/>
        <v>6.1519146826309141</v>
      </c>
      <c r="BR60" s="18">
        <f t="shared" si="154"/>
        <v>5.6493951349364764</v>
      </c>
      <c r="BS60" s="18">
        <f t="shared" si="154"/>
        <v>5.8834766801798057</v>
      </c>
      <c r="BT60" s="18">
        <f t="shared" si="154"/>
        <v>6.2567288601215063</v>
      </c>
      <c r="BV60" s="68">
        <f t="shared" si="129"/>
        <v>2.1408525856577607</v>
      </c>
      <c r="BW60" s="69">
        <f t="shared" si="130"/>
        <v>49.041897018534918</v>
      </c>
      <c r="BX60" s="69">
        <f t="shared" si="131"/>
        <v>51.182749604192679</v>
      </c>
      <c r="BZ60" t="str">
        <f t="shared" si="146"/>
        <v>53 Skilled construction and building trades</v>
      </c>
      <c r="CA60" s="18">
        <f t="shared" si="155"/>
        <v>4.1631360866640277</v>
      </c>
      <c r="CB60" s="18">
        <f t="shared" si="155"/>
        <v>4.6799995188914334</v>
      </c>
      <c r="CC60" s="18">
        <f t="shared" si="155"/>
        <v>4.4605653498947992</v>
      </c>
      <c r="CD60" s="18">
        <f t="shared" si="155"/>
        <v>4.3770133189907279</v>
      </c>
      <c r="CE60" s="18">
        <f t="shared" si="155"/>
        <v>4.8612684665475285</v>
      </c>
      <c r="CG60" s="68">
        <f t="shared" si="133"/>
        <v>-42.040076575999215</v>
      </c>
      <c r="CH60" s="69">
        <f t="shared" si="134"/>
        <v>30.491593068771046</v>
      </c>
      <c r="CI60" s="69">
        <f t="shared" si="135"/>
        <v>-11.548483507228173</v>
      </c>
      <c r="CK60" t="str">
        <f t="shared" si="147"/>
        <v>53 Skilled construction and building trades</v>
      </c>
      <c r="CL60" s="18">
        <f t="shared" si="156"/>
        <v>5.8230165322003344</v>
      </c>
      <c r="CM60" s="18">
        <f t="shared" si="156"/>
        <v>7.5756556493131288</v>
      </c>
      <c r="CN60" s="18">
        <f t="shared" si="156"/>
        <v>6.2742278202139108</v>
      </c>
      <c r="CO60" s="18">
        <f t="shared" si="156"/>
        <v>5.0200124455291233</v>
      </c>
      <c r="CP60" s="18">
        <f t="shared" si="156"/>
        <v>1.4814848947271633</v>
      </c>
      <c r="CR60" s="68">
        <f t="shared" si="137"/>
        <v>-90.975634467329314</v>
      </c>
      <c r="CS60" s="69">
        <f t="shared" si="138"/>
        <v>12.009191113314417</v>
      </c>
      <c r="CT60" s="69">
        <f t="shared" si="139"/>
        <v>-78.966443354014899</v>
      </c>
    </row>
    <row r="61" spans="1:98" x14ac:dyDescent="0.25">
      <c r="A61" t="str">
        <f t="shared" si="103"/>
        <v>54 Textiles, printing and other skilled trades</v>
      </c>
      <c r="B61" s="18">
        <f t="shared" si="148"/>
        <v>0.65963358469906141</v>
      </c>
      <c r="C61" s="18">
        <f t="shared" si="148"/>
        <v>0.48158593755362528</v>
      </c>
      <c r="D61" s="18">
        <f t="shared" si="148"/>
        <v>0.43704246253256518</v>
      </c>
      <c r="E61" s="18">
        <f t="shared" si="148"/>
        <v>0.46575857813712618</v>
      </c>
      <c r="F61" s="18">
        <f t="shared" si="148"/>
        <v>0.41302199453457322</v>
      </c>
      <c r="H61" s="68">
        <f t="shared" si="105"/>
        <v>79.592073288208169</v>
      </c>
      <c r="I61" s="69">
        <f t="shared" si="106"/>
        <v>67.99305389574576</v>
      </c>
      <c r="J61" s="69">
        <f t="shared" si="107"/>
        <v>147.58512718395394</v>
      </c>
      <c r="L61" t="str">
        <f t="shared" si="140"/>
        <v>54 Textiles, printing and other skilled trades</v>
      </c>
      <c r="M61" s="18">
        <f t="shared" si="149"/>
        <v>0.64417573363895497</v>
      </c>
      <c r="N61" s="18">
        <f t="shared" si="149"/>
        <v>0.58927154405404747</v>
      </c>
      <c r="O61" s="18">
        <f t="shared" si="149"/>
        <v>0.62565546184226739</v>
      </c>
      <c r="P61" s="18">
        <f t="shared" si="149"/>
        <v>0.6414184068162363</v>
      </c>
      <c r="Q61" s="18">
        <f t="shared" si="149"/>
        <v>0.68924349232239956</v>
      </c>
      <c r="S61" s="68">
        <f t="shared" si="109"/>
        <v>105.25927971759276</v>
      </c>
      <c r="T61" s="69">
        <f t="shared" si="110"/>
        <v>78.822824149460587</v>
      </c>
      <c r="U61" s="69">
        <f t="shared" si="111"/>
        <v>184.08210386705332</v>
      </c>
      <c r="W61" t="str">
        <f t="shared" si="141"/>
        <v>54 Textiles, printing and other skilled trades</v>
      </c>
      <c r="X61" s="18">
        <f t="shared" si="150"/>
        <v>0.82765203086756745</v>
      </c>
      <c r="Y61" s="18">
        <f t="shared" si="150"/>
        <v>0.71345719525646401</v>
      </c>
      <c r="Z61" s="18">
        <f t="shared" si="150"/>
        <v>0.71153697153359674</v>
      </c>
      <c r="AA61" s="18">
        <f t="shared" si="150"/>
        <v>0.80413741342561551</v>
      </c>
      <c r="AB61" s="18">
        <f t="shared" si="150"/>
        <v>0.87930026445995646</v>
      </c>
      <c r="AD61" s="68">
        <f t="shared" si="113"/>
        <v>52.442939605023497</v>
      </c>
      <c r="AE61" s="69">
        <f t="shared" si="114"/>
        <v>72.324879605371493</v>
      </c>
      <c r="AF61" s="69">
        <f t="shared" si="115"/>
        <v>124.76781921039499</v>
      </c>
      <c r="AH61" t="str">
        <f t="shared" si="142"/>
        <v>54 Textiles, printing and other skilled trades</v>
      </c>
      <c r="AI61" s="18">
        <f t="shared" si="151"/>
        <v>0.9934218359536231</v>
      </c>
      <c r="AJ61" s="18">
        <f t="shared" si="151"/>
        <v>0.84386913582099476</v>
      </c>
      <c r="AK61" s="18">
        <f t="shared" si="151"/>
        <v>0.92907457145351457</v>
      </c>
      <c r="AL61" s="18">
        <f t="shared" si="151"/>
        <v>1.000397688390867</v>
      </c>
      <c r="AM61" s="18">
        <f t="shared" si="151"/>
        <v>1.1027177261725052</v>
      </c>
      <c r="AO61" s="68">
        <f t="shared" si="117"/>
        <v>25.236892315721519</v>
      </c>
      <c r="AP61" s="69">
        <f t="shared" si="118"/>
        <v>64.548341607059129</v>
      </c>
      <c r="AQ61" s="69">
        <f t="shared" si="119"/>
        <v>89.785233922780662</v>
      </c>
      <c r="AS61" t="str">
        <f t="shared" si="143"/>
        <v>54 Textiles, printing and other skilled trades</v>
      </c>
      <c r="AT61" s="18">
        <f t="shared" si="152"/>
        <v>1.1896661320569482</v>
      </c>
      <c r="AU61" s="18">
        <f t="shared" si="152"/>
        <v>1.0039468503538487</v>
      </c>
      <c r="AV61" s="18">
        <f t="shared" si="152"/>
        <v>1.0749058828031277</v>
      </c>
      <c r="AW61" s="18">
        <f t="shared" si="152"/>
        <v>1.1439852277719476</v>
      </c>
      <c r="AX61" s="18">
        <f t="shared" si="152"/>
        <v>1.179631486930214</v>
      </c>
      <c r="AZ61" s="68">
        <f t="shared" si="121"/>
        <v>29.261282622469114</v>
      </c>
      <c r="BA61" s="69">
        <f t="shared" si="122"/>
        <v>61.82139073994788</v>
      </c>
      <c r="BB61" s="69">
        <f t="shared" si="123"/>
        <v>91.082673362416998</v>
      </c>
      <c r="BD61" t="str">
        <f t="shared" si="144"/>
        <v>54 Textiles, printing and other skilled trades</v>
      </c>
      <c r="BE61" s="18">
        <f t="shared" si="153"/>
        <v>2.1307828948532404</v>
      </c>
      <c r="BF61" s="18">
        <f t="shared" si="153"/>
        <v>1.9451183846083735</v>
      </c>
      <c r="BG61" s="18">
        <f t="shared" si="153"/>
        <v>1.9187138884624466</v>
      </c>
      <c r="BH61" s="18">
        <f t="shared" si="153"/>
        <v>2.1451027627692998</v>
      </c>
      <c r="BI61" s="18">
        <f t="shared" si="153"/>
        <v>2.1724961875402991</v>
      </c>
      <c r="BK61" s="68">
        <f t="shared" si="125"/>
        <v>19.575385866072697</v>
      </c>
      <c r="BL61" s="69">
        <f t="shared" si="126"/>
        <v>45.931212496342717</v>
      </c>
      <c r="BM61" s="69">
        <f t="shared" si="127"/>
        <v>65.506598362415417</v>
      </c>
      <c r="BO61" t="str">
        <f t="shared" si="145"/>
        <v>54 Textiles, printing and other skilled trades</v>
      </c>
      <c r="BP61" s="18">
        <f t="shared" si="154"/>
        <v>2.2405837237709756</v>
      </c>
      <c r="BQ61" s="18">
        <f t="shared" si="154"/>
        <v>1.9276966621648048</v>
      </c>
      <c r="BR61" s="18">
        <f t="shared" si="154"/>
        <v>2.0700825479706739</v>
      </c>
      <c r="BS61" s="18">
        <f t="shared" si="154"/>
        <v>2.0451500671544864</v>
      </c>
      <c r="BT61" s="18">
        <f t="shared" si="154"/>
        <v>2.1032170997300237</v>
      </c>
      <c r="BV61" s="68">
        <f t="shared" si="129"/>
        <v>-6.2976386730223428</v>
      </c>
      <c r="BW61" s="69">
        <f t="shared" si="130"/>
        <v>40.473890595983583</v>
      </c>
      <c r="BX61" s="69">
        <f t="shared" si="131"/>
        <v>34.176251922961235</v>
      </c>
      <c r="BZ61" t="str">
        <f t="shared" si="146"/>
        <v>54 Textiles, printing and other skilled trades</v>
      </c>
      <c r="CA61" s="18">
        <f t="shared" si="155"/>
        <v>2.6757344162217271</v>
      </c>
      <c r="CB61" s="18">
        <f t="shared" si="155"/>
        <v>2.4743241657625914</v>
      </c>
      <c r="CC61" s="18">
        <f t="shared" si="155"/>
        <v>2.6323504290584268</v>
      </c>
      <c r="CD61" s="18">
        <f t="shared" si="155"/>
        <v>2.838295661624044</v>
      </c>
      <c r="CE61" s="18">
        <f t="shared" si="155"/>
        <v>2.7824085084101404</v>
      </c>
      <c r="CG61" s="68">
        <f t="shared" si="133"/>
        <v>-43.785896052353259</v>
      </c>
      <c r="CH61" s="69">
        <f t="shared" si="134"/>
        <v>30.009221621216636</v>
      </c>
      <c r="CI61" s="69">
        <f t="shared" si="135"/>
        <v>-13.776674431136621</v>
      </c>
      <c r="CK61" t="str">
        <f t="shared" si="147"/>
        <v>54 Textiles, printing and other skilled trades</v>
      </c>
      <c r="CL61" s="18">
        <f t="shared" si="156"/>
        <v>3.6169682076946446</v>
      </c>
      <c r="CM61" s="18">
        <f t="shared" si="156"/>
        <v>3.405929148536504</v>
      </c>
      <c r="CN61" s="18">
        <f t="shared" si="156"/>
        <v>3.6706773285120482</v>
      </c>
      <c r="CO61" s="18">
        <f t="shared" si="156"/>
        <v>3.3037463630786599</v>
      </c>
      <c r="CP61" s="18">
        <f t="shared" si="156"/>
        <v>3.4688658205502034</v>
      </c>
      <c r="CR61" s="68">
        <f t="shared" si="137"/>
        <v>-63.882221838430752</v>
      </c>
      <c r="CS61" s="69">
        <f t="shared" si="138"/>
        <v>17.567251492470046</v>
      </c>
      <c r="CT61" s="69">
        <f t="shared" si="139"/>
        <v>-46.31497034596071</v>
      </c>
    </row>
    <row r="62" spans="1:98" x14ac:dyDescent="0.25">
      <c r="A62" t="str">
        <f t="shared" si="103"/>
        <v>61 Caring personal service occupations</v>
      </c>
      <c r="B62" s="18">
        <f t="shared" si="148"/>
        <v>0.36703337514455592</v>
      </c>
      <c r="C62" s="18">
        <f t="shared" si="148"/>
        <v>0.37610459617341996</v>
      </c>
      <c r="D62" s="18">
        <f t="shared" si="148"/>
        <v>0.3863872382375339</v>
      </c>
      <c r="E62" s="18">
        <f t="shared" si="148"/>
        <v>0.41071414678518858</v>
      </c>
      <c r="F62" s="18">
        <f t="shared" si="148"/>
        <v>0.49764427809521172</v>
      </c>
      <c r="H62" s="68">
        <f t="shared" si="105"/>
        <v>144.75628917764209</v>
      </c>
      <c r="I62" s="69">
        <f t="shared" si="106"/>
        <v>87.328340691726609</v>
      </c>
      <c r="J62" s="69">
        <f t="shared" si="107"/>
        <v>232.08462986936871</v>
      </c>
      <c r="L62" t="str">
        <f t="shared" si="140"/>
        <v>61 Caring personal service occupations</v>
      </c>
      <c r="M62" s="18">
        <f t="shared" si="149"/>
        <v>3.0865244416383297</v>
      </c>
      <c r="N62" s="18">
        <f t="shared" si="149"/>
        <v>3.3175096315972019</v>
      </c>
      <c r="O62" s="18">
        <f t="shared" si="149"/>
        <v>3.4413201225797487</v>
      </c>
      <c r="P62" s="18">
        <f t="shared" si="149"/>
        <v>3.9194537568236703</v>
      </c>
      <c r="Q62" s="18">
        <f t="shared" si="149"/>
        <v>5.0921421463002421</v>
      </c>
      <c r="S62" s="68">
        <f t="shared" si="109"/>
        <v>175.70256777314924</v>
      </c>
      <c r="T62" s="69">
        <f t="shared" si="110"/>
        <v>100.60485405910869</v>
      </c>
      <c r="U62" s="69">
        <f t="shared" si="111"/>
        <v>276.30742183225789</v>
      </c>
      <c r="W62" t="str">
        <f t="shared" si="141"/>
        <v>61 Caring personal service occupations</v>
      </c>
      <c r="X62" s="18">
        <f t="shared" si="150"/>
        <v>4.9782360586154155</v>
      </c>
      <c r="Y62" s="18">
        <f t="shared" si="150"/>
        <v>5.3163104902459404</v>
      </c>
      <c r="Z62" s="18">
        <f t="shared" si="150"/>
        <v>5.5882072103586893</v>
      </c>
      <c r="AA62" s="18">
        <f t="shared" si="150"/>
        <v>5.9953518864137854</v>
      </c>
      <c r="AB62" s="18">
        <f t="shared" si="150"/>
        <v>6.7614596271172154</v>
      </c>
      <c r="AD62" s="68">
        <f t="shared" si="113"/>
        <v>49.257285811961978</v>
      </c>
      <c r="AE62" s="69">
        <f t="shared" si="114"/>
        <v>83.819848171553232</v>
      </c>
      <c r="AF62" s="69">
        <f t="shared" si="115"/>
        <v>133.07713398351521</v>
      </c>
      <c r="AH62" t="str">
        <f t="shared" si="142"/>
        <v>61 Caring personal service occupations</v>
      </c>
      <c r="AI62" s="18">
        <f t="shared" si="151"/>
        <v>13.902881588065974</v>
      </c>
      <c r="AJ62" s="18">
        <f t="shared" si="151"/>
        <v>14.11527631635</v>
      </c>
      <c r="AK62" s="18">
        <f t="shared" si="151"/>
        <v>15.094925573015649</v>
      </c>
      <c r="AL62" s="18">
        <f t="shared" si="151"/>
        <v>14.785605417278012</v>
      </c>
      <c r="AM62" s="18">
        <f t="shared" si="151"/>
        <v>15.094084541905204</v>
      </c>
      <c r="AO62" s="68">
        <f t="shared" si="117"/>
        <v>5.5101650016740038</v>
      </c>
      <c r="AP62" s="69">
        <f t="shared" si="118"/>
        <v>59.574841710304582</v>
      </c>
      <c r="AQ62" s="69">
        <f t="shared" si="119"/>
        <v>65.085006711978593</v>
      </c>
      <c r="AS62" t="str">
        <f t="shared" si="143"/>
        <v>61 Caring personal service occupations</v>
      </c>
      <c r="AT62" s="18">
        <f t="shared" si="152"/>
        <v>7.3443860332247919</v>
      </c>
      <c r="AU62" s="18">
        <f t="shared" si="152"/>
        <v>8.0465994300429315</v>
      </c>
      <c r="AV62" s="18">
        <f t="shared" si="152"/>
        <v>8.6748394008848226</v>
      </c>
      <c r="AW62" s="18">
        <f t="shared" si="152"/>
        <v>8.2330350243060195</v>
      </c>
      <c r="AX62" s="18">
        <f t="shared" si="152"/>
        <v>8.3617680508938328</v>
      </c>
      <c r="AZ62" s="68">
        <f t="shared" si="121"/>
        <v>13.534857039580858</v>
      </c>
      <c r="BA62" s="69">
        <f t="shared" si="122"/>
        <v>63.201019658034404</v>
      </c>
      <c r="BB62" s="69">
        <f t="shared" si="123"/>
        <v>76.735876697615268</v>
      </c>
      <c r="BD62" t="str">
        <f t="shared" si="144"/>
        <v>61 Caring personal service occupations</v>
      </c>
      <c r="BE62" s="18">
        <f t="shared" si="153"/>
        <v>12.375380812314992</v>
      </c>
      <c r="BF62" s="18">
        <f t="shared" si="153"/>
        <v>13.839366438730533</v>
      </c>
      <c r="BG62" s="18">
        <f t="shared" si="153"/>
        <v>13.823025167720274</v>
      </c>
      <c r="BH62" s="18">
        <f t="shared" si="153"/>
        <v>14.055063574112731</v>
      </c>
      <c r="BI62" s="18">
        <f t="shared" si="153"/>
        <v>15.012032934497929</v>
      </c>
      <c r="BK62" s="68">
        <f t="shared" si="125"/>
        <v>14.691015202067584</v>
      </c>
      <c r="BL62" s="69">
        <f t="shared" si="126"/>
        <v>60.895399540869541</v>
      </c>
      <c r="BM62" s="69">
        <f t="shared" si="127"/>
        <v>75.586414742937123</v>
      </c>
      <c r="BO62" t="str">
        <f t="shared" si="145"/>
        <v>61 Caring personal service occupations</v>
      </c>
      <c r="BP62" s="18">
        <f t="shared" si="154"/>
        <v>10.037208122721371</v>
      </c>
      <c r="BQ62" s="18">
        <f t="shared" si="154"/>
        <v>10.527314342577087</v>
      </c>
      <c r="BR62" s="18">
        <f t="shared" si="154"/>
        <v>10.06884650853601</v>
      </c>
      <c r="BS62" s="18">
        <f t="shared" si="154"/>
        <v>9.6588696035007757</v>
      </c>
      <c r="BT62" s="18">
        <f t="shared" si="154"/>
        <v>9.0119694564466286</v>
      </c>
      <c r="BV62" s="68">
        <f t="shared" si="129"/>
        <v>-17.45437008308453</v>
      </c>
      <c r="BW62" s="69">
        <f t="shared" si="130"/>
        <v>49.612080940824463</v>
      </c>
      <c r="BX62" s="69">
        <f t="shared" si="131"/>
        <v>32.157710857739929</v>
      </c>
      <c r="BZ62" t="str">
        <f t="shared" si="146"/>
        <v>61 Caring personal service occupations</v>
      </c>
      <c r="CA62" s="18">
        <f t="shared" si="155"/>
        <v>4.2398156404391401</v>
      </c>
      <c r="CB62" s="18">
        <f t="shared" si="155"/>
        <v>2.7170066173850911</v>
      </c>
      <c r="CC62" s="18">
        <f t="shared" si="155"/>
        <v>2.4424266734105871</v>
      </c>
      <c r="CD62" s="18">
        <f t="shared" si="155"/>
        <v>1.9789635205046934</v>
      </c>
      <c r="CE62" s="18">
        <f t="shared" si="155"/>
        <v>2.3147546705346973</v>
      </c>
      <c r="CG62" s="68">
        <f t="shared" si="133"/>
        <v>-49.597562659757884</v>
      </c>
      <c r="CH62" s="69">
        <f t="shared" si="134"/>
        <v>22.548968958385284</v>
      </c>
      <c r="CI62" s="69">
        <f t="shared" si="135"/>
        <v>-27.048593701372596</v>
      </c>
      <c r="CK62" t="str">
        <f t="shared" si="147"/>
        <v>61 Caring personal service occupations</v>
      </c>
      <c r="CL62" s="18">
        <f t="shared" si="156"/>
        <v>1.5947209679619798</v>
      </c>
      <c r="CM62" s="18">
        <f t="shared" si="156"/>
        <v>1.51473599710808</v>
      </c>
      <c r="CN62" s="18">
        <f t="shared" si="156"/>
        <v>1.6466264136779813</v>
      </c>
      <c r="CO62" s="18">
        <f t="shared" si="156"/>
        <v>2.0760251244411276</v>
      </c>
      <c r="CP62" s="18">
        <f t="shared" si="156"/>
        <v>2.4926301567206357</v>
      </c>
      <c r="CR62" s="68">
        <f t="shared" si="137"/>
        <v>-42.144786345295735</v>
      </c>
      <c r="CS62" s="69">
        <f t="shared" si="138"/>
        <v>22.466043235001493</v>
      </c>
      <c r="CT62" s="69">
        <f t="shared" si="139"/>
        <v>-19.678743110294242</v>
      </c>
    </row>
    <row r="63" spans="1:98" x14ac:dyDescent="0.25">
      <c r="A63" t="str">
        <f t="shared" si="103"/>
        <v>62 Leisure, travel and related personal service occupations</v>
      </c>
      <c r="B63" s="18">
        <f t="shared" si="148"/>
        <v>0.16871460053935669</v>
      </c>
      <c r="C63" s="18">
        <f t="shared" si="148"/>
        <v>0.22024271400182854</v>
      </c>
      <c r="D63" s="18">
        <f t="shared" si="148"/>
        <v>0.24213193098446911</v>
      </c>
      <c r="E63" s="18">
        <f t="shared" si="148"/>
        <v>0.26094435398789323</v>
      </c>
      <c r="F63" s="18">
        <f t="shared" si="148"/>
        <v>0.30841128640272497</v>
      </c>
      <c r="H63" s="68">
        <f t="shared" si="105"/>
        <v>142.0559800164645</v>
      </c>
      <c r="I63" s="69">
        <f t="shared" si="106"/>
        <v>92.621089705120511</v>
      </c>
      <c r="J63" s="69">
        <f t="shared" si="107"/>
        <v>234.67706972158501</v>
      </c>
      <c r="L63" t="str">
        <f t="shared" si="140"/>
        <v>62 Leisure, travel and related personal service occupations</v>
      </c>
      <c r="M63" s="18">
        <f t="shared" si="149"/>
        <v>0.563103665123458</v>
      </c>
      <c r="N63" s="18">
        <f t="shared" si="149"/>
        <v>0.48305320170881472</v>
      </c>
      <c r="O63" s="18">
        <f t="shared" si="149"/>
        <v>0.48188289312530935</v>
      </c>
      <c r="P63" s="18">
        <f t="shared" si="149"/>
        <v>0.43348347787334701</v>
      </c>
      <c r="Q63" s="18">
        <f t="shared" si="149"/>
        <v>0.51615075991239778</v>
      </c>
      <c r="S63" s="68">
        <f t="shared" si="109"/>
        <v>99.572376302527388</v>
      </c>
      <c r="T63" s="69">
        <f t="shared" si="110"/>
        <v>73.739307935256619</v>
      </c>
      <c r="U63" s="69">
        <f t="shared" si="111"/>
        <v>173.31168423778399</v>
      </c>
      <c r="W63" t="str">
        <f t="shared" si="141"/>
        <v>62 Leisure, travel and related personal service occupations</v>
      </c>
      <c r="X63" s="18">
        <f t="shared" si="150"/>
        <v>1.0699061425883554</v>
      </c>
      <c r="Y63" s="18">
        <f t="shared" si="150"/>
        <v>1.0770965462729616</v>
      </c>
      <c r="Z63" s="18">
        <f t="shared" si="150"/>
        <v>1.0258276698993989</v>
      </c>
      <c r="AA63" s="18">
        <f t="shared" si="150"/>
        <v>1.09087333809355</v>
      </c>
      <c r="AB63" s="18">
        <f t="shared" si="150"/>
        <v>1.3224896746293802</v>
      </c>
      <c r="AD63" s="68">
        <f t="shared" si="113"/>
        <v>59.032344970062042</v>
      </c>
      <c r="AE63" s="69">
        <f t="shared" si="114"/>
        <v>79.337180501017684</v>
      </c>
      <c r="AF63" s="69">
        <f t="shared" si="115"/>
        <v>138.36952547107975</v>
      </c>
      <c r="AH63" t="str">
        <f t="shared" si="142"/>
        <v>62 Leisure, travel and related personal service occupations</v>
      </c>
      <c r="AI63" s="18">
        <f t="shared" si="151"/>
        <v>2.2265549599621504</v>
      </c>
      <c r="AJ63" s="18">
        <f t="shared" si="151"/>
        <v>2.313899447722227</v>
      </c>
      <c r="AK63" s="18">
        <f t="shared" si="151"/>
        <v>2.2490380188041814</v>
      </c>
      <c r="AL63" s="18">
        <f t="shared" si="151"/>
        <v>2.3744601710208393</v>
      </c>
      <c r="AM63" s="18">
        <f t="shared" si="151"/>
        <v>2.9031091696220646</v>
      </c>
      <c r="AO63" s="68">
        <f t="shared" si="117"/>
        <v>36.202497321094981</v>
      </c>
      <c r="AP63" s="69">
        <f t="shared" si="118"/>
        <v>71.282416109080742</v>
      </c>
      <c r="AQ63" s="69">
        <f t="shared" si="119"/>
        <v>107.48491343017572</v>
      </c>
      <c r="AS63" t="str">
        <f t="shared" si="143"/>
        <v>62 Leisure, travel and related personal service occupations</v>
      </c>
      <c r="AT63" s="18">
        <f t="shared" si="152"/>
        <v>2.6313511301632642</v>
      </c>
      <c r="AU63" s="18">
        <f t="shared" si="152"/>
        <v>2.6241550044884958</v>
      </c>
      <c r="AV63" s="18">
        <f t="shared" si="152"/>
        <v>2.6874847388851322</v>
      </c>
      <c r="AW63" s="18">
        <f t="shared" si="152"/>
        <v>2.7104023486441151</v>
      </c>
      <c r="AX63" s="18">
        <f t="shared" si="152"/>
        <v>3.2196372796937998</v>
      </c>
      <c r="AZ63" s="68">
        <f t="shared" si="121"/>
        <v>41.108600643347891</v>
      </c>
      <c r="BA63" s="69">
        <f t="shared" si="122"/>
        <v>73.122562990878265</v>
      </c>
      <c r="BB63" s="69">
        <f t="shared" si="123"/>
        <v>114.23116363422616</v>
      </c>
      <c r="BD63" t="str">
        <f t="shared" si="144"/>
        <v>62 Leisure, travel and related personal service occupations</v>
      </c>
      <c r="BE63" s="18">
        <f t="shared" si="153"/>
        <v>2.7623894332932988</v>
      </c>
      <c r="BF63" s="18">
        <f t="shared" si="153"/>
        <v>2.215118883409946</v>
      </c>
      <c r="BG63" s="18">
        <f t="shared" si="153"/>
        <v>2.1001364485125471</v>
      </c>
      <c r="BH63" s="18">
        <f t="shared" si="153"/>
        <v>1.8494965575124835</v>
      </c>
      <c r="BI63" s="18">
        <f t="shared" si="153"/>
        <v>1.6687242879373929</v>
      </c>
      <c r="BK63" s="68">
        <f t="shared" si="125"/>
        <v>-16.086842728234092</v>
      </c>
      <c r="BL63" s="69">
        <f t="shared" si="126"/>
        <v>40.332134744525469</v>
      </c>
      <c r="BM63" s="69">
        <f t="shared" si="127"/>
        <v>24.24529201629138</v>
      </c>
      <c r="BO63" t="str">
        <f t="shared" si="145"/>
        <v>62 Leisure, travel and related personal service occupations</v>
      </c>
      <c r="BP63" s="18">
        <f t="shared" si="154"/>
        <v>2.9468004681501077</v>
      </c>
      <c r="BQ63" s="18">
        <f t="shared" si="154"/>
        <v>2.5023876792273052</v>
      </c>
      <c r="BR63" s="18">
        <f t="shared" si="154"/>
        <v>2.3507338727091276</v>
      </c>
      <c r="BS63" s="18">
        <f t="shared" si="154"/>
        <v>2.0646597027154954</v>
      </c>
      <c r="BT63" s="18">
        <f t="shared" si="154"/>
        <v>1.9214506054118472</v>
      </c>
      <c r="BV63" s="68">
        <f t="shared" si="129"/>
        <v>-24.615882574038146</v>
      </c>
      <c r="BW63" s="69">
        <f t="shared" si="130"/>
        <v>43.143115731276986</v>
      </c>
      <c r="BX63" s="69">
        <f t="shared" si="131"/>
        <v>18.527233157238836</v>
      </c>
      <c r="BZ63" t="str">
        <f t="shared" si="146"/>
        <v>62 Leisure, travel and related personal service occupations</v>
      </c>
      <c r="CA63" s="18">
        <f t="shared" si="155"/>
        <v>2.6201680804189156</v>
      </c>
      <c r="CB63" s="18">
        <f t="shared" si="155"/>
        <v>2.4915965673029437</v>
      </c>
      <c r="CC63" s="18">
        <f t="shared" si="155"/>
        <v>2.3191742603988552</v>
      </c>
      <c r="CD63" s="18">
        <f t="shared" si="155"/>
        <v>2.251123555044019</v>
      </c>
      <c r="CE63" s="18">
        <f t="shared" si="155"/>
        <v>2.3038770919903944</v>
      </c>
      <c r="CG63" s="68">
        <f t="shared" si="133"/>
        <v>-47.168367855978403</v>
      </c>
      <c r="CH63" s="69">
        <f t="shared" si="134"/>
        <v>32.191879883809591</v>
      </c>
      <c r="CI63" s="69">
        <f t="shared" si="135"/>
        <v>-14.976487972168808</v>
      </c>
      <c r="CK63" t="str">
        <f t="shared" si="147"/>
        <v>62 Leisure, travel and related personal service occupations</v>
      </c>
      <c r="CL63" s="18">
        <f t="shared" si="156"/>
        <v>2.5348902768698909</v>
      </c>
      <c r="CM63" s="18">
        <f t="shared" si="156"/>
        <v>2.2257814471550721</v>
      </c>
      <c r="CN63" s="18">
        <f t="shared" si="156"/>
        <v>2.31015969952001</v>
      </c>
      <c r="CO63" s="18">
        <f t="shared" si="156"/>
        <v>1.9235415518880199</v>
      </c>
      <c r="CP63" s="18">
        <f t="shared" si="156"/>
        <v>1.7988354405545259</v>
      </c>
      <c r="CR63" s="68">
        <f t="shared" si="137"/>
        <v>-70.240257676772018</v>
      </c>
      <c r="CS63" s="69">
        <f t="shared" si="138"/>
        <v>15.809135388099646</v>
      </c>
      <c r="CT63" s="69">
        <f t="shared" si="139"/>
        <v>-54.43112228867237</v>
      </c>
    </row>
    <row r="64" spans="1:98" x14ac:dyDescent="0.25">
      <c r="A64" t="str">
        <f t="shared" si="103"/>
        <v>63 Community and civil enforcement occupations</v>
      </c>
      <c r="B64" s="18">
        <f t="shared" si="148"/>
        <v>2.0382631449758683E-2</v>
      </c>
      <c r="C64" s="18">
        <f t="shared" si="148"/>
        <v>2.3448694601996282E-2</v>
      </c>
      <c r="D64" s="18">
        <f t="shared" si="148"/>
        <v>1.8361810982148806E-2</v>
      </c>
      <c r="E64" s="18">
        <f t="shared" si="148"/>
        <v>2.1672155451063276E-2</v>
      </c>
      <c r="F64" s="18">
        <f t="shared" si="148"/>
        <v>2.2944065212102443E-2</v>
      </c>
      <c r="H64" s="68">
        <f t="shared" si="105"/>
        <v>137.46109986966047</v>
      </c>
      <c r="I64" s="69">
        <f t="shared" si="106"/>
        <v>94.554848227254681</v>
      </c>
      <c r="J64" s="69">
        <f t="shared" si="107"/>
        <v>232.01594809691514</v>
      </c>
      <c r="L64" t="str">
        <f t="shared" si="140"/>
        <v>63 Community and civil enforcement occupations</v>
      </c>
      <c r="M64" s="18">
        <f t="shared" si="149"/>
        <v>3.9611181965032709E-2</v>
      </c>
      <c r="N64" s="18">
        <f t="shared" si="149"/>
        <v>3.4080921144399062E-2</v>
      </c>
      <c r="O64" s="18">
        <f t="shared" si="149"/>
        <v>3.3689808073228446E-2</v>
      </c>
      <c r="P64" s="18">
        <f t="shared" si="149"/>
        <v>2.9616975687141455E-2</v>
      </c>
      <c r="Q64" s="18">
        <f t="shared" si="149"/>
        <v>3.2902308462554236E-2</v>
      </c>
      <c r="S64" s="68">
        <f t="shared" si="109"/>
        <v>81.967236354408726</v>
      </c>
      <c r="T64" s="69">
        <f t="shared" si="110"/>
        <v>70.469104632631826</v>
      </c>
      <c r="U64" s="69">
        <f t="shared" si="111"/>
        <v>152.43634098704055</v>
      </c>
      <c r="W64" t="str">
        <f t="shared" si="141"/>
        <v>63 Community and civil enforcement occupations</v>
      </c>
      <c r="X64" s="18">
        <f t="shared" si="150"/>
        <v>7.741156827495857E-2</v>
      </c>
      <c r="Y64" s="18">
        <f t="shared" si="150"/>
        <v>7.4165719788269635E-2</v>
      </c>
      <c r="Z64" s="18">
        <f t="shared" si="150"/>
        <v>7.5704223972101845E-2</v>
      </c>
      <c r="AA64" s="18">
        <f t="shared" si="150"/>
        <v>7.4595041781772814E-2</v>
      </c>
      <c r="AB64" s="18">
        <f t="shared" si="150"/>
        <v>8.2209293689729165E-2</v>
      </c>
      <c r="AD64" s="68">
        <f t="shared" si="113"/>
        <v>33.957917377401195</v>
      </c>
      <c r="AE64" s="69">
        <f t="shared" si="114"/>
        <v>76.57288143886511</v>
      </c>
      <c r="AF64" s="69">
        <f t="shared" si="115"/>
        <v>110.53079881626628</v>
      </c>
      <c r="AH64" t="str">
        <f t="shared" si="142"/>
        <v>63 Community and civil enforcement occupations</v>
      </c>
      <c r="AI64" s="18">
        <f t="shared" si="151"/>
        <v>7.1350549507977326E-2</v>
      </c>
      <c r="AJ64" s="18">
        <f t="shared" si="151"/>
        <v>6.5253069172044348E-2</v>
      </c>
      <c r="AK64" s="18">
        <f t="shared" si="151"/>
        <v>7.5871682752449293E-2</v>
      </c>
      <c r="AL64" s="18">
        <f t="shared" si="151"/>
        <v>6.6182219925268446E-2</v>
      </c>
      <c r="AM64" s="18">
        <f t="shared" si="151"/>
        <v>7.8798333639536727E-2</v>
      </c>
      <c r="AO64" s="68">
        <f t="shared" si="117"/>
        <v>9.5861872809988427</v>
      </c>
      <c r="AP64" s="69">
        <f t="shared" si="118"/>
        <v>55.541998479242025</v>
      </c>
      <c r="AQ64" s="69">
        <f t="shared" si="119"/>
        <v>65.128185760240868</v>
      </c>
      <c r="AS64" t="str">
        <f t="shared" si="143"/>
        <v>63 Community and civil enforcement occupations</v>
      </c>
      <c r="AT64" s="18">
        <f t="shared" si="152"/>
        <v>7.4088390022918199E-2</v>
      </c>
      <c r="AU64" s="18">
        <f t="shared" si="152"/>
        <v>6.6397291487877541E-2</v>
      </c>
      <c r="AV64" s="18">
        <f t="shared" si="152"/>
        <v>7.6371487029182714E-2</v>
      </c>
      <c r="AW64" s="18">
        <f t="shared" si="152"/>
        <v>5.9819153272880149E-2</v>
      </c>
      <c r="AX64" s="18">
        <f t="shared" si="152"/>
        <v>5.708344924668235E-2</v>
      </c>
      <c r="AZ64" s="68">
        <f t="shared" si="121"/>
        <v>-11.961728974613175</v>
      </c>
      <c r="BA64" s="69">
        <f t="shared" si="122"/>
        <v>56.472623404220599</v>
      </c>
      <c r="BB64" s="69">
        <f t="shared" si="123"/>
        <v>44.510894429607426</v>
      </c>
      <c r="BD64" t="str">
        <f t="shared" si="144"/>
        <v>63 Community and civil enforcement occupations</v>
      </c>
      <c r="BE64" s="18">
        <f t="shared" si="153"/>
        <v>6.9845942584609966E-2</v>
      </c>
      <c r="BF64" s="18">
        <f t="shared" si="153"/>
        <v>4.6947623370910546E-2</v>
      </c>
      <c r="BG64" s="18">
        <f t="shared" si="153"/>
        <v>6.759398388600743E-2</v>
      </c>
      <c r="BH64" s="18">
        <f t="shared" si="153"/>
        <v>4.3803560576380157E-2</v>
      </c>
      <c r="BI64" s="18">
        <f t="shared" si="153"/>
        <v>5.121490767053908E-2</v>
      </c>
      <c r="BK64" s="68">
        <f t="shared" si="125"/>
        <v>-19.983170854138883</v>
      </c>
      <c r="BL64" s="69">
        <f t="shared" si="126"/>
        <v>27.90170268762245</v>
      </c>
      <c r="BM64" s="69">
        <f t="shared" si="127"/>
        <v>7.9185318334835681</v>
      </c>
      <c r="BO64" t="str">
        <f t="shared" si="145"/>
        <v>63 Community and civil enforcement occupations</v>
      </c>
      <c r="BP64" s="18">
        <f t="shared" si="154"/>
        <v>9.9740292595494329E-2</v>
      </c>
      <c r="BQ64" s="18">
        <f t="shared" si="154"/>
        <v>8.5294806474538645E-2</v>
      </c>
      <c r="BR64" s="18">
        <f t="shared" si="154"/>
        <v>0.11319711471602198</v>
      </c>
      <c r="BS64" s="18">
        <f t="shared" si="154"/>
        <v>8.3167708240361973E-2</v>
      </c>
      <c r="BT64" s="18">
        <f t="shared" si="154"/>
        <v>0.10056637421566626</v>
      </c>
      <c r="BV64" s="68">
        <f t="shared" si="129"/>
        <v>-18.064608985793452</v>
      </c>
      <c r="BW64" s="69">
        <f t="shared" si="130"/>
        <v>37.013647670559536</v>
      </c>
      <c r="BX64" s="69">
        <f t="shared" si="131"/>
        <v>18.94903868476608</v>
      </c>
      <c r="BZ64" t="str">
        <f t="shared" si="146"/>
        <v>63 Community and civil enforcement occupations</v>
      </c>
      <c r="CA64" s="18">
        <f t="shared" si="155"/>
        <v>0.12916504401468051</v>
      </c>
      <c r="CB64" s="18">
        <f t="shared" si="155"/>
        <v>0.11686616888053707</v>
      </c>
      <c r="CC64" s="18">
        <f t="shared" si="155"/>
        <v>0.15668087888403298</v>
      </c>
      <c r="CD64" s="18">
        <f t="shared" si="155"/>
        <v>0.12531507334943973</v>
      </c>
      <c r="CE64" s="18">
        <f t="shared" si="155"/>
        <v>0.16622927925949355</v>
      </c>
      <c r="CG64" s="68">
        <f t="shared" si="133"/>
        <v>-43.57655144309274</v>
      </c>
      <c r="CH64" s="69">
        <f t="shared" si="134"/>
        <v>27.550207967646895</v>
      </c>
      <c r="CI64" s="69">
        <f t="shared" si="135"/>
        <v>-16.026343475445849</v>
      </c>
      <c r="CK64" t="str">
        <f t="shared" si="147"/>
        <v>63 Community and civil enforcement occupations</v>
      </c>
      <c r="CL64" s="18">
        <f t="shared" si="156"/>
        <v>0.12164732563834664</v>
      </c>
      <c r="CM64" s="18">
        <f t="shared" si="156"/>
        <v>9.0519174329046395E-2</v>
      </c>
      <c r="CN64" s="18">
        <f t="shared" si="156"/>
        <v>0.13225056477287561</v>
      </c>
      <c r="CO64" s="18">
        <f t="shared" si="156"/>
        <v>6.8945413498340172E-2</v>
      </c>
      <c r="CP64" s="18">
        <f t="shared" si="156"/>
        <v>6.1934036525605578E-2</v>
      </c>
      <c r="CR64" s="68">
        <f t="shared" si="137"/>
        <v>-82.101708167163721</v>
      </c>
      <c r="CS64" s="69">
        <f t="shared" si="138"/>
        <v>9.2520833886417932</v>
      </c>
      <c r="CT64" s="69">
        <f t="shared" si="139"/>
        <v>-72.849624778521928</v>
      </c>
    </row>
    <row r="65" spans="1:98" x14ac:dyDescent="0.25">
      <c r="A65" t="str">
        <f t="shared" si="103"/>
        <v>71 Sales occupations</v>
      </c>
      <c r="B65" s="18">
        <f t="shared" ref="B65:F70" si="157">B28/B$35*100</f>
        <v>0.96793139703561692</v>
      </c>
      <c r="C65" s="18">
        <f t="shared" si="157"/>
        <v>0.80082832360975076</v>
      </c>
      <c r="D65" s="18">
        <f t="shared" si="157"/>
        <v>0.72651658407453268</v>
      </c>
      <c r="E65" s="18">
        <f t="shared" si="157"/>
        <v>0.70278326831172033</v>
      </c>
      <c r="F65" s="18">
        <f t="shared" si="157"/>
        <v>0.70543046677040255</v>
      </c>
      <c r="H65" s="68">
        <f t="shared" si="105"/>
        <v>84.521212289306419</v>
      </c>
      <c r="I65" s="69">
        <f t="shared" si="106"/>
        <v>61.869995247176732</v>
      </c>
      <c r="J65" s="69">
        <f t="shared" si="107"/>
        <v>146.39120753648314</v>
      </c>
      <c r="L65" t="str">
        <f t="shared" si="140"/>
        <v>71 Sales occupations</v>
      </c>
      <c r="M65" s="18">
        <f t="shared" ref="M65:Q70" si="158">M28/M$35*100</f>
        <v>2.3014165629749952</v>
      </c>
      <c r="N65" s="18">
        <f t="shared" si="158"/>
        <v>2.0587999679633389</v>
      </c>
      <c r="O65" s="18">
        <f t="shared" si="158"/>
        <v>2.0525722203719843</v>
      </c>
      <c r="P65" s="18">
        <f t="shared" si="158"/>
        <v>2.2363424325044541</v>
      </c>
      <c r="Q65" s="18">
        <f t="shared" si="158"/>
        <v>2.6663267219445745</v>
      </c>
      <c r="S65" s="68">
        <f t="shared" si="109"/>
        <v>142.0361771649614</v>
      </c>
      <c r="T65" s="69">
        <f t="shared" si="110"/>
        <v>75.221985034789782</v>
      </c>
      <c r="U65" s="69">
        <f t="shared" si="111"/>
        <v>217.25816219975118</v>
      </c>
      <c r="W65" t="str">
        <f t="shared" si="141"/>
        <v>71 Sales occupations</v>
      </c>
      <c r="X65" s="18">
        <f t="shared" ref="X65:AB70" si="159">X28/X$35*100</f>
        <v>4.5292484977566456</v>
      </c>
      <c r="Y65" s="18">
        <f t="shared" si="159"/>
        <v>4.1928792378706135</v>
      </c>
      <c r="Z65" s="18">
        <f t="shared" si="159"/>
        <v>4.3355855993231547</v>
      </c>
      <c r="AA65" s="18">
        <f t="shared" si="159"/>
        <v>4.493880019632349</v>
      </c>
      <c r="AB65" s="18">
        <f t="shared" si="159"/>
        <v>5.0989756516128404</v>
      </c>
      <c r="AD65" s="68">
        <f t="shared" si="113"/>
        <v>45.078399254015828</v>
      </c>
      <c r="AE65" s="69">
        <f t="shared" si="114"/>
        <v>64.928709848185733</v>
      </c>
      <c r="AF65" s="69">
        <f t="shared" si="115"/>
        <v>110.00710910220157</v>
      </c>
      <c r="AH65" t="str">
        <f t="shared" si="142"/>
        <v>71 Sales occupations</v>
      </c>
      <c r="AI65" s="18">
        <f t="shared" ref="AI65:AM70" si="160">AI28/AI$35*100</f>
        <v>4.5853581586268355</v>
      </c>
      <c r="AJ65" s="18">
        <f t="shared" si="160"/>
        <v>4.416415450715057</v>
      </c>
      <c r="AK65" s="18">
        <f t="shared" si="160"/>
        <v>4.7079990975261392</v>
      </c>
      <c r="AL65" s="18">
        <f t="shared" si="160"/>
        <v>4.9380543639693739</v>
      </c>
      <c r="AM65" s="18">
        <f t="shared" si="160"/>
        <v>5.6443684638278864</v>
      </c>
      <c r="AO65" s="68">
        <f t="shared" si="117"/>
        <v>26.50202741283179</v>
      </c>
      <c r="AP65" s="69">
        <f t="shared" si="118"/>
        <v>59.049403026646686</v>
      </c>
      <c r="AQ65" s="69">
        <f t="shared" si="119"/>
        <v>85.551430439478466</v>
      </c>
      <c r="AS65" t="str">
        <f t="shared" si="143"/>
        <v>71 Sales occupations</v>
      </c>
      <c r="AT65" s="18">
        <f t="shared" ref="AT65:AX70" si="161">AT28/AT$35*100</f>
        <v>4.203226573456786</v>
      </c>
      <c r="AU65" s="18">
        <f t="shared" si="161"/>
        <v>3.8929444205608212</v>
      </c>
      <c r="AV65" s="18">
        <f t="shared" si="161"/>
        <v>4.0347933932191165</v>
      </c>
      <c r="AW65" s="18">
        <f t="shared" si="161"/>
        <v>3.8079070337445717</v>
      </c>
      <c r="AX65" s="18">
        <f t="shared" si="161"/>
        <v>4.0450156709211136</v>
      </c>
      <c r="AZ65" s="68">
        <f t="shared" si="121"/>
        <v>18.084107604767592</v>
      </c>
      <c r="BA65" s="69">
        <f t="shared" si="122"/>
        <v>49.036584770806044</v>
      </c>
      <c r="BB65" s="69">
        <f t="shared" si="123"/>
        <v>67.120692375573626</v>
      </c>
      <c r="BD65" t="str">
        <f t="shared" si="144"/>
        <v>71 Sales occupations</v>
      </c>
      <c r="BE65" s="18">
        <f t="shared" ref="BE65:BI70" si="162">BE28/BE$35*100</f>
        <v>7.8073497034827595</v>
      </c>
      <c r="BF65" s="18">
        <f t="shared" si="162"/>
        <v>7.0244835310926454</v>
      </c>
      <c r="BG65" s="18">
        <f t="shared" si="162"/>
        <v>7.4274201823229413</v>
      </c>
      <c r="BH65" s="18">
        <f t="shared" si="162"/>
        <v>7.3275912503712171</v>
      </c>
      <c r="BI65" s="18">
        <f t="shared" si="162"/>
        <v>7.2920353177090194</v>
      </c>
      <c r="BK65" s="68">
        <f t="shared" si="125"/>
        <v>3.682093380369174</v>
      </c>
      <c r="BL65" s="69">
        <f t="shared" si="126"/>
        <v>45.306387906949048</v>
      </c>
      <c r="BM65" s="69">
        <f t="shared" si="127"/>
        <v>48.988481287318223</v>
      </c>
      <c r="BO65" t="str">
        <f t="shared" si="145"/>
        <v>71 Sales occupations</v>
      </c>
      <c r="BP65" s="18">
        <f t="shared" ref="BP65:BT70" si="163">BP28/BP$35*100</f>
        <v>8.3400754218050093</v>
      </c>
      <c r="BQ65" s="18">
        <f t="shared" si="163"/>
        <v>7.3753932154729158</v>
      </c>
      <c r="BR65" s="18">
        <f t="shared" si="163"/>
        <v>7.529608949248531</v>
      </c>
      <c r="BS65" s="18">
        <f t="shared" si="163"/>
        <v>7.2351513899258775</v>
      </c>
      <c r="BT65" s="18">
        <f t="shared" si="163"/>
        <v>6.8074552431039947</v>
      </c>
      <c r="BV65" s="68">
        <f t="shared" si="129"/>
        <v>-16.619121153666352</v>
      </c>
      <c r="BW65" s="69">
        <f t="shared" si="130"/>
        <v>45.418373685112599</v>
      </c>
      <c r="BX65" s="69">
        <f t="shared" si="131"/>
        <v>28.799252531446246</v>
      </c>
      <c r="BZ65" t="str">
        <f t="shared" si="146"/>
        <v>71 Sales occupations</v>
      </c>
      <c r="CA65" s="18">
        <f t="shared" ref="CA65:CE70" si="164">CA28/CA$35*100</f>
        <v>8.1382814328993813</v>
      </c>
      <c r="CB65" s="18">
        <f t="shared" si="164"/>
        <v>7.8610835146865012</v>
      </c>
      <c r="CC65" s="18">
        <f t="shared" si="164"/>
        <v>7.9115293309695067</v>
      </c>
      <c r="CD65" s="18">
        <f t="shared" si="164"/>
        <v>7.382343717601529</v>
      </c>
      <c r="CE65" s="18">
        <f t="shared" si="164"/>
        <v>4.9972142465133125</v>
      </c>
      <c r="CG65" s="68">
        <f t="shared" si="133"/>
        <v>-66.408017882388094</v>
      </c>
      <c r="CH65" s="69">
        <f t="shared" si="134"/>
        <v>24.641935287726604</v>
      </c>
      <c r="CI65" s="69">
        <f t="shared" si="135"/>
        <v>-41.766082594661491</v>
      </c>
      <c r="CK65" t="str">
        <f t="shared" si="147"/>
        <v>71 Sales occupations</v>
      </c>
      <c r="CL65" s="18">
        <f t="shared" ref="CL65:CP70" si="165">CL28/CL$35*100</f>
        <v>9.630239638345877</v>
      </c>
      <c r="CM65" s="18">
        <f t="shared" si="165"/>
        <v>8.7092568996279081</v>
      </c>
      <c r="CN65" s="18">
        <f t="shared" si="165"/>
        <v>9.1298534967506804</v>
      </c>
      <c r="CO65" s="18">
        <f t="shared" si="165"/>
        <v>8.0670458025356702</v>
      </c>
      <c r="CP65" s="18">
        <f t="shared" si="165"/>
        <v>6.6611053554449935</v>
      </c>
      <c r="CR65" s="68">
        <f t="shared" si="137"/>
        <v>-72.115540639669874</v>
      </c>
      <c r="CS65" s="69">
        <f t="shared" si="138"/>
        <v>13.733325195298685</v>
      </c>
      <c r="CT65" s="69">
        <f t="shared" si="139"/>
        <v>-58.382215444371191</v>
      </c>
    </row>
    <row r="66" spans="1:98" x14ac:dyDescent="0.25">
      <c r="A66" t="str">
        <f t="shared" si="103"/>
        <v>72 Customer service occupations</v>
      </c>
      <c r="B66" s="18">
        <f t="shared" si="157"/>
        <v>0.50275382735522955</v>
      </c>
      <c r="C66" s="18">
        <f t="shared" si="157"/>
        <v>0.44154849184472073</v>
      </c>
      <c r="D66" s="18">
        <f t="shared" si="157"/>
        <v>0.48170114547015042</v>
      </c>
      <c r="E66" s="18">
        <f t="shared" si="157"/>
        <v>0.60664398558346144</v>
      </c>
      <c r="F66" s="18">
        <f t="shared" si="157"/>
        <v>0.7381859695209807</v>
      </c>
      <c r="H66" s="68">
        <f t="shared" si="105"/>
        <v>191.22303693997824</v>
      </c>
      <c r="I66" s="69">
        <f t="shared" si="106"/>
        <v>83.570987293940249</v>
      </c>
      <c r="J66" s="69">
        <f t="shared" si="107"/>
        <v>274.79402423391844</v>
      </c>
      <c r="L66" t="str">
        <f t="shared" si="140"/>
        <v>72 Customer service occupations</v>
      </c>
      <c r="M66" s="18">
        <f t="shared" si="158"/>
        <v>0.70928409680623961</v>
      </c>
      <c r="N66" s="18">
        <f t="shared" si="158"/>
        <v>0.6996463085073763</v>
      </c>
      <c r="O66" s="18">
        <f t="shared" si="158"/>
        <v>0.74302930190104344</v>
      </c>
      <c r="P66" s="18">
        <f t="shared" si="158"/>
        <v>0.84865607538635413</v>
      </c>
      <c r="Q66" s="18">
        <f t="shared" si="158"/>
        <v>0.9944991505002363</v>
      </c>
      <c r="S66" s="68">
        <f t="shared" si="109"/>
        <v>149.3812756706244</v>
      </c>
      <c r="T66" s="69">
        <f t="shared" si="110"/>
        <v>78.833285842590115</v>
      </c>
      <c r="U66" s="69">
        <f t="shared" si="111"/>
        <v>228.21456151321451</v>
      </c>
      <c r="W66" t="str">
        <f t="shared" si="141"/>
        <v>72 Customer service occupations</v>
      </c>
      <c r="X66" s="18">
        <f t="shared" si="159"/>
        <v>1.507420405611041</v>
      </c>
      <c r="Y66" s="18">
        <f t="shared" si="159"/>
        <v>1.4488634830747493</v>
      </c>
      <c r="Z66" s="18">
        <f t="shared" si="159"/>
        <v>1.5577049579590028</v>
      </c>
      <c r="AA66" s="18">
        <f t="shared" si="159"/>
        <v>1.7107234593404157</v>
      </c>
      <c r="AB66" s="18">
        <f t="shared" si="159"/>
        <v>1.9312658076053955</v>
      </c>
      <c r="AD66" s="68">
        <f t="shared" si="113"/>
        <v>52.941178148091993</v>
      </c>
      <c r="AE66" s="69">
        <f t="shared" si="114"/>
        <v>66.902251335222786</v>
      </c>
      <c r="AF66" s="69">
        <f t="shared" si="115"/>
        <v>119.84342948331476</v>
      </c>
      <c r="AH66" t="str">
        <f t="shared" si="142"/>
        <v>72 Customer service occupations</v>
      </c>
      <c r="AI66" s="18">
        <f t="shared" si="160"/>
        <v>1.3679870431031564</v>
      </c>
      <c r="AJ66" s="18">
        <f t="shared" si="160"/>
        <v>1.4922640440583854</v>
      </c>
      <c r="AK66" s="18">
        <f t="shared" si="160"/>
        <v>1.694134838945472</v>
      </c>
      <c r="AL66" s="18">
        <f t="shared" si="160"/>
        <v>2.0843112682992904</v>
      </c>
      <c r="AM66" s="18">
        <f t="shared" si="160"/>
        <v>2.6328780459623453</v>
      </c>
      <c r="AO66" s="68">
        <f t="shared" si="117"/>
        <v>63.983922190997276</v>
      </c>
      <c r="AP66" s="69">
        <f t="shared" si="118"/>
        <v>69.510993031676733</v>
      </c>
      <c r="AQ66" s="69">
        <f t="shared" si="119"/>
        <v>133.494915222674</v>
      </c>
      <c r="AS66" t="str">
        <f t="shared" si="143"/>
        <v>72 Customer service occupations</v>
      </c>
      <c r="AT66" s="18">
        <f t="shared" si="161"/>
        <v>2.8108107567413763</v>
      </c>
      <c r="AU66" s="18">
        <f t="shared" si="161"/>
        <v>2.5413562865185755</v>
      </c>
      <c r="AV66" s="18">
        <f t="shared" si="161"/>
        <v>2.5884751772625703</v>
      </c>
      <c r="AW66" s="18">
        <f t="shared" si="161"/>
        <v>3.0008356946209926</v>
      </c>
      <c r="AX66" s="18">
        <f t="shared" si="161"/>
        <v>3.087851422399202</v>
      </c>
      <c r="AZ66" s="68">
        <f t="shared" si="121"/>
        <v>40.509256304848776</v>
      </c>
      <c r="BA66" s="69">
        <f t="shared" si="122"/>
        <v>57.395012514384071</v>
      </c>
      <c r="BB66" s="69">
        <f t="shared" si="123"/>
        <v>97.90426881923284</v>
      </c>
      <c r="BD66" t="str">
        <f t="shared" si="144"/>
        <v>72 Customer service occupations</v>
      </c>
      <c r="BE66" s="18">
        <f t="shared" si="162"/>
        <v>2.1342638401490421</v>
      </c>
      <c r="BF66" s="18">
        <f t="shared" si="162"/>
        <v>1.9964440980293645</v>
      </c>
      <c r="BG66" s="18">
        <f t="shared" si="162"/>
        <v>2.1181667840161329</v>
      </c>
      <c r="BH66" s="18">
        <f t="shared" si="162"/>
        <v>2.3037891661051582</v>
      </c>
      <c r="BI66" s="18">
        <f t="shared" si="162"/>
        <v>2.4988101379492775</v>
      </c>
      <c r="BK66" s="68">
        <f t="shared" si="125"/>
        <v>24.585096540581642</v>
      </c>
      <c r="BL66" s="69">
        <f t="shared" si="126"/>
        <v>48.085856942353161</v>
      </c>
      <c r="BM66" s="69">
        <f t="shared" si="127"/>
        <v>72.670953482934792</v>
      </c>
      <c r="BO66" t="str">
        <f t="shared" si="145"/>
        <v>72 Customer service occupations</v>
      </c>
      <c r="BP66" s="18">
        <f t="shared" si="163"/>
        <v>2.1812202191239249</v>
      </c>
      <c r="BQ66" s="18">
        <f t="shared" si="163"/>
        <v>2.1650870790997483</v>
      </c>
      <c r="BR66" s="18">
        <f t="shared" si="163"/>
        <v>2.2279453768428232</v>
      </c>
      <c r="BS66" s="18">
        <f t="shared" si="163"/>
        <v>2.3771133853313642</v>
      </c>
      <c r="BT66" s="18">
        <f t="shared" si="163"/>
        <v>2.5676962113437773</v>
      </c>
      <c r="BV66" s="68">
        <f t="shared" si="129"/>
        <v>6.2901932649460974</v>
      </c>
      <c r="BW66" s="69">
        <f t="shared" si="130"/>
        <v>52.573764525552789</v>
      </c>
      <c r="BX66" s="69">
        <f t="shared" si="131"/>
        <v>58.863957790498887</v>
      </c>
      <c r="BZ66" t="str">
        <f t="shared" si="146"/>
        <v>72 Customer service occupations</v>
      </c>
      <c r="CA66" s="18">
        <f t="shared" si="164"/>
        <v>1.7800037320980275</v>
      </c>
      <c r="CB66" s="18">
        <f t="shared" si="164"/>
        <v>1.6765811907473556</v>
      </c>
      <c r="CC66" s="18">
        <f t="shared" si="164"/>
        <v>1.8085821491384004</v>
      </c>
      <c r="CD66" s="18">
        <f t="shared" si="164"/>
        <v>1.9277494299574764</v>
      </c>
      <c r="CE66" s="18">
        <f t="shared" si="164"/>
        <v>2.555793454314681</v>
      </c>
      <c r="CG66" s="68">
        <f t="shared" si="133"/>
        <v>-24.84539145645266</v>
      </c>
      <c r="CH66" s="69">
        <f t="shared" si="134"/>
        <v>29.399905572849605</v>
      </c>
      <c r="CI66" s="69">
        <f t="shared" si="135"/>
        <v>4.5545141163969429</v>
      </c>
      <c r="CK66" t="str">
        <f t="shared" si="147"/>
        <v>72 Customer service occupations</v>
      </c>
      <c r="CL66" s="18">
        <f t="shared" si="165"/>
        <v>1.2533756644153222</v>
      </c>
      <c r="CM66" s="18">
        <f t="shared" si="165"/>
        <v>1.5648361876692405</v>
      </c>
      <c r="CN66" s="18">
        <f t="shared" si="165"/>
        <v>1.9043151751756531</v>
      </c>
      <c r="CO66" s="18">
        <f t="shared" si="165"/>
        <v>2.57665053247662</v>
      </c>
      <c r="CP66" s="18">
        <f t="shared" si="165"/>
        <v>3.6128462270539563</v>
      </c>
      <c r="CR66" s="68">
        <f t="shared" si="137"/>
        <v>-27.491255824041776</v>
      </c>
      <c r="CS66" s="69">
        <f t="shared" si="138"/>
        <v>27.559961128639443</v>
      </c>
      <c r="CT66" s="69">
        <f t="shared" si="139"/>
        <v>6.8705304597665953E-2</v>
      </c>
    </row>
    <row r="67" spans="1:98" x14ac:dyDescent="0.25">
      <c r="A67" t="str">
        <f t="shared" si="103"/>
        <v>81 Process, plant and machine operatives</v>
      </c>
      <c r="B67" s="18">
        <f t="shared" si="157"/>
        <v>0.48408942327986892</v>
      </c>
      <c r="C67" s="18">
        <f t="shared" si="157"/>
        <v>0.48476278433044345</v>
      </c>
      <c r="D67" s="18">
        <f t="shared" si="157"/>
        <v>0.43904850396097722</v>
      </c>
      <c r="E67" s="18">
        <f t="shared" si="157"/>
        <v>0.52926125158422899</v>
      </c>
      <c r="F67" s="18">
        <f t="shared" si="157"/>
        <v>0.79485146383272665</v>
      </c>
      <c r="H67" s="68">
        <f t="shared" si="105"/>
        <v>244.04170861312457</v>
      </c>
      <c r="I67" s="69">
        <f t="shared" si="106"/>
        <v>113.94436782543822</v>
      </c>
      <c r="J67" s="69">
        <f t="shared" si="107"/>
        <v>357.9860764385628</v>
      </c>
      <c r="L67" t="str">
        <f t="shared" si="140"/>
        <v>81 Process, plant and machine operatives</v>
      </c>
      <c r="M67" s="18">
        <f t="shared" si="158"/>
        <v>0.53567886524131192</v>
      </c>
      <c r="N67" s="18">
        <f t="shared" si="158"/>
        <v>0.5308217325258584</v>
      </c>
      <c r="O67" s="18">
        <f t="shared" si="158"/>
        <v>0.44557901841015052</v>
      </c>
      <c r="P67" s="18">
        <f t="shared" si="158"/>
        <v>0.58909403354242884</v>
      </c>
      <c r="Q67" s="18">
        <f t="shared" si="158"/>
        <v>0.74940164140053744</v>
      </c>
      <c r="S67" s="68">
        <f t="shared" si="109"/>
        <v>213.36845330885046</v>
      </c>
      <c r="T67" s="69">
        <f t="shared" si="110"/>
        <v>97.124732133123331</v>
      </c>
      <c r="U67" s="69">
        <f t="shared" si="111"/>
        <v>310.49318544197376</v>
      </c>
      <c r="W67" t="str">
        <f t="shared" si="141"/>
        <v>81 Process, plant and machine operatives</v>
      </c>
      <c r="X67" s="18">
        <f t="shared" si="159"/>
        <v>0.77165002385628245</v>
      </c>
      <c r="Y67" s="18">
        <f t="shared" si="159"/>
        <v>0.76611509390561505</v>
      </c>
      <c r="Z67" s="18">
        <f t="shared" si="159"/>
        <v>0.65868962477772941</v>
      </c>
      <c r="AA67" s="18">
        <f t="shared" si="159"/>
        <v>0.9199624502391196</v>
      </c>
      <c r="AB67" s="18">
        <f t="shared" si="159"/>
        <v>1.331355460906426</v>
      </c>
      <c r="AD67" s="68">
        <f t="shared" si="113"/>
        <v>149.33358599543084</v>
      </c>
      <c r="AE67" s="69">
        <f t="shared" si="114"/>
        <v>97.545438905540578</v>
      </c>
      <c r="AF67" s="69">
        <f t="shared" si="115"/>
        <v>246.87902490097139</v>
      </c>
      <c r="AH67" t="str">
        <f t="shared" si="142"/>
        <v>81 Process, plant and machine operatives</v>
      </c>
      <c r="AI67" s="18">
        <f t="shared" si="160"/>
        <v>1.1009454578174209</v>
      </c>
      <c r="AJ67" s="18">
        <f t="shared" si="160"/>
        <v>1.1623356031282421</v>
      </c>
      <c r="AK67" s="18">
        <f t="shared" si="160"/>
        <v>0.99413791757365089</v>
      </c>
      <c r="AL67" s="18">
        <f t="shared" si="160"/>
        <v>1.2846019104178921</v>
      </c>
      <c r="AM67" s="18">
        <f t="shared" si="160"/>
        <v>1.4997349940679967</v>
      </c>
      <c r="AO67" s="68">
        <f t="shared" si="117"/>
        <v>59.179225285443437</v>
      </c>
      <c r="AP67" s="69">
        <f t="shared" si="118"/>
        <v>62.715632266145526</v>
      </c>
      <c r="AQ67" s="69">
        <f t="shared" si="119"/>
        <v>121.89485755158896</v>
      </c>
      <c r="AS67" t="str">
        <f t="shared" si="143"/>
        <v>81 Process, plant and machine operatives</v>
      </c>
      <c r="AT67" s="18">
        <f t="shared" si="161"/>
        <v>2.9057698552938933</v>
      </c>
      <c r="AU67" s="18">
        <f t="shared" si="161"/>
        <v>2.7686083994625776</v>
      </c>
      <c r="AV67" s="18">
        <f t="shared" si="161"/>
        <v>2.3281275232212666</v>
      </c>
      <c r="AW67" s="18">
        <f t="shared" si="161"/>
        <v>2.7663300707680571</v>
      </c>
      <c r="AX67" s="18">
        <f t="shared" si="161"/>
        <v>3.1193056500852299</v>
      </c>
      <c r="AZ67" s="68">
        <f t="shared" si="121"/>
        <v>57.813339899494146</v>
      </c>
      <c r="BA67" s="69">
        <f t="shared" si="122"/>
        <v>63.769336563401005</v>
      </c>
      <c r="BB67" s="69">
        <f t="shared" si="123"/>
        <v>121.58267646289514</v>
      </c>
      <c r="BD67" t="str">
        <f t="shared" si="144"/>
        <v>81 Process, plant and machine operatives</v>
      </c>
      <c r="BE67" s="18">
        <f t="shared" si="162"/>
        <v>4.5967225429445779</v>
      </c>
      <c r="BF67" s="18">
        <f t="shared" si="162"/>
        <v>4.6195112021718536</v>
      </c>
      <c r="BG67" s="18">
        <f t="shared" si="162"/>
        <v>4.1441106637248728</v>
      </c>
      <c r="BH67" s="18">
        <f t="shared" si="162"/>
        <v>4.7800166239424087</v>
      </c>
      <c r="BI67" s="18">
        <f t="shared" si="162"/>
        <v>5.1536327690581141</v>
      </c>
      <c r="BK67" s="68">
        <f t="shared" si="125"/>
        <v>31.33337711256296</v>
      </c>
      <c r="BL67" s="69">
        <f t="shared" si="126"/>
        <v>45.508799501211186</v>
      </c>
      <c r="BM67" s="69">
        <f t="shared" si="127"/>
        <v>76.842176613774143</v>
      </c>
      <c r="BO67" t="str">
        <f t="shared" si="145"/>
        <v>81 Process, plant and machine operatives</v>
      </c>
      <c r="BP67" s="18">
        <f t="shared" si="163"/>
        <v>5.8135441868453359</v>
      </c>
      <c r="BQ67" s="18">
        <f t="shared" si="163"/>
        <v>5.9123481217782459</v>
      </c>
      <c r="BR67" s="18">
        <f t="shared" si="163"/>
        <v>5.4930835376377285</v>
      </c>
      <c r="BS67" s="18">
        <f t="shared" si="163"/>
        <v>6.2108938839346983</v>
      </c>
      <c r="BT67" s="18">
        <f t="shared" si="163"/>
        <v>6.5463968827309662</v>
      </c>
      <c r="BV67" s="68">
        <f t="shared" si="129"/>
        <v>9.9107630584879036</v>
      </c>
      <c r="BW67" s="69">
        <f t="shared" si="130"/>
        <v>48.116405723023412</v>
      </c>
      <c r="BX67" s="69">
        <f t="shared" si="131"/>
        <v>58.027168781511321</v>
      </c>
      <c r="BZ67" t="str">
        <f t="shared" si="146"/>
        <v>81 Process, plant and machine operatives</v>
      </c>
      <c r="CA67" s="18">
        <f t="shared" si="164"/>
        <v>7.649944935314104</v>
      </c>
      <c r="CB67" s="18">
        <f t="shared" si="164"/>
        <v>7.7245392672645448</v>
      </c>
      <c r="CC67" s="18">
        <f t="shared" si="164"/>
        <v>7.2571758451017976</v>
      </c>
      <c r="CD67" s="18">
        <f t="shared" si="164"/>
        <v>7.7242734502088375</v>
      </c>
      <c r="CE67" s="18">
        <f t="shared" si="164"/>
        <v>5.8173600090044406</v>
      </c>
      <c r="CG67" s="68">
        <f t="shared" si="133"/>
        <v>-57.368913800354008</v>
      </c>
      <c r="CH67" s="69">
        <f t="shared" si="134"/>
        <v>28.280977752590502</v>
      </c>
      <c r="CI67" s="69">
        <f t="shared" si="135"/>
        <v>-29.087936047763503</v>
      </c>
      <c r="CK67" t="str">
        <f t="shared" si="147"/>
        <v>81 Process, plant and machine operatives</v>
      </c>
      <c r="CL67" s="18">
        <f t="shared" si="165"/>
        <v>10.374548304902191</v>
      </c>
      <c r="CM67" s="18">
        <f t="shared" si="165"/>
        <v>8.9150089127256251</v>
      </c>
      <c r="CN67" s="18">
        <f t="shared" si="165"/>
        <v>7.88300725176037</v>
      </c>
      <c r="CO67" s="18">
        <f t="shared" si="165"/>
        <v>4.2358326110800029</v>
      </c>
      <c r="CP67" s="18">
        <f t="shared" si="165"/>
        <v>2.3630505930109278</v>
      </c>
      <c r="CR67" s="68">
        <f t="shared" si="137"/>
        <v>-88.543266038997203</v>
      </c>
      <c r="CS67" s="69">
        <f t="shared" si="138"/>
        <v>8.577524454383747</v>
      </c>
      <c r="CT67" s="69">
        <f t="shared" si="139"/>
        <v>-79.965741584613454</v>
      </c>
    </row>
    <row r="68" spans="1:98" x14ac:dyDescent="0.25">
      <c r="A68" t="str">
        <f t="shared" si="103"/>
        <v>82 Transport and mobile machine drivers and operatives</v>
      </c>
      <c r="B68" s="18">
        <f t="shared" si="157"/>
        <v>0.71979892985788285</v>
      </c>
      <c r="C68" s="18">
        <f t="shared" si="157"/>
        <v>0.82667170524736922</v>
      </c>
      <c r="D68" s="18">
        <f t="shared" si="157"/>
        <v>0.63309537431689888</v>
      </c>
      <c r="E68" s="18">
        <f t="shared" si="157"/>
        <v>0.80365842804801213</v>
      </c>
      <c r="F68" s="18">
        <f t="shared" si="157"/>
        <v>1.0129276604208644</v>
      </c>
      <c r="H68" s="68">
        <f t="shared" si="105"/>
        <v>204.05133139927432</v>
      </c>
      <c r="I68" s="69">
        <f t="shared" si="106"/>
        <v>120.01015780936577</v>
      </c>
      <c r="J68" s="69">
        <f t="shared" si="107"/>
        <v>324.06148920864013</v>
      </c>
      <c r="L68" t="str">
        <f t="shared" si="140"/>
        <v>82 Transport and mobile machine drivers and operatives</v>
      </c>
      <c r="M68" s="18">
        <f t="shared" si="158"/>
        <v>0.67189281847653182</v>
      </c>
      <c r="N68" s="18">
        <f t="shared" si="158"/>
        <v>0.66500219528346938</v>
      </c>
      <c r="O68" s="18">
        <f t="shared" si="158"/>
        <v>0.52556908254147827</v>
      </c>
      <c r="P68" s="18">
        <f t="shared" si="158"/>
        <v>0.63654527575530795</v>
      </c>
      <c r="Q68" s="18">
        <f t="shared" si="158"/>
        <v>0.76468257644827109</v>
      </c>
      <c r="S68" s="68">
        <f t="shared" si="109"/>
        <v>171.09203147083284</v>
      </c>
      <c r="T68" s="69">
        <f t="shared" si="110"/>
        <v>108.28442195295015</v>
      </c>
      <c r="U68" s="69">
        <f t="shared" si="111"/>
        <v>279.376453423783</v>
      </c>
      <c r="W68" t="str">
        <f t="shared" si="141"/>
        <v>82 Transport and mobile machine drivers and operatives</v>
      </c>
      <c r="X68" s="18">
        <f t="shared" si="159"/>
        <v>0.99874833518705264</v>
      </c>
      <c r="Y68" s="18">
        <f t="shared" si="159"/>
        <v>1.1361053783830466</v>
      </c>
      <c r="Z68" s="18">
        <f t="shared" si="159"/>
        <v>1.0045891629481396</v>
      </c>
      <c r="AA68" s="18">
        <f t="shared" si="159"/>
        <v>1.2215720838198272</v>
      </c>
      <c r="AB68" s="18">
        <f t="shared" si="159"/>
        <v>1.519421096645112</v>
      </c>
      <c r="AD68" s="68">
        <f t="shared" si="113"/>
        <v>86.576630359202909</v>
      </c>
      <c r="AE68" s="69">
        <f t="shared" si="114"/>
        <v>95.027772482309331</v>
      </c>
      <c r="AF68" s="69">
        <f t="shared" si="115"/>
        <v>181.60440284151221</v>
      </c>
      <c r="AH68" t="str">
        <f t="shared" si="142"/>
        <v>82 Transport and mobile machine drivers and operatives</v>
      </c>
      <c r="AI68" s="18">
        <f t="shared" si="160"/>
        <v>1.7113773762488702</v>
      </c>
      <c r="AJ68" s="18">
        <f t="shared" si="160"/>
        <v>1.9922144350433306</v>
      </c>
      <c r="AK68" s="18">
        <f t="shared" si="160"/>
        <v>1.6612319141873808</v>
      </c>
      <c r="AL68" s="18">
        <f t="shared" si="160"/>
        <v>2.1168315735686805</v>
      </c>
      <c r="AM68" s="18">
        <f t="shared" si="160"/>
        <v>2.501380310429969</v>
      </c>
      <c r="AO68" s="68">
        <f t="shared" si="117"/>
        <v>58.879535430875549</v>
      </c>
      <c r="AP68" s="69">
        <f t="shared" si="118"/>
        <v>83.476970167495267</v>
      </c>
      <c r="AQ68" s="69">
        <f t="shared" si="119"/>
        <v>142.35650559837083</v>
      </c>
      <c r="AS68" t="str">
        <f t="shared" si="143"/>
        <v>82 Transport and mobile machine drivers and operatives</v>
      </c>
      <c r="AT68" s="18">
        <f t="shared" si="161"/>
        <v>2.8683474192345413</v>
      </c>
      <c r="AU68" s="18">
        <f t="shared" si="161"/>
        <v>3.0516703942165551</v>
      </c>
      <c r="AV68" s="18">
        <f t="shared" si="161"/>
        <v>2.6588357646305205</v>
      </c>
      <c r="AW68" s="18">
        <f t="shared" si="161"/>
        <v>3.0086680753706032</v>
      </c>
      <c r="AX68" s="18">
        <f t="shared" si="161"/>
        <v>3.2573447962503916</v>
      </c>
      <c r="AZ68" s="68">
        <f t="shared" si="121"/>
        <v>44.299479440252206</v>
      </c>
      <c r="BA68" s="69">
        <f t="shared" si="122"/>
        <v>79.97458328567572</v>
      </c>
      <c r="BB68" s="69">
        <f t="shared" si="123"/>
        <v>124.27406272592793</v>
      </c>
      <c r="BD68" t="str">
        <f t="shared" si="144"/>
        <v>82 Transport and mobile machine drivers and operatives</v>
      </c>
      <c r="BE68" s="18">
        <f t="shared" si="162"/>
        <v>3.8692555545856053</v>
      </c>
      <c r="BF68" s="18">
        <f t="shared" si="162"/>
        <v>4.0547357862361171</v>
      </c>
      <c r="BG68" s="18">
        <f t="shared" si="162"/>
        <v>3.8873788306368797</v>
      </c>
      <c r="BH68" s="18">
        <f t="shared" si="162"/>
        <v>4.4312737514342979</v>
      </c>
      <c r="BI68" s="18">
        <f t="shared" si="162"/>
        <v>5.1669568101852361</v>
      </c>
      <c r="BK68" s="68">
        <f t="shared" si="125"/>
        <v>40.368918310203235</v>
      </c>
      <c r="BL68" s="69">
        <f t="shared" si="126"/>
        <v>63.249440173506301</v>
      </c>
      <c r="BM68" s="69">
        <f t="shared" si="127"/>
        <v>103.61835848370953</v>
      </c>
      <c r="BO68" t="str">
        <f t="shared" si="145"/>
        <v>82 Transport and mobile machine drivers and operatives</v>
      </c>
      <c r="BP68" s="18">
        <f t="shared" si="163"/>
        <v>6.3276462953332491</v>
      </c>
      <c r="BQ68" s="18">
        <f t="shared" si="163"/>
        <v>6.8626031018112519</v>
      </c>
      <c r="BR68" s="18">
        <f t="shared" si="163"/>
        <v>6.6020550924002883</v>
      </c>
      <c r="BS68" s="18">
        <f t="shared" si="163"/>
        <v>7.5365881988285421</v>
      </c>
      <c r="BT68" s="18">
        <f t="shared" si="163"/>
        <v>9.019946409367531</v>
      </c>
      <c r="BV68" s="68">
        <f t="shared" si="129"/>
        <v>26.002426460394208</v>
      </c>
      <c r="BW68" s="69">
        <f t="shared" si="130"/>
        <v>68.518925681874748</v>
      </c>
      <c r="BX68" s="69">
        <f t="shared" si="131"/>
        <v>94.521352142268967</v>
      </c>
      <c r="BZ68" t="str">
        <f t="shared" si="146"/>
        <v>82 Transport and mobile machine drivers and operatives</v>
      </c>
      <c r="CA68" s="18">
        <f t="shared" si="164"/>
        <v>8.9333286343988405</v>
      </c>
      <c r="CB68" s="18">
        <f t="shared" si="164"/>
        <v>8.9725277607300633</v>
      </c>
      <c r="CC68" s="18">
        <f t="shared" si="164"/>
        <v>8.8639172973001834</v>
      </c>
      <c r="CD68" s="18">
        <f t="shared" si="164"/>
        <v>9.1732610923968068</v>
      </c>
      <c r="CE68" s="18">
        <f t="shared" si="164"/>
        <v>11.115031303222132</v>
      </c>
      <c r="CG68" s="68">
        <f t="shared" si="133"/>
        <v>-33.311169971509102</v>
      </c>
      <c r="CH68" s="69">
        <f t="shared" si="134"/>
        <v>38.485197792218344</v>
      </c>
      <c r="CI68" s="69">
        <f t="shared" si="135"/>
        <v>5.1740278207092398</v>
      </c>
      <c r="CK68" t="str">
        <f t="shared" si="147"/>
        <v>82 Transport and mobile machine drivers and operatives</v>
      </c>
      <c r="CL68" s="18">
        <f t="shared" si="165"/>
        <v>10.151529425600957</v>
      </c>
      <c r="CM68" s="18">
        <f t="shared" si="165"/>
        <v>12.418734266284071</v>
      </c>
      <c r="CN68" s="18">
        <f t="shared" si="165"/>
        <v>11.517863566138374</v>
      </c>
      <c r="CO68" s="18">
        <f t="shared" si="165"/>
        <v>11.040485745052528</v>
      </c>
      <c r="CP68" s="18">
        <f t="shared" si="165"/>
        <v>7.4032473742576181</v>
      </c>
      <c r="CR68" s="68">
        <f t="shared" si="137"/>
        <v>-75.434247845885864</v>
      </c>
      <c r="CS68" s="69">
        <f t="shared" si="138"/>
        <v>21.229650055321368</v>
      </c>
      <c r="CT68" s="69">
        <f t="shared" si="139"/>
        <v>-54.204597790564478</v>
      </c>
    </row>
    <row r="69" spans="1:98" x14ac:dyDescent="0.25">
      <c r="A69" t="str">
        <f t="shared" si="103"/>
        <v>91 Elementary trades and related occupations</v>
      </c>
      <c r="B69" s="18">
        <f t="shared" si="157"/>
        <v>7.0828032778661862E-3</v>
      </c>
      <c r="C69" s="18">
        <f t="shared" si="157"/>
        <v>4.9753146538564713E-3</v>
      </c>
      <c r="D69" s="18">
        <f t="shared" si="157"/>
        <v>4.0631190999671565E-3</v>
      </c>
      <c r="E69" s="18">
        <f t="shared" si="157"/>
        <v>1.7619177626521633E-2</v>
      </c>
      <c r="F69" s="18">
        <f t="shared" si="157"/>
        <v>3.2581734221113955E-2</v>
      </c>
      <c r="H69" s="68">
        <f t="shared" si="105"/>
        <v>1423.885241551176</v>
      </c>
      <c r="I69" s="69">
        <f t="shared" si="106"/>
        <v>563.68429243351648</v>
      </c>
      <c r="J69" s="69">
        <f t="shared" si="107"/>
        <v>1987.5695339846925</v>
      </c>
      <c r="L69" t="str">
        <f t="shared" si="140"/>
        <v>91 Elementary trades and related occupations</v>
      </c>
      <c r="M69" s="18">
        <f t="shared" si="158"/>
        <v>0.27622357263034936</v>
      </c>
      <c r="N69" s="18">
        <f t="shared" si="158"/>
        <v>0.24488905084560034</v>
      </c>
      <c r="O69" s="18">
        <f t="shared" si="158"/>
        <v>0.17184541518429053</v>
      </c>
      <c r="P69" s="18">
        <f t="shared" si="158"/>
        <v>0.37351548683034352</v>
      </c>
      <c r="Q69" s="18">
        <f t="shared" si="158"/>
        <v>0.62895895091044707</v>
      </c>
      <c r="S69" s="68">
        <f t="shared" si="109"/>
        <v>581.94558002858878</v>
      </c>
      <c r="T69" s="69">
        <f t="shared" si="110"/>
        <v>236.49003186315886</v>
      </c>
      <c r="U69" s="69">
        <f t="shared" si="111"/>
        <v>818.43561189174761</v>
      </c>
      <c r="W69" t="str">
        <f t="shared" si="141"/>
        <v>91 Elementary trades and related occupations</v>
      </c>
      <c r="X69" s="18">
        <f t="shared" si="159"/>
        <v>0.46894975667567246</v>
      </c>
      <c r="Y69" s="18">
        <f t="shared" si="159"/>
        <v>0.38361969294709697</v>
      </c>
      <c r="Z69" s="18">
        <f t="shared" si="159"/>
        <v>0.31909536075396433</v>
      </c>
      <c r="AA69" s="18">
        <f t="shared" si="159"/>
        <v>0.91365725452080182</v>
      </c>
      <c r="AB69" s="18">
        <f t="shared" si="159"/>
        <v>1.2740903851059593</v>
      </c>
      <c r="AD69" s="68">
        <f t="shared" si="113"/>
        <v>392.54660532369667</v>
      </c>
      <c r="AE69" s="69">
        <f t="shared" si="114"/>
        <v>256.01845326653489</v>
      </c>
      <c r="AF69" s="69">
        <f t="shared" si="115"/>
        <v>648.56505859023162</v>
      </c>
      <c r="AH69" t="str">
        <f t="shared" si="142"/>
        <v>91 Elementary trades and related occupations</v>
      </c>
      <c r="AI69" s="18">
        <f t="shared" si="160"/>
        <v>1.0116511596113866</v>
      </c>
      <c r="AJ69" s="18">
        <f t="shared" si="160"/>
        <v>0.90478492328650051</v>
      </c>
      <c r="AK69" s="18">
        <f t="shared" si="160"/>
        <v>0.73650904501677705</v>
      </c>
      <c r="AL69" s="18">
        <f t="shared" si="160"/>
        <v>2.0997153473431958</v>
      </c>
      <c r="AM69" s="18">
        <f t="shared" si="160"/>
        <v>3.0064705349510499</v>
      </c>
      <c r="AO69" s="68">
        <f t="shared" si="117"/>
        <v>330.72230985390723</v>
      </c>
      <c r="AP69" s="69">
        <f t="shared" si="118"/>
        <v>228.39571206114425</v>
      </c>
      <c r="AQ69" s="69">
        <f t="shared" si="119"/>
        <v>559.11802191505137</v>
      </c>
      <c r="AS69" t="str">
        <f t="shared" si="143"/>
        <v>91 Elementary trades and related occupations</v>
      </c>
      <c r="AT69" s="18">
        <f t="shared" si="161"/>
        <v>1.1001427174808256</v>
      </c>
      <c r="AU69" s="18">
        <f t="shared" si="161"/>
        <v>0.9784712448508206</v>
      </c>
      <c r="AV69" s="18">
        <f t="shared" si="161"/>
        <v>0.88713054808415159</v>
      </c>
      <c r="AW69" s="18">
        <f t="shared" si="161"/>
        <v>2.428352765027006</v>
      </c>
      <c r="AX69" s="18">
        <f t="shared" si="161"/>
        <v>3.1861414227727662</v>
      </c>
      <c r="AZ69" s="68">
        <f t="shared" si="121"/>
        <v>323.02892039758746</v>
      </c>
      <c r="BA69" s="69">
        <f t="shared" si="122"/>
        <v>207.70937486852154</v>
      </c>
      <c r="BB69" s="69">
        <f t="shared" si="123"/>
        <v>530.73829526610905</v>
      </c>
      <c r="BD69" t="str">
        <f t="shared" si="144"/>
        <v>91 Elementary trades and related occupations</v>
      </c>
      <c r="BE69" s="18">
        <f t="shared" si="162"/>
        <v>1.3612906212318843</v>
      </c>
      <c r="BF69" s="18">
        <f t="shared" si="162"/>
        <v>1.2140226934744935</v>
      </c>
      <c r="BG69" s="18">
        <f t="shared" si="162"/>
        <v>1.0889582793310755</v>
      </c>
      <c r="BH69" s="18">
        <f t="shared" si="162"/>
        <v>1.9967229843747645</v>
      </c>
      <c r="BI69" s="18">
        <f t="shared" si="162"/>
        <v>2.6147927255074745</v>
      </c>
      <c r="BK69" s="68">
        <f t="shared" si="125"/>
        <v>153.58234523760342</v>
      </c>
      <c r="BL69" s="69">
        <f t="shared" si="126"/>
        <v>89.716069706984328</v>
      </c>
      <c r="BM69" s="69">
        <f t="shared" si="127"/>
        <v>243.29841494458773</v>
      </c>
      <c r="BO69" t="str">
        <f t="shared" si="145"/>
        <v>91 Elementary trades and related occupations</v>
      </c>
      <c r="BP69" s="18">
        <f t="shared" si="163"/>
        <v>2.3967427778330439</v>
      </c>
      <c r="BQ69" s="18">
        <f t="shared" si="163"/>
        <v>2.1474546502783269</v>
      </c>
      <c r="BR69" s="18">
        <f t="shared" si="163"/>
        <v>2.0777672424690072</v>
      </c>
      <c r="BS69" s="18">
        <f t="shared" si="163"/>
        <v>3.7386794294320138</v>
      </c>
      <c r="BT69" s="18">
        <f t="shared" si="163"/>
        <v>4.8342801514562215</v>
      </c>
      <c r="BV69" s="68">
        <f t="shared" si="129"/>
        <v>114.5798883265724</v>
      </c>
      <c r="BW69" s="69">
        <f t="shared" si="130"/>
        <v>81.397879759404105</v>
      </c>
      <c r="BX69" s="69">
        <f t="shared" si="131"/>
        <v>195.97776808597652</v>
      </c>
      <c r="BZ69" t="str">
        <f t="shared" si="146"/>
        <v>91 Elementary trades and related occupations</v>
      </c>
      <c r="CA69" s="18">
        <f t="shared" si="164"/>
        <v>4.935271974182629</v>
      </c>
      <c r="CB69" s="18">
        <f t="shared" si="164"/>
        <v>4.7106552305870464</v>
      </c>
      <c r="CC69" s="18">
        <f t="shared" si="164"/>
        <v>4.4431802641548037</v>
      </c>
      <c r="CD69" s="18">
        <f t="shared" si="164"/>
        <v>8.054884599933807</v>
      </c>
      <c r="CE69" s="18">
        <f t="shared" si="164"/>
        <v>10.88025414676067</v>
      </c>
      <c r="CG69" s="68">
        <f t="shared" si="133"/>
        <v>30.23065058194188</v>
      </c>
      <c r="CH69" s="69">
        <f t="shared" si="134"/>
        <v>62.326455380345479</v>
      </c>
      <c r="CI69" s="69">
        <f t="shared" si="135"/>
        <v>92.557105962287352</v>
      </c>
      <c r="CK69" t="str">
        <f t="shared" si="147"/>
        <v>91 Elementary trades and related occupations</v>
      </c>
      <c r="CL69" s="18">
        <f t="shared" si="165"/>
        <v>6.6066630010191112</v>
      </c>
      <c r="CM69" s="18">
        <f t="shared" si="165"/>
        <v>6.2549260272623739</v>
      </c>
      <c r="CN69" s="18">
        <f t="shared" si="165"/>
        <v>6.0306788521721746</v>
      </c>
      <c r="CO69" s="18">
        <f t="shared" si="165"/>
        <v>11.951979196219137</v>
      </c>
      <c r="CP69" s="18">
        <f t="shared" si="165"/>
        <v>15.059021891902038</v>
      </c>
      <c r="CR69" s="68">
        <f t="shared" si="137"/>
        <v>-4.5644243968314475</v>
      </c>
      <c r="CS69" s="69">
        <f t="shared" si="138"/>
        <v>41.013157706380952</v>
      </c>
      <c r="CT69" s="69">
        <f t="shared" si="139"/>
        <v>36.448733309549503</v>
      </c>
    </row>
    <row r="70" spans="1:98" x14ac:dyDescent="0.25">
      <c r="A70" t="str">
        <f t="shared" si="103"/>
        <v>92 Elementary administration and service occupations</v>
      </c>
      <c r="B70" s="18">
        <f t="shared" si="157"/>
        <v>0.49776333884795199</v>
      </c>
      <c r="C70" s="18">
        <f t="shared" si="157"/>
        <v>0.4706840633666376</v>
      </c>
      <c r="D70" s="18">
        <f t="shared" si="157"/>
        <v>0.42612603239011437</v>
      </c>
      <c r="E70" s="18">
        <f t="shared" si="157"/>
        <v>0.42566342037266014</v>
      </c>
      <c r="F70" s="18">
        <f t="shared" si="157"/>
        <v>0.46765537918856326</v>
      </c>
      <c r="H70" s="68">
        <f t="shared" si="105"/>
        <v>108.55734373082883</v>
      </c>
      <c r="I70" s="69">
        <f t="shared" si="106"/>
        <v>79.190910910453411</v>
      </c>
      <c r="J70" s="69">
        <f t="shared" si="107"/>
        <v>187.74825464128224</v>
      </c>
      <c r="L70" t="str">
        <f t="shared" ref="L70" si="166">A70</f>
        <v>92 Elementary administration and service occupations</v>
      </c>
      <c r="M70" s="18">
        <f t="shared" si="158"/>
        <v>1.6601485633352859</v>
      </c>
      <c r="N70" s="18">
        <f t="shared" si="158"/>
        <v>1.6207307911163111</v>
      </c>
      <c r="O70" s="18">
        <f t="shared" si="158"/>
        <v>1.5383385382590746</v>
      </c>
      <c r="P70" s="18">
        <f t="shared" si="158"/>
        <v>1.6232448514654212</v>
      </c>
      <c r="Q70" s="18">
        <f t="shared" si="158"/>
        <v>2.0234858196626444</v>
      </c>
      <c r="S70" s="68">
        <f t="shared" si="109"/>
        <v>145.08323922204588</v>
      </c>
      <c r="T70" s="69">
        <f t="shared" si="110"/>
        <v>89.841558870399481</v>
      </c>
      <c r="U70" s="69">
        <f t="shared" si="111"/>
        <v>234.92479809244534</v>
      </c>
      <c r="W70" t="str">
        <f t="shared" ref="W70" si="167">A70</f>
        <v>92 Elementary administration and service occupations</v>
      </c>
      <c r="X70" s="18">
        <f t="shared" si="159"/>
        <v>2.8891357948637277</v>
      </c>
      <c r="Y70" s="18">
        <f t="shared" si="159"/>
        <v>2.9294323904415558</v>
      </c>
      <c r="Z70" s="18">
        <f t="shared" si="159"/>
        <v>2.9014946556217036</v>
      </c>
      <c r="AA70" s="18">
        <f t="shared" si="159"/>
        <v>2.9048114066874939</v>
      </c>
      <c r="AB70" s="18">
        <f t="shared" si="159"/>
        <v>3.0845064522885237</v>
      </c>
      <c r="AD70" s="68">
        <f t="shared" si="113"/>
        <v>31.138886010075733</v>
      </c>
      <c r="AE70" s="69">
        <f t="shared" si="114"/>
        <v>74.508498535460419</v>
      </c>
      <c r="AF70" s="69">
        <f t="shared" si="115"/>
        <v>105.64738454553616</v>
      </c>
      <c r="AH70" t="str">
        <f t="shared" ref="AH70" si="168">L70</f>
        <v>92 Elementary administration and service occupations</v>
      </c>
      <c r="AI70" s="18">
        <f t="shared" si="160"/>
        <v>4.3389515394085514</v>
      </c>
      <c r="AJ70" s="18">
        <f t="shared" si="160"/>
        <v>4.5680066346327397</v>
      </c>
      <c r="AK70" s="18">
        <f t="shared" si="160"/>
        <v>4.5075829103134915</v>
      </c>
      <c r="AL70" s="18">
        <f t="shared" si="160"/>
        <v>4.8408712615222536</v>
      </c>
      <c r="AM70" s="18">
        <f t="shared" si="160"/>
        <v>5.798364456351</v>
      </c>
      <c r="AO70" s="68">
        <f t="shared" si="117"/>
        <v>35.731386639621547</v>
      </c>
      <c r="AP70" s="69">
        <f t="shared" si="118"/>
        <v>69.144270859616142</v>
      </c>
      <c r="AQ70" s="69">
        <f t="shared" si="119"/>
        <v>104.8756574992377</v>
      </c>
      <c r="AS70" t="str">
        <f t="shared" ref="AS70" si="169">W70</f>
        <v>92 Elementary administration and service occupations</v>
      </c>
      <c r="AT70" s="18">
        <f t="shared" si="161"/>
        <v>4.2180596088326627</v>
      </c>
      <c r="AU70" s="18">
        <f t="shared" si="161"/>
        <v>4.3702002237844857</v>
      </c>
      <c r="AV70" s="18">
        <f t="shared" si="161"/>
        <v>4.4292431757108357</v>
      </c>
      <c r="AW70" s="18">
        <f t="shared" si="161"/>
        <v>4.388488613423835</v>
      </c>
      <c r="AX70" s="18">
        <f t="shared" si="161"/>
        <v>4.8801392306989353</v>
      </c>
      <c r="AZ70" s="68">
        <f t="shared" si="121"/>
        <v>29.776253481039067</v>
      </c>
      <c r="BA70" s="69">
        <f t="shared" si="122"/>
        <v>68.711791095996404</v>
      </c>
      <c r="BB70" s="69">
        <f t="shared" si="123"/>
        <v>98.488044577035467</v>
      </c>
      <c r="BD70" t="str">
        <f t="shared" ref="BD70" si="170">AH70</f>
        <v>92 Elementary administration and service occupations</v>
      </c>
      <c r="BE70" s="18">
        <f t="shared" si="162"/>
        <v>6.7767049153596535</v>
      </c>
      <c r="BF70" s="18">
        <f t="shared" si="162"/>
        <v>6.0937913059714539</v>
      </c>
      <c r="BG70" s="18">
        <f t="shared" si="162"/>
        <v>5.9272400777644929</v>
      </c>
      <c r="BH70" s="18">
        <f t="shared" si="162"/>
        <v>5.0787785633488367</v>
      </c>
      <c r="BI70" s="18">
        <f t="shared" si="162"/>
        <v>4.4837276437742029</v>
      </c>
      <c r="BK70" s="68">
        <f t="shared" si="125"/>
        <v>-20.112341331958291</v>
      </c>
      <c r="BL70" s="69">
        <f t="shared" si="126"/>
        <v>41.723675889238017</v>
      </c>
      <c r="BM70" s="69">
        <f t="shared" si="127"/>
        <v>21.611334557279722</v>
      </c>
      <c r="BO70" t="str">
        <f t="shared" ref="BO70" si="171">AS70</f>
        <v>92 Elementary administration and service occupations</v>
      </c>
      <c r="BP70" s="18">
        <f t="shared" si="163"/>
        <v>11.402865963589438</v>
      </c>
      <c r="BQ70" s="18">
        <f t="shared" si="163"/>
        <v>11.46368999297084</v>
      </c>
      <c r="BR70" s="18">
        <f t="shared" si="163"/>
        <v>10.89937175099409</v>
      </c>
      <c r="BS70" s="18">
        <f t="shared" si="163"/>
        <v>10.390211761194065</v>
      </c>
      <c r="BT70" s="18">
        <f t="shared" si="163"/>
        <v>10.647020961689559</v>
      </c>
      <c r="BV70" s="68">
        <f t="shared" si="129"/>
        <v>-9.9091387130505701</v>
      </c>
      <c r="BW70" s="69">
        <f t="shared" si="130"/>
        <v>48.695332292674593</v>
      </c>
      <c r="BX70" s="69">
        <f t="shared" si="131"/>
        <v>38.786193579624026</v>
      </c>
      <c r="BZ70" t="str">
        <f t="shared" ref="BZ70" si="172">BD70</f>
        <v>92 Elementary administration and service occupations</v>
      </c>
      <c r="CA70" s="18">
        <f t="shared" si="164"/>
        <v>15.895572154887072</v>
      </c>
      <c r="CB70" s="18">
        <f t="shared" si="164"/>
        <v>16.275546843847991</v>
      </c>
      <c r="CC70" s="18">
        <f t="shared" si="164"/>
        <v>15.380153119351142</v>
      </c>
      <c r="CD70" s="18">
        <f t="shared" si="164"/>
        <v>14.476918271154648</v>
      </c>
      <c r="CE70" s="18">
        <f t="shared" si="164"/>
        <v>14.850858990320178</v>
      </c>
      <c r="CG70" s="68">
        <f t="shared" si="133"/>
        <v>-48.647804174710473</v>
      </c>
      <c r="CH70" s="69">
        <f t="shared" si="134"/>
        <v>29.914426495563568</v>
      </c>
      <c r="CI70" s="69">
        <f t="shared" si="135"/>
        <v>-18.733377679146905</v>
      </c>
      <c r="CK70" t="str">
        <f t="shared" ref="CK70" si="173">BO70</f>
        <v>92 Elementary administration and service occupations</v>
      </c>
      <c r="CL70" s="18">
        <f t="shared" si="165"/>
        <v>21.312687163168224</v>
      </c>
      <c r="CM70" s="18">
        <f t="shared" si="165"/>
        <v>17.730294766698428</v>
      </c>
      <c r="CN70" s="18">
        <f t="shared" si="165"/>
        <v>17.639469920661888</v>
      </c>
      <c r="CO70" s="18">
        <f t="shared" si="165"/>
        <v>14.628252513410603</v>
      </c>
      <c r="CP70" s="18">
        <f t="shared" si="165"/>
        <v>12.164837896724814</v>
      </c>
      <c r="CR70" s="68">
        <f t="shared" si="137"/>
        <v>-73.642723628353664</v>
      </c>
      <c r="CS70" s="69">
        <f t="shared" si="138"/>
        <v>14.29395849820588</v>
      </c>
      <c r="CT70" s="69">
        <f t="shared" si="139"/>
        <v>-59.348765130147783</v>
      </c>
    </row>
    <row r="71" spans="1:98" x14ac:dyDescent="0.25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90.036760753275644</v>
      </c>
      <c r="I72" s="67">
        <f>IF(D35&gt;0,I35/D35*100,0)</f>
        <v>67.618242738492313</v>
      </c>
      <c r="J72" s="67">
        <f t="shared" ref="J72" si="175">IF(D35&gt;0,(J35/D35)*100,0)</f>
        <v>157.65500349176799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86.322527350104252</v>
      </c>
      <c r="T72" s="67">
        <f t="shared" ref="T72" si="177">IF(O35&gt;0,T35/O35*100,0)</f>
        <v>70.095297328976926</v>
      </c>
      <c r="U72" s="67">
        <f t="shared" ref="U72" si="178">IF(O35&gt;0,(U35/O35)*100,0)</f>
        <v>156.41782467908115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23.358074553583997</v>
      </c>
      <c r="AE72" s="67">
        <f t="shared" ref="AE72" si="180">IF(Z35&gt;0,AE35/Z35*100,0)</f>
        <v>62.324214049403338</v>
      </c>
      <c r="AF72" s="67">
        <f t="shared" ref="AF72" si="181">IF(Z35&gt;0,(AF35/Z35)*100,0)</f>
        <v>85.682288602987342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5.5160439492172131</v>
      </c>
      <c r="AP72" s="67">
        <f t="shared" ref="AP72" si="183">IF(AK35&gt;0,AP35/AK35*100,0)</f>
        <v>53.973264586919854</v>
      </c>
      <c r="AQ72" s="67">
        <f t="shared" ref="AQ72" si="184">IF(AK35&gt;0,(AQ35/AK35)*100,0)</f>
        <v>59.489308536137074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17.785693794209081</v>
      </c>
      <c r="BA72" s="67">
        <f t="shared" ref="BA72" si="186">IF(AV35&gt;0,BA35/AV35*100,0)</f>
        <v>55.852765539179117</v>
      </c>
      <c r="BB72" s="67">
        <f t="shared" ref="BB72" si="187">IF(AV35&gt;0,(BB35/AV35)*100,0)</f>
        <v>73.638459333388184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5.6070684474947869</v>
      </c>
      <c r="BL72" s="67">
        <f t="shared" ref="BL72" si="189">IF(BG35&gt;0,BL35/BG35*100,0)</f>
        <v>46.658418084037095</v>
      </c>
      <c r="BM72" s="67">
        <f t="shared" ref="BM72" si="190">IF(BG35&gt;0,(BM35/BG35)*100,0)</f>
        <v>52.265486531531877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-7.773846593621986</v>
      </c>
      <c r="BW72" s="67">
        <f t="shared" ref="BW72" si="192">IF(BR35&gt;0,BW35/BR35*100,0)</f>
        <v>47.462846252384701</v>
      </c>
      <c r="BX72" s="67">
        <f t="shared" ref="BX72" si="193">IF(BR35&gt;0,(BX35/BR35)*100,0)</f>
        <v>39.688999658762711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-46.817579015284331</v>
      </c>
      <c r="CH72" s="67">
        <f t="shared" ref="CH72" si="195">IF(CC35&gt;0,CH35/CC35*100,0)</f>
        <v>30.838895710805275</v>
      </c>
      <c r="CI72" s="67">
        <f t="shared" ref="CI72" si="196">IF(CC35&gt;0,(CI35/CC35)*100,0)</f>
        <v>-15.97868330447905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-61.78096348711707</v>
      </c>
      <c r="CS72" s="67">
        <f t="shared" ref="CS72" si="198">IF(CN35&gt;0,CS35/CN35*100,0)</f>
        <v>19.634277383611895</v>
      </c>
      <c r="CT72" s="67">
        <f t="shared" ref="CT72" si="199">IF(CN35&gt;0,(CT35/CN35)*100,0)</f>
        <v>-42.146686103505168</v>
      </c>
    </row>
    <row r="75" spans="1:98" ht="51" customHeight="1" x14ac:dyDescent="0.25">
      <c r="A75" s="382" t="str">
        <f>CONCATENATE(A$1," (Continued)")</f>
        <v>Basic Table 2  Employment Change by Occupation and Replacement Demand, RQF8 Doctorate, 2015-2035, Black Country (Continued)</v>
      </c>
      <c r="B75" s="382"/>
      <c r="C75" s="382"/>
      <c r="D75" s="382"/>
      <c r="E75" s="382"/>
      <c r="F75" s="382"/>
      <c r="G75" s="382"/>
      <c r="H75" s="382"/>
      <c r="I75" s="382"/>
      <c r="J75" s="382"/>
      <c r="L75" s="382" t="str">
        <f>CONCATENATE(L$1," (Continued)")</f>
        <v>Basic Table 2.1  Employment Change by Occupation and Replacement Demand, RQF7 Other higher degree, 2015-2035, Black Country (Continued)</v>
      </c>
      <c r="M75" s="382"/>
      <c r="N75" s="382"/>
      <c r="O75" s="382"/>
      <c r="P75" s="382"/>
      <c r="Q75" s="382"/>
      <c r="R75" s="382"/>
      <c r="S75" s="382"/>
      <c r="T75" s="382"/>
      <c r="U75" s="382"/>
      <c r="W75" s="382" t="str">
        <f>CONCATENATE(W$1," (Continued)")</f>
        <v>Basic Table 2.2  Employment Change by Occupation and Replacement Demand, RQF6 First degree, 2015-2035, Black Country (Continued)</v>
      </c>
      <c r="X75" s="382"/>
      <c r="Y75" s="382"/>
      <c r="Z75" s="382"/>
      <c r="AA75" s="382"/>
      <c r="AB75" s="382"/>
      <c r="AC75" s="382"/>
      <c r="AD75" s="382"/>
      <c r="AE75" s="382"/>
      <c r="AF75" s="382"/>
      <c r="AH75" s="382" t="str">
        <f>CONCATENATE(AH$1," (Continued)")</f>
        <v>Basic Table 2.3  Employment Change by Occupation and Replacement Demand, RQF5 Foundation degree;Nursing;Teaching, 2015-2035, Black Country (Continued)</v>
      </c>
      <c r="AI75" s="382"/>
      <c r="AJ75" s="382"/>
      <c r="AK75" s="382"/>
      <c r="AL75" s="382"/>
      <c r="AM75" s="382"/>
      <c r="AN75" s="382"/>
      <c r="AO75" s="382"/>
      <c r="AP75" s="382"/>
      <c r="AQ75" s="382"/>
      <c r="AS75" s="382" t="str">
        <f>CONCATENATE(AS$1," (Continued)")</f>
        <v>Basic Table 2.4  Employment Change by Occupation and Replacement Demand, RQF4 HE below degree level, 2015-2035, Black Country (Continued)</v>
      </c>
      <c r="AT75" s="382"/>
      <c r="AU75" s="382"/>
      <c r="AV75" s="382"/>
      <c r="AW75" s="382"/>
      <c r="AX75" s="382"/>
      <c r="AY75" s="382"/>
      <c r="AZ75" s="382"/>
      <c r="BA75" s="382"/>
      <c r="BB75" s="382"/>
      <c r="BD75" s="382" t="str">
        <f>CONCATENATE(BD$1," (Continued)")</f>
        <v>Basic Table 2.5  Employment Change by Occupation and Replacement Demand, RQF3 A level &amp; equivalent, 2015-2035, Black Country (Continued)</v>
      </c>
      <c r="BE75" s="382"/>
      <c r="BF75" s="382"/>
      <c r="BG75" s="382"/>
      <c r="BH75" s="382"/>
      <c r="BI75" s="382"/>
      <c r="BJ75" s="382"/>
      <c r="BK75" s="382"/>
      <c r="BL75" s="382"/>
      <c r="BM75" s="382"/>
      <c r="BO75" s="382" t="str">
        <f>CONCATENATE(BO$1," (Continued)")</f>
        <v>Basic Table 2.6  Employment Change by Occupation and Replacement Demand, RQF2 GCSE(A-C) &amp; equivalent, 2015-2035, Black Country (Continued)</v>
      </c>
      <c r="BP75" s="382"/>
      <c r="BQ75" s="382"/>
      <c r="BR75" s="382"/>
      <c r="BS75" s="382"/>
      <c r="BT75" s="382"/>
      <c r="BU75" s="382"/>
      <c r="BV75" s="382"/>
      <c r="BW75" s="382"/>
      <c r="BX75" s="382"/>
      <c r="BZ75" s="382" t="str">
        <f>CONCATENATE(BZ$1," (Continued)")</f>
        <v>Basic Table 2.7  Employment Change by Occupation and Replacement Demand, RQF1 GCSE(below grade C) &amp; equivalent, 2015-2035, Black Country (Continued)</v>
      </c>
      <c r="CA75" s="382"/>
      <c r="CB75" s="382"/>
      <c r="CC75" s="382"/>
      <c r="CD75" s="382"/>
      <c r="CE75" s="382"/>
      <c r="CF75" s="382"/>
      <c r="CG75" s="382"/>
      <c r="CH75" s="382"/>
      <c r="CI75" s="382"/>
      <c r="CK75" s="382" t="str">
        <f>CONCATENATE(CK$1," (Continued)")</f>
        <v>Basic Table 2.8  Employment Change by Occupation and Replacement Demand, No Qualification, 2015-2035, Black Country (Continued)</v>
      </c>
      <c r="CL75" s="382"/>
      <c r="CM75" s="382"/>
      <c r="CN75" s="382"/>
      <c r="CO75" s="382"/>
      <c r="CP75" s="382"/>
      <c r="CQ75" s="382"/>
      <c r="CR75" s="382"/>
      <c r="CS75" s="382"/>
      <c r="CT75" s="382"/>
    </row>
    <row r="77" spans="1:98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ht="13" x14ac:dyDescent="0.3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7.195430404582881</v>
      </c>
      <c r="C82" s="18">
        <f t="shared" si="210"/>
        <v>-7.4981059392853933</v>
      </c>
      <c r="D82" s="18">
        <f t="shared" si="210"/>
        <v>3.1184163318551894</v>
      </c>
      <c r="E82" s="18">
        <f t="shared" si="210"/>
        <v>4.4554280132685697</v>
      </c>
      <c r="F82" s="18">
        <f t="shared" ref="F82:F107" si="211">IF(AND(F$6-C$6 &lt;&gt; 0,C8&lt;&gt;0,F8&lt;&gt;0),(EXP(LN(F8/C8)/(F$6-C$6))-1)*100,0)</f>
        <v>3.2485284294933026</v>
      </c>
      <c r="H82" s="18">
        <f t="shared" ref="H82:H107" si="212">IF($F$6-$D$6 &lt;&gt; 0,(EXP(LN(1+(H45/100))/($F$6-$D$6))-1)*100,0)</f>
        <v>4.0078423122921425</v>
      </c>
      <c r="I82" s="18">
        <f t="shared" ref="I82:I107" si="213">IF(D8&gt;0,((1+(I8/D8))^(1/($F$6-$D$6))-1)*100,0)</f>
        <v>3.561791751968113</v>
      </c>
      <c r="J82" s="18">
        <f t="shared" ref="J82:J107" si="214">IF($F$6-$D$6 &lt;&gt; 0,(EXP(LN(1+(J45/100))/($F$6-$D$6))-1)*100,0)</f>
        <v>6.2802966140499183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10.320378633902983</v>
      </c>
      <c r="N82" s="18">
        <f t="shared" si="215"/>
        <v>-3.4694737922876251</v>
      </c>
      <c r="O82" s="18">
        <f t="shared" si="215"/>
        <v>2.4432937740812566</v>
      </c>
      <c r="P82" s="18">
        <f t="shared" si="215"/>
        <v>4.0702551124820019</v>
      </c>
      <c r="Q82" s="18">
        <f t="shared" ref="Q82:Q107" si="216">IF(AND(Q$6-N$6 &lt;&gt; 0,N8&lt;&gt;0,Q8&lt;&gt;0),(EXP(LN(Q8/N8)/(Q$6-N$6))-1)*100,0)</f>
        <v>3.0734430296965654</v>
      </c>
      <c r="S82" s="18">
        <f t="shared" ref="S82:S107" si="217">IF($F$6-$D$6 &lt;&gt; 0,(EXP(LN(1+(S45/100))/($F$6-$D$6))-1)*100,0)</f>
        <v>3.525083776780602</v>
      </c>
      <c r="T82" s="18">
        <f t="shared" ref="T82:T107" si="218">IF(O8&gt;0,((1+(T8/O8))^(1/($F$6-$D$6))-1)*100,0)</f>
        <v>3.4489803292928167</v>
      </c>
      <c r="U82" s="18">
        <f t="shared" ref="U82:U107" si="219">IF($F$6-$D$6 &lt;&gt; 0,(EXP(LN(1+(U45/100))/($F$6-$D$6))-1)*100,0)</f>
        <v>5.844778711403853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1.34377793859628</v>
      </c>
      <c r="Y82" s="18">
        <f t="shared" si="220"/>
        <v>7.5984126466791091</v>
      </c>
      <c r="Z82" s="18">
        <f t="shared" si="220"/>
        <v>-1.4630607972627163</v>
      </c>
      <c r="AA82" s="18">
        <f t="shared" si="220"/>
        <v>1.2780914808682375</v>
      </c>
      <c r="AB82" s="18">
        <f t="shared" ref="AB82:AB107" si="221">IF(AND(AB$6-Y$6 &lt;&gt; 0,Y8&lt;&gt;0,AB8&lt;&gt;0),(EXP(LN(AB8/Y8)/(AB$6-Y$6))-1)*100,0)</f>
        <v>0.79402036343589888</v>
      </c>
      <c r="AD82" s="18">
        <f t="shared" ref="AD82:AD107" si="222">IF($F$6-$D$6 &lt;&gt; 0,(EXP(LN(1+(AD45/100))/($F$6-$D$6))-1)*100,0)</f>
        <v>0.35600438426064418</v>
      </c>
      <c r="AE82" s="18">
        <f t="shared" ref="AE82:AE107" si="223">IF(Z8&gt;0,((1+(AE8/Z8))^(1/($F$6-$D$6))-1)*100,0)</f>
        <v>3.0482895915217689</v>
      </c>
      <c r="AF82" s="18">
        <f t="shared" ref="AF82:AF107" si="224">IF($F$6-$D$6 &lt;&gt; 0,(EXP(LN(1+(AF45/100))/($F$6-$D$6))-1)*100,0)</f>
        <v>3.2842101719503303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1.659622508448555</v>
      </c>
      <c r="AJ82" s="18">
        <f t="shared" si="225"/>
        <v>10.908232832659515</v>
      </c>
      <c r="AK82" s="18">
        <f t="shared" si="225"/>
        <v>-2.3073957895454855</v>
      </c>
      <c r="AL82" s="18">
        <f t="shared" si="225"/>
        <v>0.89501944305683256</v>
      </c>
      <c r="AM82" s="18">
        <f t="shared" ref="AM82:AM107" si="226">IF(AND(AM$6-AJ$6 &lt;&gt; 0,AJ8&lt;&gt;0,AM8&lt;&gt;0),(EXP(LN(AM8/AJ8)/(AM$6-AJ$6))-1)*100,0)</f>
        <v>0.47559667930956451</v>
      </c>
      <c r="AO82" s="18">
        <f t="shared" ref="AO82:AO107" si="227">IF($F$6-$D$6 &lt;&gt; 0,(EXP(LN(1+(AO45/100))/($F$6-$D$6))-1)*100,0)</f>
        <v>-0.18394964172337991</v>
      </c>
      <c r="AP82" s="18">
        <f t="shared" ref="AP82:AP107" si="228">IF(AK8&gt;0,((1+(AP8/AK8))^(1/($F$6-$D$6))-1)*100,0)</f>
        <v>2.728365435698632</v>
      </c>
      <c r="AQ82" s="18">
        <f t="shared" ref="AQ82:AQ107" si="229">IF($F$6-$D$6 &lt;&gt; 0,(EXP(LN(1+(AQ45/100))/($F$6-$D$6))-1)*100,0)</f>
        <v>2.6027148046402715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-7.2868816091886668E-2</v>
      </c>
      <c r="AU82" s="18">
        <f t="shared" si="230"/>
        <v>6.3752175666380362</v>
      </c>
      <c r="AV82" s="18">
        <f t="shared" si="230"/>
        <v>-3.0918239163318706</v>
      </c>
      <c r="AW82" s="18">
        <f t="shared" si="230"/>
        <v>0.59925657844306368</v>
      </c>
      <c r="AX82" s="18">
        <f t="shared" ref="AX82:AX107" si="231">IF(AND(AX$6-AU$6 &lt;&gt; 0,AU8&lt;&gt;0,AX8&lt;&gt;0),(EXP(LN(AX8/AU8)/(AX$6-AU$6))-1)*100,0)</f>
        <v>-0.22151807820589564</v>
      </c>
      <c r="AZ82" s="18">
        <f t="shared" ref="AZ82:AZ107" si="232">IF($F$6-$D$6 &lt;&gt; 0,(EXP(LN(1+(AZ45/100))/($F$6-$D$6))-1)*100,0)</f>
        <v>-0.64646571401074659</v>
      </c>
      <c r="BA82" s="18">
        <f t="shared" ref="BA82:BA107" si="233">IF(AV8&gt;0,((1+(BA8/AV8))^(1/($F$6-$D$6))-1)*100,0)</f>
        <v>2.616602456080086</v>
      </c>
      <c r="BB82" s="18">
        <f t="shared" ref="BB82:BB107" si="234">IF($F$6-$D$6 &lt;&gt; 0,(EXP(LN(1+(BB45/100))/($F$6-$D$6))-1)*100,0)</f>
        <v>2.1729444198212544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4.9976979179853664</v>
      </c>
      <c r="BF82" s="18">
        <f t="shared" si="235"/>
        <v>2.6313106027357813</v>
      </c>
      <c r="BG82" s="18">
        <f t="shared" si="235"/>
        <v>-2.2575009868996521</v>
      </c>
      <c r="BH82" s="18">
        <f t="shared" si="235"/>
        <v>0.75237643859842329</v>
      </c>
      <c r="BI82" s="18">
        <f t="shared" ref="BI82:BI107" si="236">IF(AND(BI$6-BF$6 &lt;&gt; 0,BF8&lt;&gt;0,BI8&lt;&gt;0),(EXP(LN(BI8/BF8)/(BI$6-BF$6))-1)*100,0)</f>
        <v>-8.2714150256091301E-2</v>
      </c>
      <c r="BK82" s="18">
        <f t="shared" ref="BK82:BK107" si="237">IF($F$6-$D$6 &lt;&gt; 0,(EXP(LN(1+(BK45/100))/($F$6-$D$6))-1)*100,0)</f>
        <v>-0.26107601640260603</v>
      </c>
      <c r="BL82" s="18">
        <f t="shared" ref="BL82:BL107" si="238">IF(BG8&gt;0,((1+(BL8/BG8))^(1/($F$6-$D$6))-1)*100,0)</f>
        <v>2.3257085129023247</v>
      </c>
      <c r="BM82" s="18">
        <f t="shared" ref="BM82:BM107" si="239">IF($F$6-$D$6 &lt;&gt; 0,(EXP(LN(1+(BM45/100))/($F$6-$D$6))-1)*100,0)</f>
        <v>2.1374980073244565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2.8904952131157069</v>
      </c>
      <c r="BQ82" s="18">
        <f t="shared" si="240"/>
        <v>-6.5660919339617489</v>
      </c>
      <c r="BR82" s="18">
        <f t="shared" si="240"/>
        <v>-2.6494766027680083</v>
      </c>
      <c r="BS82" s="18">
        <f t="shared" si="240"/>
        <v>-1.3138830547947289</v>
      </c>
      <c r="BT82" s="18">
        <f t="shared" ref="BT82:BT107" si="241">IF(AND(BT$6-BQ$6 &lt;&gt; 0,BQ8&lt;&gt;0,BT8&lt;&gt;0),(EXP(LN(BT8/BQ8)/(BT$6-BQ$6))-1)*100,0)</f>
        <v>-2.0685271671670225</v>
      </c>
      <c r="BV82" s="18">
        <f t="shared" ref="BV82:BV107" si="242">IF($F$6-$D$6 &lt;&gt; 0,(EXP(LN(1+(BV45/100))/($F$6-$D$6))-1)*100,0)</f>
        <v>-1.7611045416550675</v>
      </c>
      <c r="BW82" s="18">
        <f t="shared" ref="BW82:BW107" si="243">IF(BR8&gt;0,((1+(BW8/BR8))^(1/($F$6-$D$6))-1)*100,0)</f>
        <v>2.3335711987092722</v>
      </c>
      <c r="BX82" s="18">
        <f t="shared" ref="BX82:BX107" si="244">IF($F$6-$D$6 &lt;&gt; 0,(EXP(LN(1+(BX45/100))/($F$6-$D$6))-1)*100,0)</f>
        <v>1.1064740886882696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0.78589956033019437</v>
      </c>
      <c r="CB82" s="18">
        <f t="shared" si="245"/>
        <v>4.0251888772270927</v>
      </c>
      <c r="CC82" s="18">
        <f t="shared" si="245"/>
        <v>-5.3444009742919079</v>
      </c>
      <c r="CD82" s="18">
        <f t="shared" si="245"/>
        <v>-3.3052729188650876</v>
      </c>
      <c r="CE82" s="18">
        <f t="shared" ref="CE82:CE107" si="246">IF(AND(CE$6-CB$6 &lt;&gt; 0,CB8&lt;&gt;0,CE8&lt;&gt;0),(EXP(LN(CE8/CB8)/(CE$6-CB$6))-1)*100,0)</f>
        <v>-3.507485605361349</v>
      </c>
      <c r="CG82" s="18">
        <f t="shared" ref="CG82:CG107" si="247">IF($F$6-$D$6 &lt;&gt; 0,(EXP(LN(1+(CG45/100))/($F$6-$D$6))-1)*100,0)</f>
        <v>-3.9898170205295957</v>
      </c>
      <c r="CH82" s="18">
        <f t="shared" ref="CH82:CH107" si="248">IF(CC8&gt;0,((1+(CH8/CC8))^(1/($F$6-$D$6))-1)*100,0)</f>
        <v>1.8671600886562834</v>
      </c>
      <c r="CI82" s="18">
        <f t="shared" ref="CI82:CI107" si="249">IF($F$6-$D$6 &lt;&gt; 0,(EXP(LN(1+(CI45/100))/($F$6-$D$6))-1)*100,0)</f>
        <v>-0.97926533157499662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0.50377602170685876</v>
      </c>
      <c r="CM82" s="18">
        <f t="shared" si="250"/>
        <v>10.034114874120403</v>
      </c>
      <c r="CN82" s="18">
        <f t="shared" si="250"/>
        <v>-8.6351580768758485</v>
      </c>
      <c r="CO82" s="18">
        <f t="shared" si="250"/>
        <v>-1.8467931442667673</v>
      </c>
      <c r="CP82" s="18">
        <f t="shared" ref="CP82:CP107" si="251">IF(AND(CP$6-CM$6 &lt;&gt; 0,CM8&lt;&gt;0,CP8&lt;&gt;0),(EXP(LN(CP8/CM8)/(CP$6-CM$6))-1)*100,0)</f>
        <v>-3.3327778015186493</v>
      </c>
      <c r="CR82" s="18">
        <f t="shared" ref="CR82:CR107" si="252">IF($F$6-$D$6 &lt;&gt; 0,(EXP(LN(1+(CR45/100))/($F$6-$D$6))-1)*100,0)</f>
        <v>-4.1638486629438809</v>
      </c>
      <c r="CS82" s="18">
        <f t="shared" ref="CS82:CS107" si="253">IF(CN8&gt;0,((1+(CS8/CN8))^(1/($F$6-$D$6))-1)*100,0)</f>
        <v>1.3618393887466107</v>
      </c>
      <c r="CT82" s="18">
        <f t="shared" ref="CT82:CT107" si="254">IF($F$6-$D$6 &lt;&gt; 0,(EXP(LN(1+(CT45/100))/($F$6-$D$6))-1)*100,0)</f>
        <v>-1.8707181553495489</v>
      </c>
    </row>
    <row r="83" spans="1:98" x14ac:dyDescent="0.25">
      <c r="A83" t="str">
        <f t="shared" si="209"/>
        <v>12 Other managers and proprietors</v>
      </c>
      <c r="B83" s="18">
        <f t="shared" si="210"/>
        <v>7.19531440728709</v>
      </c>
      <c r="C83" s="18">
        <f t="shared" si="210"/>
        <v>-10.76747253599949</v>
      </c>
      <c r="D83" s="18">
        <f t="shared" si="210"/>
        <v>6.206702833934874</v>
      </c>
      <c r="E83" s="18">
        <f t="shared" si="210"/>
        <v>5.3382990715055145</v>
      </c>
      <c r="F83" s="18">
        <f t="shared" si="211"/>
        <v>4.5193295019456015</v>
      </c>
      <c r="H83" s="18">
        <f t="shared" si="212"/>
        <v>5.6269751624604458</v>
      </c>
      <c r="I83" s="18">
        <f t="shared" si="213"/>
        <v>4.5988397986800322</v>
      </c>
      <c r="J83" s="18">
        <f t="shared" si="214"/>
        <v>8.1436330070772769</v>
      </c>
      <c r="L83" t="str">
        <f t="shared" ref="L83:L106" si="255">A83</f>
        <v>12 Other managers and proprietors</v>
      </c>
      <c r="M83" s="18">
        <f t="shared" si="215"/>
        <v>7.7771749771988974</v>
      </c>
      <c r="N83" s="18">
        <f t="shared" si="215"/>
        <v>1.9698450250210664</v>
      </c>
      <c r="O83" s="18">
        <f t="shared" si="215"/>
        <v>5.1379152968220154</v>
      </c>
      <c r="P83" s="18">
        <f t="shared" si="215"/>
        <v>5.1927307168444514</v>
      </c>
      <c r="Q83" s="18">
        <f t="shared" si="216"/>
        <v>4.9712493541110181</v>
      </c>
      <c r="S83" s="18">
        <f t="shared" si="217"/>
        <v>5.1744557354679976</v>
      </c>
      <c r="T83" s="18">
        <f t="shared" si="218"/>
        <v>4.3189181627668383</v>
      </c>
      <c r="U83" s="18">
        <f t="shared" si="219"/>
        <v>7.6393414330954368</v>
      </c>
      <c r="W83" t="str">
        <f t="shared" ref="W83:W106" si="256">A83</f>
        <v>12 Other managers and proprietors</v>
      </c>
      <c r="X83" s="18">
        <f t="shared" si="220"/>
        <v>-0.80345698850654568</v>
      </c>
      <c r="Y83" s="18">
        <f t="shared" si="220"/>
        <v>14.762864157281363</v>
      </c>
      <c r="Z83" s="18">
        <f t="shared" si="220"/>
        <v>1.3946406605687356</v>
      </c>
      <c r="AA83" s="18">
        <f t="shared" si="220"/>
        <v>2.0194421087447401</v>
      </c>
      <c r="AB83" s="18">
        <f t="shared" si="221"/>
        <v>2.5756113310108963</v>
      </c>
      <c r="AD83" s="18">
        <f t="shared" si="222"/>
        <v>1.8107483407582947</v>
      </c>
      <c r="AE83" s="18">
        <f t="shared" si="223"/>
        <v>3.8325019837426089</v>
      </c>
      <c r="AF83" s="18">
        <f t="shared" si="224"/>
        <v>4.9591077408405404</v>
      </c>
      <c r="AH83" t="str">
        <f t="shared" ref="AH83:AH106" si="257">L83</f>
        <v>12 Other managers and proprietors</v>
      </c>
      <c r="AI83" s="18">
        <f t="shared" si="225"/>
        <v>-0.72969641608925384</v>
      </c>
      <c r="AJ83" s="18">
        <f t="shared" si="225"/>
        <v>18.63494452372203</v>
      </c>
      <c r="AK83" s="18">
        <f t="shared" si="225"/>
        <v>-0.37016589761219576</v>
      </c>
      <c r="AL83" s="18">
        <f t="shared" si="225"/>
        <v>1.9577460525088242</v>
      </c>
      <c r="AM83" s="18">
        <f t="shared" si="226"/>
        <v>2.1874638054778739</v>
      </c>
      <c r="AO83" s="18">
        <f t="shared" si="227"/>
        <v>1.1757936458674401</v>
      </c>
      <c r="AP83" s="18">
        <f t="shared" si="228"/>
        <v>3.5364475401279405</v>
      </c>
      <c r="AQ83" s="18">
        <f t="shared" si="229"/>
        <v>4.2830068514533304</v>
      </c>
      <c r="AS83" t="str">
        <f t="shared" ref="AS83:AS106" si="258">W83</f>
        <v>12 Other managers and proprietors</v>
      </c>
      <c r="AT83" s="18">
        <f t="shared" si="230"/>
        <v>-1.3820954193739743</v>
      </c>
      <c r="AU83" s="18">
        <f t="shared" si="230"/>
        <v>13.45126626623272</v>
      </c>
      <c r="AV83" s="18">
        <f t="shared" si="230"/>
        <v>1.1768561161874302</v>
      </c>
      <c r="AW83" s="18">
        <f t="shared" si="230"/>
        <v>1.5678403974354715</v>
      </c>
      <c r="AX83" s="18">
        <f t="shared" si="231"/>
        <v>2.1494633853099243</v>
      </c>
      <c r="AZ83" s="18">
        <f t="shared" si="232"/>
        <v>1.4373447129356842</v>
      </c>
      <c r="BA83" s="18">
        <f t="shared" si="233"/>
        <v>3.5042943980537533</v>
      </c>
      <c r="BB83" s="18">
        <f t="shared" si="234"/>
        <v>4.4269813748389231</v>
      </c>
      <c r="BD83" t="str">
        <f t="shared" ref="BD83:BD106" si="259">AH83</f>
        <v>12 Other managers and proprietors</v>
      </c>
      <c r="BE83" s="18">
        <f t="shared" si="235"/>
        <v>0.81550276892201623</v>
      </c>
      <c r="BF83" s="18">
        <f t="shared" si="235"/>
        <v>-1.2945022001949691</v>
      </c>
      <c r="BG83" s="18">
        <f t="shared" si="235"/>
        <v>0.17078337424658585</v>
      </c>
      <c r="BH83" s="18">
        <f t="shared" si="235"/>
        <v>0.57848852482891289</v>
      </c>
      <c r="BI83" s="18">
        <f t="shared" si="236"/>
        <v>0.33295630218037608</v>
      </c>
      <c r="BK83" s="18">
        <f t="shared" si="237"/>
        <v>0.44240276282605517</v>
      </c>
      <c r="BL83" s="18">
        <f t="shared" si="238"/>
        <v>2.6190914933406528</v>
      </c>
      <c r="BM83" s="18">
        <f t="shared" si="239"/>
        <v>2.9301793527488629</v>
      </c>
      <c r="BO83" t="str">
        <f t="shared" ref="BO83:BO106" si="260">AS83</f>
        <v>12 Other managers and proprietors</v>
      </c>
      <c r="BP83" s="18">
        <f t="shared" si="240"/>
        <v>0.66434228342655555</v>
      </c>
      <c r="BQ83" s="18">
        <f t="shared" si="240"/>
        <v>-1.9062592360169051</v>
      </c>
      <c r="BR83" s="18">
        <f t="shared" si="240"/>
        <v>1.0003028992731533</v>
      </c>
      <c r="BS83" s="18">
        <f t="shared" si="240"/>
        <v>-0.61181221946990938</v>
      </c>
      <c r="BT83" s="18">
        <f t="shared" si="241"/>
        <v>-0.19262126400628743</v>
      </c>
      <c r="BV83" s="18">
        <f t="shared" si="242"/>
        <v>-7.7320070434439003E-2</v>
      </c>
      <c r="BW83" s="18">
        <f t="shared" si="243"/>
        <v>3.1544970288309271</v>
      </c>
      <c r="BX83" s="18">
        <f t="shared" si="244"/>
        <v>3.104541853227416</v>
      </c>
      <c r="BZ83" t="str">
        <f t="shared" ref="BZ83:BZ106" si="261">BD83</f>
        <v>12 Other managers and proprietors</v>
      </c>
      <c r="CA83" s="18">
        <f t="shared" si="245"/>
        <v>-1.5545462290968981</v>
      </c>
      <c r="CB83" s="18">
        <f t="shared" si="245"/>
        <v>0.56221086626964123</v>
      </c>
      <c r="CC83" s="18">
        <f t="shared" si="245"/>
        <v>-2.3596851675112163</v>
      </c>
      <c r="CD83" s="18">
        <f t="shared" si="245"/>
        <v>-3.3637272364596793</v>
      </c>
      <c r="CE83" s="18">
        <f t="shared" si="246"/>
        <v>-2.8094815939092688</v>
      </c>
      <c r="CG83" s="18">
        <f t="shared" si="247"/>
        <v>-3.0301990028984926</v>
      </c>
      <c r="CH83" s="18">
        <f t="shared" si="248"/>
        <v>2.2581968798726759</v>
      </c>
      <c r="CI83" s="18">
        <f t="shared" si="249"/>
        <v>0.18548570055481051</v>
      </c>
      <c r="CK83" t="str">
        <f t="shared" ref="CK83:CK106" si="262">BO83</f>
        <v>12 Other managers and proprietors</v>
      </c>
      <c r="CL83" s="18">
        <f t="shared" si="250"/>
        <v>-2.9713612694997615</v>
      </c>
      <c r="CM83" s="18">
        <f t="shared" si="250"/>
        <v>2.3940970047491739</v>
      </c>
      <c r="CN83" s="18">
        <f t="shared" si="250"/>
        <v>-6.404080534298906</v>
      </c>
      <c r="CO83" s="18">
        <f t="shared" si="250"/>
        <v>-4.0478409843489382</v>
      </c>
      <c r="CP83" s="18">
        <f t="shared" si="251"/>
        <v>-4.4030166363414498</v>
      </c>
      <c r="CR83" s="18">
        <f t="shared" si="252"/>
        <v>-4.8397723100808809</v>
      </c>
      <c r="CS83" s="18">
        <f t="shared" si="253"/>
        <v>1.5095410772345996</v>
      </c>
      <c r="CT83" s="18">
        <f t="shared" si="254"/>
        <v>-2.1017707865385149</v>
      </c>
    </row>
    <row r="84" spans="1:98" x14ac:dyDescent="0.25">
      <c r="A84" t="str">
        <f t="shared" si="209"/>
        <v>21 Science, research, engineering and technology professionals</v>
      </c>
      <c r="B84" s="18">
        <f t="shared" si="210"/>
        <v>6.9938907267181216</v>
      </c>
      <c r="C84" s="18">
        <f t="shared" si="210"/>
        <v>-9.9199442570070175</v>
      </c>
      <c r="D84" s="18">
        <f t="shared" si="210"/>
        <v>7.5736135723249554</v>
      </c>
      <c r="E84" s="18">
        <f t="shared" si="210"/>
        <v>3.7768202889580493</v>
      </c>
      <c r="F84" s="18">
        <f t="shared" si="211"/>
        <v>4.024362872138787</v>
      </c>
      <c r="H84" s="18">
        <f t="shared" si="212"/>
        <v>5.02728986718608</v>
      </c>
      <c r="I84" s="18">
        <f t="shared" si="213"/>
        <v>3.1000572578744334</v>
      </c>
      <c r="J84" s="18">
        <f t="shared" si="214"/>
        <v>6.760598454631972</v>
      </c>
      <c r="L84" t="str">
        <f t="shared" si="255"/>
        <v>21 Science, research, engineering and technology professionals</v>
      </c>
      <c r="M84" s="18">
        <f t="shared" si="215"/>
        <v>7.7482486966418129</v>
      </c>
      <c r="N84" s="18">
        <f t="shared" si="215"/>
        <v>-5.5092214584900763</v>
      </c>
      <c r="O84" s="18">
        <f t="shared" si="215"/>
        <v>8.6171736844844471</v>
      </c>
      <c r="P84" s="18">
        <f t="shared" si="215"/>
        <v>3.9324163850283922</v>
      </c>
      <c r="Q84" s="18">
        <f t="shared" si="216"/>
        <v>4.7489094410781307</v>
      </c>
      <c r="S84" s="18">
        <f t="shared" si="217"/>
        <v>5.4711097643770801</v>
      </c>
      <c r="T84" s="18">
        <f t="shared" si="218"/>
        <v>3.3793871695303679</v>
      </c>
      <c r="U84" s="18">
        <f t="shared" si="219"/>
        <v>7.2807195218893783</v>
      </c>
      <c r="W84" t="str">
        <f t="shared" si="256"/>
        <v>21 Science, research, engineering and technology professionals</v>
      </c>
      <c r="X84" s="18">
        <f t="shared" si="220"/>
        <v>-1.2680321596662769</v>
      </c>
      <c r="Y84" s="18">
        <f t="shared" si="220"/>
        <v>9.4469640019227086</v>
      </c>
      <c r="Z84" s="18">
        <f t="shared" si="220"/>
        <v>3.0808782350908892</v>
      </c>
      <c r="AA84" s="18">
        <f t="shared" si="220"/>
        <v>0.67609612131409591</v>
      </c>
      <c r="AB84" s="18">
        <f t="shared" si="221"/>
        <v>1.9523805921348947</v>
      </c>
      <c r="AD84" s="18">
        <f t="shared" si="222"/>
        <v>1.4713911500549681</v>
      </c>
      <c r="AE84" s="18">
        <f t="shared" si="223"/>
        <v>2.5807536870077197</v>
      </c>
      <c r="AF84" s="18">
        <f t="shared" si="224"/>
        <v>3.6432313526797655</v>
      </c>
      <c r="AH84" t="str">
        <f t="shared" si="257"/>
        <v>21 Science, research, engineering and technology professionals</v>
      </c>
      <c r="AI84" s="18">
        <f t="shared" si="225"/>
        <v>-2.3204934289195789</v>
      </c>
      <c r="AJ84" s="18">
        <f t="shared" si="225"/>
        <v>14.014306967495994</v>
      </c>
      <c r="AK84" s="18">
        <f t="shared" si="225"/>
        <v>2.5416034285476785</v>
      </c>
      <c r="AL84" s="18">
        <f t="shared" si="225"/>
        <v>0.78774933740828335</v>
      </c>
      <c r="AM84" s="18">
        <f t="shared" si="226"/>
        <v>2.1165383052196507</v>
      </c>
      <c r="AO84" s="18">
        <f t="shared" si="227"/>
        <v>1.3690087060610923</v>
      </c>
      <c r="AP84" s="18">
        <f t="shared" si="228"/>
        <v>2.4770345878779576</v>
      </c>
      <c r="AQ84" s="18">
        <f t="shared" si="229"/>
        <v>3.4766382866547652</v>
      </c>
      <c r="AS84" t="str">
        <f t="shared" si="258"/>
        <v>21 Science, research, engineering and technology professionals</v>
      </c>
      <c r="AT84" s="18">
        <f t="shared" si="230"/>
        <v>-1.6101923087802006</v>
      </c>
      <c r="AU84" s="18">
        <f t="shared" si="230"/>
        <v>8.8992687465994536</v>
      </c>
      <c r="AV84" s="18">
        <f t="shared" si="230"/>
        <v>1.3615874296551311</v>
      </c>
      <c r="AW84" s="18">
        <f t="shared" si="230"/>
        <v>-2.2288911777601506E-2</v>
      </c>
      <c r="AX84" s="18">
        <f t="shared" si="231"/>
        <v>0.94597157662870135</v>
      </c>
      <c r="AZ84" s="18">
        <f t="shared" si="232"/>
        <v>0.43689104103343812</v>
      </c>
      <c r="BA84" s="18">
        <f t="shared" si="233"/>
        <v>2.1402079064319901</v>
      </c>
      <c r="BB84" s="18">
        <f t="shared" si="234"/>
        <v>2.4676812399590409</v>
      </c>
      <c r="BD84" t="str">
        <f t="shared" si="259"/>
        <v>21 Science, research, engineering and technology professionals</v>
      </c>
      <c r="BE84" s="18">
        <f t="shared" si="235"/>
        <v>3.9089563815618789</v>
      </c>
      <c r="BF84" s="18">
        <f t="shared" si="235"/>
        <v>6.86382603197635</v>
      </c>
      <c r="BG84" s="18">
        <f t="shared" si="235"/>
        <v>3.1246438112213948</v>
      </c>
      <c r="BH84" s="18">
        <f t="shared" si="235"/>
        <v>0.58682408901189476</v>
      </c>
      <c r="BI84" s="18">
        <f t="shared" si="236"/>
        <v>1.7573700991664776</v>
      </c>
      <c r="BK84" s="18">
        <f t="shared" si="237"/>
        <v>1.4257476759007792</v>
      </c>
      <c r="BL84" s="18">
        <f t="shared" si="238"/>
        <v>2.036165832574488</v>
      </c>
      <c r="BM84" s="18">
        <f t="shared" si="239"/>
        <v>3.1382324598719036</v>
      </c>
      <c r="BO84" t="str">
        <f t="shared" si="260"/>
        <v>21 Science, research, engineering and technology professionals</v>
      </c>
      <c r="BP84" s="18">
        <f t="shared" si="240"/>
        <v>2.9424431164916998</v>
      </c>
      <c r="BQ84" s="18">
        <f t="shared" si="240"/>
        <v>0.68397861742308663</v>
      </c>
      <c r="BR84" s="18">
        <f t="shared" si="240"/>
        <v>3.4490866457413061</v>
      </c>
      <c r="BS84" s="18">
        <f t="shared" si="240"/>
        <v>-0.88315392721440844</v>
      </c>
      <c r="BT84" s="18">
        <f t="shared" si="241"/>
        <v>0.54935194988672276</v>
      </c>
      <c r="BV84" s="18">
        <f t="shared" si="242"/>
        <v>0.54038324181393538</v>
      </c>
      <c r="BW84" s="18">
        <f t="shared" si="243"/>
        <v>2.2364513796203633</v>
      </c>
      <c r="BX84" s="18">
        <f t="shared" si="244"/>
        <v>2.6371060306464411</v>
      </c>
      <c r="BZ84" t="str">
        <f t="shared" si="261"/>
        <v>21 Science, research, engineering and technology professionals</v>
      </c>
      <c r="CA84" s="18">
        <f t="shared" si="245"/>
        <v>0.51631195948964592</v>
      </c>
      <c r="CB84" s="18">
        <f t="shared" si="245"/>
        <v>9.3569641700131925</v>
      </c>
      <c r="CC84" s="18">
        <f t="shared" si="245"/>
        <v>0.3578091952585849</v>
      </c>
      <c r="CD84" s="18">
        <f t="shared" si="245"/>
        <v>-3.4568264909712543</v>
      </c>
      <c r="CE84" s="18">
        <f t="shared" si="246"/>
        <v>-1.5164657187286879</v>
      </c>
      <c r="CG84" s="18">
        <f t="shared" si="247"/>
        <v>-2.2016702462008819</v>
      </c>
      <c r="CH84" s="18">
        <f t="shared" si="248"/>
        <v>1.6998637484186618</v>
      </c>
      <c r="CI84" s="18">
        <f t="shared" si="249"/>
        <v>2.508561114247243E-2</v>
      </c>
      <c r="CK84" t="str">
        <f t="shared" si="262"/>
        <v>21 Science, research, engineering and technology professionals</v>
      </c>
      <c r="CL84" s="18">
        <f t="shared" si="250"/>
        <v>1.835767060485427</v>
      </c>
      <c r="CM84" s="18">
        <f t="shared" si="250"/>
        <v>15.925673870266621</v>
      </c>
      <c r="CN84" s="18">
        <f t="shared" si="250"/>
        <v>-2.2420344171668161</v>
      </c>
      <c r="CO84" s="18">
        <f t="shared" si="250"/>
        <v>-2.0118948635025169</v>
      </c>
      <c r="CP84" s="18">
        <f t="shared" si="251"/>
        <v>-1.0496977917392014</v>
      </c>
      <c r="CR84" s="18">
        <f t="shared" si="252"/>
        <v>-2.08866818396235</v>
      </c>
      <c r="CS84" s="18">
        <f t="shared" si="253"/>
        <v>1.6002159404049365</v>
      </c>
      <c r="CT84" s="18">
        <f t="shared" si="254"/>
        <v>-1.678268452023346E-2</v>
      </c>
    </row>
    <row r="85" spans="1:98" x14ac:dyDescent="0.25">
      <c r="A85" t="str">
        <f t="shared" si="209"/>
        <v>22 Health professionals</v>
      </c>
      <c r="B85" s="18">
        <f t="shared" si="210"/>
        <v>14.751201133888813</v>
      </c>
      <c r="C85" s="18">
        <f t="shared" si="210"/>
        <v>-2.6163974901547205</v>
      </c>
      <c r="D85" s="18">
        <f t="shared" si="210"/>
        <v>5.6769890846187998</v>
      </c>
      <c r="E85" s="18">
        <f t="shared" si="210"/>
        <v>4.0997677029341872</v>
      </c>
      <c r="F85" s="18">
        <f t="shared" si="211"/>
        <v>4.1550543084547531</v>
      </c>
      <c r="H85" s="18">
        <f t="shared" si="212"/>
        <v>4.6228751151672354</v>
      </c>
      <c r="I85" s="18">
        <f t="shared" si="213"/>
        <v>3.6400057675406217</v>
      </c>
      <c r="J85" s="18">
        <f t="shared" si="214"/>
        <v>6.7911983562975786</v>
      </c>
      <c r="L85" t="str">
        <f t="shared" si="255"/>
        <v>22 Health professionals</v>
      </c>
      <c r="M85" s="18">
        <f t="shared" si="215"/>
        <v>14.51120381736677</v>
      </c>
      <c r="N85" s="18">
        <f t="shared" si="215"/>
        <v>-1.0679190583503528</v>
      </c>
      <c r="O85" s="18">
        <f t="shared" si="215"/>
        <v>3.5931661177815988</v>
      </c>
      <c r="P85" s="18">
        <f t="shared" si="215"/>
        <v>3.6240778434071919</v>
      </c>
      <c r="Q85" s="18">
        <f t="shared" si="216"/>
        <v>3.3147826913774825</v>
      </c>
      <c r="S85" s="18">
        <f t="shared" si="217"/>
        <v>3.6137729101215488</v>
      </c>
      <c r="T85" s="18">
        <f t="shared" si="218"/>
        <v>3.471650211677324</v>
      </c>
      <c r="U85" s="18">
        <f t="shared" si="219"/>
        <v>5.9262414462569746</v>
      </c>
      <c r="W85" t="str">
        <f t="shared" si="256"/>
        <v>22 Health professionals</v>
      </c>
      <c r="X85" s="18">
        <f t="shared" si="220"/>
        <v>4.7172187214975292</v>
      </c>
      <c r="Y85" s="18">
        <f t="shared" si="220"/>
        <v>6.1050548078460887</v>
      </c>
      <c r="Z85" s="18">
        <f t="shared" si="220"/>
        <v>-0.27424149215448113</v>
      </c>
      <c r="AA85" s="18">
        <f t="shared" si="220"/>
        <v>0.32764255935611164</v>
      </c>
      <c r="AB85" s="18">
        <f t="shared" si="221"/>
        <v>0.49019308020676888</v>
      </c>
      <c r="AD85" s="18">
        <f t="shared" si="222"/>
        <v>0.12661199815191537</v>
      </c>
      <c r="AE85" s="18">
        <f t="shared" si="223"/>
        <v>3.1086990026799599</v>
      </c>
      <c r="AF85" s="18">
        <f t="shared" si="224"/>
        <v>3.191446021151112</v>
      </c>
      <c r="AH85" t="str">
        <f t="shared" si="257"/>
        <v>22 Health professionals</v>
      </c>
      <c r="AI85" s="18">
        <f t="shared" si="225"/>
        <v>-4.0465022175504295</v>
      </c>
      <c r="AJ85" s="18">
        <f t="shared" si="225"/>
        <v>-2.1991526843493592</v>
      </c>
      <c r="AK85" s="18">
        <f t="shared" si="225"/>
        <v>-11.913271024939654</v>
      </c>
      <c r="AL85" s="18">
        <f t="shared" si="225"/>
        <v>-9.5444547328948026</v>
      </c>
      <c r="AM85" s="18">
        <f t="shared" si="226"/>
        <v>-9.8526557248824744</v>
      </c>
      <c r="AO85" s="18">
        <f t="shared" si="227"/>
        <v>-10.341054858765009</v>
      </c>
      <c r="AP85" s="18">
        <f t="shared" si="228"/>
        <v>1.1137997369577768</v>
      </c>
      <c r="AQ85" s="18">
        <f t="shared" si="229"/>
        <v>-6.325681702606345</v>
      </c>
      <c r="AS85" t="str">
        <f t="shared" si="258"/>
        <v>22 Health professionals</v>
      </c>
      <c r="AT85" s="18">
        <f t="shared" si="230"/>
        <v>2.7809356654066919</v>
      </c>
      <c r="AU85" s="18">
        <f t="shared" si="230"/>
        <v>14.036887903798224</v>
      </c>
      <c r="AV85" s="18">
        <f t="shared" si="230"/>
        <v>-5.6336390450772988E-2</v>
      </c>
      <c r="AW85" s="18">
        <f t="shared" si="230"/>
        <v>0.65531317493867647</v>
      </c>
      <c r="AX85" s="18">
        <f t="shared" si="231"/>
        <v>1.2189424552587091</v>
      </c>
      <c r="AZ85" s="18">
        <f t="shared" si="232"/>
        <v>0.41753539361761849</v>
      </c>
      <c r="BA85" s="18">
        <f t="shared" si="233"/>
        <v>2.8400387354481804</v>
      </c>
      <c r="BB85" s="18">
        <f t="shared" si="234"/>
        <v>3.1249551790972996</v>
      </c>
      <c r="BD85" t="str">
        <f t="shared" si="259"/>
        <v>22 Health professionals</v>
      </c>
      <c r="BE85" s="18">
        <f t="shared" si="235"/>
        <v>8.9726044760354728</v>
      </c>
      <c r="BF85" s="18">
        <f t="shared" si="235"/>
        <v>-8.5589895886520218</v>
      </c>
      <c r="BG85" s="18">
        <f t="shared" si="235"/>
        <v>0.66468235976420154</v>
      </c>
      <c r="BH85" s="18">
        <f t="shared" si="235"/>
        <v>-0.59909890477575223</v>
      </c>
      <c r="BI85" s="18">
        <f t="shared" si="236"/>
        <v>-0.72512092263831152</v>
      </c>
      <c r="BK85" s="18">
        <f t="shared" si="237"/>
        <v>-0.17961127814898337</v>
      </c>
      <c r="BL85" s="18">
        <f t="shared" si="238"/>
        <v>3.0467387423276371</v>
      </c>
      <c r="BM85" s="18">
        <f t="shared" si="239"/>
        <v>2.9292858405973954</v>
      </c>
      <c r="BO85" t="str">
        <f t="shared" si="260"/>
        <v>22 Health professionals</v>
      </c>
      <c r="BP85" s="18">
        <f t="shared" si="240"/>
        <v>6.2713304559111727</v>
      </c>
      <c r="BQ85" s="18">
        <f t="shared" si="240"/>
        <v>-16.757938827485773</v>
      </c>
      <c r="BR85" s="18">
        <f t="shared" si="240"/>
        <v>0.20865564009842075</v>
      </c>
      <c r="BS85" s="18">
        <f t="shared" si="240"/>
        <v>-2.124469738816126</v>
      </c>
      <c r="BT85" s="18">
        <f t="shared" si="241"/>
        <v>-2.3941960956763375</v>
      </c>
      <c r="BV85" s="18">
        <f t="shared" si="242"/>
        <v>-1.3528603081167989</v>
      </c>
      <c r="BW85" s="18">
        <f t="shared" si="243"/>
        <v>2.7366172325090199</v>
      </c>
      <c r="BX85" s="18">
        <f t="shared" si="244"/>
        <v>1.8396217421079886</v>
      </c>
      <c r="BZ85" t="str">
        <f t="shared" si="261"/>
        <v>22 Health professionals</v>
      </c>
      <c r="CA85" s="18">
        <f t="shared" si="245"/>
        <v>5.3882634358449977</v>
      </c>
      <c r="CB85" s="18">
        <f t="shared" si="245"/>
        <v>-23.889986942420581</v>
      </c>
      <c r="CC85" s="18">
        <f t="shared" si="245"/>
        <v>-4.1149087691349395</v>
      </c>
      <c r="CD85" s="18">
        <f t="shared" si="245"/>
        <v>-6.998207490207486</v>
      </c>
      <c r="CE85" s="18">
        <f t="shared" si="246"/>
        <v>-7.2755211511348117</v>
      </c>
      <c r="CG85" s="18">
        <f t="shared" si="247"/>
        <v>-6.0468725046261103</v>
      </c>
      <c r="CH85" s="18">
        <f t="shared" si="248"/>
        <v>1.7437546594041953</v>
      </c>
      <c r="CI85" s="18">
        <f t="shared" si="249"/>
        <v>-2.458702596102047</v>
      </c>
      <c r="CK85" t="str">
        <f t="shared" si="262"/>
        <v>22 Health professionals</v>
      </c>
      <c r="CL85" s="18">
        <f t="shared" si="250"/>
        <v>3.6232237065804807</v>
      </c>
      <c r="CM85" s="18">
        <f t="shared" si="250"/>
        <v>27.147900670370852</v>
      </c>
      <c r="CN85" s="18">
        <f t="shared" si="250"/>
        <v>-8.5511325849092383</v>
      </c>
      <c r="CO85" s="18">
        <f t="shared" si="250"/>
        <v>-1.6476809615447285</v>
      </c>
      <c r="CP85" s="18">
        <f t="shared" si="251"/>
        <v>-2.3037416771439001</v>
      </c>
      <c r="CR85" s="18">
        <f t="shared" si="252"/>
        <v>-4.0048746404951707</v>
      </c>
      <c r="CS85" s="18">
        <f t="shared" si="253"/>
        <v>1.6710662073652571</v>
      </c>
      <c r="CT85" s="18">
        <f t="shared" si="254"/>
        <v>-1.2831667264674884</v>
      </c>
    </row>
    <row r="86" spans="1:98" x14ac:dyDescent="0.25">
      <c r="A86" t="str">
        <f t="shared" si="209"/>
        <v>23 Teaching and other educational professionals</v>
      </c>
      <c r="B86" s="18">
        <f t="shared" si="210"/>
        <v>5.8861870723007303</v>
      </c>
      <c r="C86" s="18">
        <f t="shared" si="210"/>
        <v>3.3071495083225155</v>
      </c>
      <c r="D86" s="18">
        <f t="shared" si="210"/>
        <v>2.8425309567125412</v>
      </c>
      <c r="E86" s="18">
        <f t="shared" si="210"/>
        <v>2.3236539082388097</v>
      </c>
      <c r="F86" s="18">
        <f t="shared" si="211"/>
        <v>2.5468111832956497</v>
      </c>
      <c r="H86" s="18">
        <f t="shared" si="212"/>
        <v>2.4963213903448356</v>
      </c>
      <c r="I86" s="18">
        <f t="shared" si="213"/>
        <v>3.2018919047414496</v>
      </c>
      <c r="J86" s="18">
        <f t="shared" si="214"/>
        <v>4.9085278633253182</v>
      </c>
      <c r="L86" t="str">
        <f t="shared" si="255"/>
        <v>23 Teaching and other educational professionals</v>
      </c>
      <c r="M86" s="18">
        <f t="shared" si="215"/>
        <v>7.0290285619480475</v>
      </c>
      <c r="N86" s="18">
        <f t="shared" si="215"/>
        <v>4.5133571796346805</v>
      </c>
      <c r="O86" s="18">
        <f t="shared" si="215"/>
        <v>2.5615179317618253</v>
      </c>
      <c r="P86" s="18">
        <f t="shared" si="215"/>
        <v>2.2586216009248261</v>
      </c>
      <c r="Q86" s="18">
        <f t="shared" si="216"/>
        <v>2.4927943454817081</v>
      </c>
      <c r="S86" s="18">
        <f t="shared" si="217"/>
        <v>2.3594875196411458</v>
      </c>
      <c r="T86" s="18">
        <f t="shared" si="218"/>
        <v>3.2477006270575481</v>
      </c>
      <c r="U86" s="18">
        <f t="shared" si="219"/>
        <v>4.8469165184588547</v>
      </c>
      <c r="W86" t="str">
        <f t="shared" si="256"/>
        <v>23 Teaching and other educational professionals</v>
      </c>
      <c r="X86" s="18">
        <f t="shared" si="220"/>
        <v>-5.5369034190533846</v>
      </c>
      <c r="Y86" s="18">
        <f t="shared" si="220"/>
        <v>12.430421515641953</v>
      </c>
      <c r="Z86" s="18">
        <f t="shared" si="220"/>
        <v>-5.1587903390247885</v>
      </c>
      <c r="AA86" s="18">
        <f t="shared" si="220"/>
        <v>-3.4298549026511194</v>
      </c>
      <c r="AB86" s="18">
        <f t="shared" si="221"/>
        <v>-3.0565142630557984</v>
      </c>
      <c r="AD86" s="18">
        <f t="shared" si="222"/>
        <v>-4.0096406537495906</v>
      </c>
      <c r="AE86" s="18">
        <f t="shared" si="223"/>
        <v>2.2129198212684997</v>
      </c>
      <c r="AF86" s="18">
        <f t="shared" si="224"/>
        <v>-0.48333832715772296</v>
      </c>
      <c r="AH86" t="str">
        <f t="shared" si="257"/>
        <v>23 Teaching and other educational professionals</v>
      </c>
      <c r="AI86" s="18">
        <f t="shared" si="225"/>
        <v>-16.432258126258105</v>
      </c>
      <c r="AJ86" s="18">
        <f t="shared" si="225"/>
        <v>-1.857734312585857</v>
      </c>
      <c r="AK86" s="18">
        <f t="shared" si="225"/>
        <v>-12.273310968424934</v>
      </c>
      <c r="AL86" s="18">
        <f t="shared" si="225"/>
        <v>-0.12580520837558451</v>
      </c>
      <c r="AM86" s="18">
        <f t="shared" si="226"/>
        <v>-4.1972489980466987</v>
      </c>
      <c r="AO86" s="18">
        <f t="shared" si="227"/>
        <v>-4.3512188564036265</v>
      </c>
      <c r="AP86" s="18">
        <f t="shared" si="228"/>
        <v>1.0263277037588781</v>
      </c>
      <c r="AQ86" s="18">
        <f t="shared" si="229"/>
        <v>-2.5516601684014928</v>
      </c>
      <c r="AS86" t="str">
        <f t="shared" si="258"/>
        <v>23 Teaching and other educational professionals</v>
      </c>
      <c r="AT86" s="18">
        <f t="shared" si="230"/>
        <v>-5.755274262140853</v>
      </c>
      <c r="AU86" s="18">
        <f t="shared" si="230"/>
        <v>14.970940658102583</v>
      </c>
      <c r="AV86" s="18">
        <f t="shared" si="230"/>
        <v>-5.7220217265524065</v>
      </c>
      <c r="AW86" s="18">
        <f t="shared" si="230"/>
        <v>-2.1940071911485837</v>
      </c>
      <c r="AX86" s="18">
        <f t="shared" si="231"/>
        <v>-2.3283829477600881</v>
      </c>
      <c r="AZ86" s="18">
        <f t="shared" si="232"/>
        <v>-3.3844425092843688</v>
      </c>
      <c r="BA86" s="18">
        <f t="shared" si="233"/>
        <v>2.0280814317191309</v>
      </c>
      <c r="BB86" s="18">
        <f t="shared" si="234"/>
        <v>-0.35489439302054393</v>
      </c>
      <c r="BD86" t="str">
        <f t="shared" si="259"/>
        <v>23 Teaching and other educational professionals</v>
      </c>
      <c r="BE86" s="18">
        <f t="shared" si="235"/>
        <v>0.64525171020608507</v>
      </c>
      <c r="BF86" s="18">
        <f t="shared" si="235"/>
        <v>8.5067263789028402</v>
      </c>
      <c r="BG86" s="18">
        <f t="shared" si="235"/>
        <v>-2.0385934224948277</v>
      </c>
      <c r="BH86" s="18">
        <f t="shared" si="235"/>
        <v>6.1075011388700418E-2</v>
      </c>
      <c r="BI86" s="18">
        <f t="shared" si="236"/>
        <v>-9.5175681741321849E-2</v>
      </c>
      <c r="BK86" s="18">
        <f t="shared" si="237"/>
        <v>-0.64376781019610529</v>
      </c>
      <c r="BL86" s="18">
        <f t="shared" si="238"/>
        <v>2.2741560906831548</v>
      </c>
      <c r="BM86" s="18">
        <f t="shared" si="239"/>
        <v>1.8104171640827449</v>
      </c>
      <c r="BO86" t="str">
        <f t="shared" si="260"/>
        <v>23 Teaching and other educational professionals</v>
      </c>
      <c r="BP86" s="18">
        <f t="shared" si="240"/>
        <v>-7.3658082019845139E-2</v>
      </c>
      <c r="BQ86" s="18">
        <f t="shared" si="240"/>
        <v>-9.7393216670852212</v>
      </c>
      <c r="BR86" s="18">
        <f t="shared" si="240"/>
        <v>-2.1930551472587045</v>
      </c>
      <c r="BS86" s="18">
        <f t="shared" si="240"/>
        <v>-2.759317251058846</v>
      </c>
      <c r="BT86" s="18">
        <f t="shared" si="241"/>
        <v>-3.0351810532469714</v>
      </c>
      <c r="BV86" s="18">
        <f t="shared" si="242"/>
        <v>-2.5709284264435639</v>
      </c>
      <c r="BW86" s="18">
        <f t="shared" si="243"/>
        <v>2.4352420326710034</v>
      </c>
      <c r="BX86" s="18">
        <f t="shared" si="244"/>
        <v>0.70558231929602755</v>
      </c>
      <c r="BZ86" t="str">
        <f t="shared" si="261"/>
        <v>23 Teaching and other educational professionals</v>
      </c>
      <c r="CA86" s="18">
        <f t="shared" si="245"/>
        <v>-0.78999429051425096</v>
      </c>
      <c r="CB86" s="18">
        <f t="shared" si="245"/>
        <v>0.71390976665512973</v>
      </c>
      <c r="CC86" s="18">
        <f t="shared" si="245"/>
        <v>-4.6786923490582328</v>
      </c>
      <c r="CD86" s="18">
        <f t="shared" si="245"/>
        <v>-5.5604837115232675</v>
      </c>
      <c r="CE86" s="18">
        <f t="shared" si="246"/>
        <v>-4.9042605949690117</v>
      </c>
      <c r="CG86" s="18">
        <f t="shared" si="247"/>
        <v>-5.2674633607912806</v>
      </c>
      <c r="CH86" s="18">
        <f t="shared" si="248"/>
        <v>1.8977876702208407</v>
      </c>
      <c r="CI86" s="18">
        <f t="shared" si="249"/>
        <v>-1.7283053594449038</v>
      </c>
      <c r="CK86" t="str">
        <f t="shared" si="262"/>
        <v>23 Teaching and other educational professionals</v>
      </c>
      <c r="CL86" s="18">
        <f t="shared" si="250"/>
        <v>1.3907647437557014</v>
      </c>
      <c r="CM86" s="18">
        <f t="shared" si="250"/>
        <v>38.558305927159012</v>
      </c>
      <c r="CN86" s="18">
        <f t="shared" si="250"/>
        <v>-7.2744606439866688</v>
      </c>
      <c r="CO86" s="18">
        <f t="shared" si="250"/>
        <v>-2.1464661717549349</v>
      </c>
      <c r="CP86" s="18">
        <f t="shared" si="251"/>
        <v>-1.6640859018790977</v>
      </c>
      <c r="CR86" s="18">
        <f t="shared" si="252"/>
        <v>-3.8865576158440551</v>
      </c>
      <c r="CS86" s="18">
        <f t="shared" si="253"/>
        <v>1.7645800008566415</v>
      </c>
      <c r="CT86" s="18">
        <f t="shared" si="254"/>
        <v>-1.0637070747496424</v>
      </c>
    </row>
    <row r="87" spans="1:98" x14ac:dyDescent="0.25">
      <c r="A87" t="str">
        <f t="shared" si="209"/>
        <v>24 Business, media and public service professionals</v>
      </c>
      <c r="B87" s="18">
        <f t="shared" si="210"/>
        <v>8.6434554894916804</v>
      </c>
      <c r="C87" s="18">
        <f t="shared" si="210"/>
        <v>1.5677422065409674</v>
      </c>
      <c r="D87" s="18">
        <f t="shared" si="210"/>
        <v>5.5512857078835909</v>
      </c>
      <c r="E87" s="18">
        <f t="shared" si="210"/>
        <v>4.4404555604306228</v>
      </c>
      <c r="F87" s="18">
        <f t="shared" si="211"/>
        <v>4.6038244713797249</v>
      </c>
      <c r="H87" s="18">
        <f t="shared" si="212"/>
        <v>4.8094272225009727</v>
      </c>
      <c r="I87" s="18">
        <f t="shared" si="213"/>
        <v>3.660576603504051</v>
      </c>
      <c r="J87" s="18">
        <f t="shared" si="214"/>
        <v>6.944927729130046</v>
      </c>
      <c r="L87" t="str">
        <f t="shared" si="255"/>
        <v>24 Business, media and public service professionals</v>
      </c>
      <c r="M87" s="18">
        <f t="shared" si="215"/>
        <v>9.8198036830496882</v>
      </c>
      <c r="N87" s="18">
        <f t="shared" si="215"/>
        <v>0.46625406952254256</v>
      </c>
      <c r="O87" s="18">
        <f t="shared" si="215"/>
        <v>4.224129790001574</v>
      </c>
      <c r="P87" s="18">
        <f t="shared" si="215"/>
        <v>3.3599310714242936</v>
      </c>
      <c r="Q87" s="18">
        <f t="shared" si="216"/>
        <v>3.4454711044134667</v>
      </c>
      <c r="S87" s="18">
        <f t="shared" si="217"/>
        <v>3.647198173044286</v>
      </c>
      <c r="T87" s="18">
        <f t="shared" si="218"/>
        <v>3.3755059182196234</v>
      </c>
      <c r="U87" s="18">
        <f t="shared" si="219"/>
        <v>5.881913090496993</v>
      </c>
      <c r="W87" t="str">
        <f t="shared" si="256"/>
        <v>24 Business, media and public service professionals</v>
      </c>
      <c r="X87" s="18">
        <f t="shared" si="220"/>
        <v>-0.14913940666180237</v>
      </c>
      <c r="Y87" s="18">
        <f t="shared" si="220"/>
        <v>17.767558256338688</v>
      </c>
      <c r="Z87" s="18">
        <f t="shared" si="220"/>
        <v>0.14248540692991529</v>
      </c>
      <c r="AA87" s="18">
        <f t="shared" si="220"/>
        <v>0.77907407966069098</v>
      </c>
      <c r="AB87" s="18">
        <f t="shared" si="221"/>
        <v>1.5637718394491351</v>
      </c>
      <c r="AD87" s="18">
        <f t="shared" si="222"/>
        <v>0.56642948933549597</v>
      </c>
      <c r="AE87" s="18">
        <f t="shared" si="223"/>
        <v>2.926953848631908</v>
      </c>
      <c r="AF87" s="18">
        <f t="shared" si="224"/>
        <v>3.3103774717899048</v>
      </c>
      <c r="AH87" t="str">
        <f t="shared" si="257"/>
        <v>24 Business, media and public service professionals</v>
      </c>
      <c r="AI87" s="18">
        <f t="shared" si="225"/>
        <v>-2.4176249217515156</v>
      </c>
      <c r="AJ87" s="18">
        <f t="shared" si="225"/>
        <v>19.401894890612503</v>
      </c>
      <c r="AK87" s="18">
        <f t="shared" si="225"/>
        <v>-2.3144682086913893</v>
      </c>
      <c r="AL87" s="18">
        <f t="shared" si="225"/>
        <v>0.20717576666837711</v>
      </c>
      <c r="AM87" s="18">
        <f t="shared" si="226"/>
        <v>0.50714037690435809</v>
      </c>
      <c r="AO87" s="18">
        <f t="shared" si="227"/>
        <v>-0.64052308059037166</v>
      </c>
      <c r="AP87" s="18">
        <f t="shared" si="228"/>
        <v>2.0034754937488852</v>
      </c>
      <c r="AQ87" s="18">
        <f t="shared" si="229"/>
        <v>1.5239714762526502</v>
      </c>
      <c r="AS87" t="str">
        <f t="shared" si="258"/>
        <v>24 Business, media and public service professionals</v>
      </c>
      <c r="AT87" s="18">
        <f t="shared" si="230"/>
        <v>-1.3567240675602443</v>
      </c>
      <c r="AU87" s="18">
        <f t="shared" si="230"/>
        <v>17.779607035162282</v>
      </c>
      <c r="AV87" s="18">
        <f t="shared" si="230"/>
        <v>-0.14359507663658233</v>
      </c>
      <c r="AW87" s="18">
        <f t="shared" si="230"/>
        <v>0.76218756166468449</v>
      </c>
      <c r="AX87" s="18">
        <f t="shared" si="231"/>
        <v>1.4630353594933698</v>
      </c>
      <c r="AZ87" s="18">
        <f t="shared" si="232"/>
        <v>0.4593507632781435</v>
      </c>
      <c r="BA87" s="18">
        <f t="shared" si="233"/>
        <v>2.712298961390891</v>
      </c>
      <c r="BB87" s="18">
        <f t="shared" si="234"/>
        <v>3.0314363637446107</v>
      </c>
      <c r="BD87" t="str">
        <f t="shared" si="259"/>
        <v>24 Business, media and public service professionals</v>
      </c>
      <c r="BE87" s="18">
        <f t="shared" si="235"/>
        <v>5.0973051096792288</v>
      </c>
      <c r="BF87" s="18">
        <f t="shared" si="235"/>
        <v>10.448056819715724</v>
      </c>
      <c r="BG87" s="18">
        <f t="shared" si="235"/>
        <v>1.1343445128517482</v>
      </c>
      <c r="BH87" s="18">
        <f t="shared" si="235"/>
        <v>0.89246197655667991</v>
      </c>
      <c r="BI87" s="18">
        <f t="shared" si="236"/>
        <v>1.5406437309209764</v>
      </c>
      <c r="BK87" s="18">
        <f t="shared" si="237"/>
        <v>0.97302514141885954</v>
      </c>
      <c r="BL87" s="18">
        <f t="shared" si="238"/>
        <v>2.5497561476055086</v>
      </c>
      <c r="BM87" s="18">
        <f t="shared" si="239"/>
        <v>3.2480520433331828</v>
      </c>
      <c r="BO87" t="str">
        <f t="shared" si="260"/>
        <v>24 Business, media and public service professionals</v>
      </c>
      <c r="BP87" s="18">
        <f t="shared" si="240"/>
        <v>2.0778490422185936</v>
      </c>
      <c r="BQ87" s="18">
        <f t="shared" si="240"/>
        <v>-1.7800850549996583</v>
      </c>
      <c r="BR87" s="18">
        <f t="shared" si="240"/>
        <v>-0.28395620385780473</v>
      </c>
      <c r="BS87" s="18">
        <f t="shared" si="240"/>
        <v>-1.5223521796060346</v>
      </c>
      <c r="BT87" s="18">
        <f t="shared" si="241"/>
        <v>-1.153205826760928</v>
      </c>
      <c r="BV87" s="18">
        <f t="shared" si="242"/>
        <v>-1.111271902151123</v>
      </c>
      <c r="BW87" s="18">
        <f t="shared" si="243"/>
        <v>2.3143798644350344</v>
      </c>
      <c r="BX87" s="18">
        <f t="shared" si="244"/>
        <v>1.5264250765122389</v>
      </c>
      <c r="BZ87" t="str">
        <f t="shared" si="261"/>
        <v>24 Business, media and public service professionals</v>
      </c>
      <c r="CA87" s="18">
        <f t="shared" si="245"/>
        <v>0.9280000967226476</v>
      </c>
      <c r="CB87" s="18">
        <f t="shared" si="245"/>
        <v>5.6334181521714877</v>
      </c>
      <c r="CC87" s="18">
        <f t="shared" si="245"/>
        <v>-3.2018023052155176</v>
      </c>
      <c r="CD87" s="18">
        <f t="shared" si="245"/>
        <v>-4.52514556860325</v>
      </c>
      <c r="CE87" s="18">
        <f t="shared" si="246"/>
        <v>-3.505683634003931</v>
      </c>
      <c r="CG87" s="18">
        <f t="shared" si="247"/>
        <v>-4.0860536411350123</v>
      </c>
      <c r="CH87" s="18">
        <f t="shared" si="248"/>
        <v>1.7643393166028476</v>
      </c>
      <c r="CI87" s="18">
        <f t="shared" si="249"/>
        <v>-1.1964124749315186</v>
      </c>
      <c r="CK87" t="str">
        <f t="shared" si="262"/>
        <v>24 Business, media and public service professionals</v>
      </c>
      <c r="CL87" s="18">
        <f t="shared" si="250"/>
        <v>0.5915676585372287</v>
      </c>
      <c r="CM87" s="18">
        <f t="shared" si="250"/>
        <v>21.630837353325649</v>
      </c>
      <c r="CN87" s="18">
        <f t="shared" si="250"/>
        <v>-6.4339883501635775</v>
      </c>
      <c r="CO87" s="18">
        <f t="shared" si="250"/>
        <v>-2.7273118554131393</v>
      </c>
      <c r="CP87" s="18">
        <f t="shared" si="251"/>
        <v>-2.5495236295437151</v>
      </c>
      <c r="CR87" s="18">
        <f t="shared" si="252"/>
        <v>-3.9789056972928449</v>
      </c>
      <c r="CS87" s="18">
        <f t="shared" si="253"/>
        <v>1.5168793251565393</v>
      </c>
      <c r="CT87" s="18">
        <f t="shared" si="254"/>
        <v>-1.4993907228672332</v>
      </c>
    </row>
    <row r="88" spans="1:98" x14ac:dyDescent="0.25">
      <c r="A88" t="str">
        <f t="shared" si="209"/>
        <v>31 Science, engineering and technology associate professionals</v>
      </c>
      <c r="B88" s="18">
        <f t="shared" si="210"/>
        <v>6.439265575065356</v>
      </c>
      <c r="C88" s="18">
        <f t="shared" si="210"/>
        <v>-5.1120433157411993</v>
      </c>
      <c r="D88" s="18">
        <f t="shared" si="210"/>
        <v>4.6297796405427416</v>
      </c>
      <c r="E88" s="18">
        <f t="shared" si="210"/>
        <v>5.203699520022731</v>
      </c>
      <c r="F88" s="18">
        <f t="shared" si="211"/>
        <v>4.3487763381304001</v>
      </c>
      <c r="H88" s="18">
        <f t="shared" si="212"/>
        <v>5.0120439557068908</v>
      </c>
      <c r="I88" s="18">
        <f t="shared" si="213"/>
        <v>3.4383229745793997</v>
      </c>
      <c r="J88" s="18">
        <f t="shared" si="214"/>
        <v>6.9582920651502178</v>
      </c>
      <c r="L88" t="str">
        <f t="shared" si="255"/>
        <v>31 Science, engineering and technology associate professionals</v>
      </c>
      <c r="M88" s="18">
        <f t="shared" si="215"/>
        <v>8.4708807831488819</v>
      </c>
      <c r="N88" s="18">
        <f t="shared" si="215"/>
        <v>-4.8837389558516575</v>
      </c>
      <c r="O88" s="18">
        <f t="shared" si="215"/>
        <v>2.4919023073033175</v>
      </c>
      <c r="P88" s="18">
        <f t="shared" si="215"/>
        <v>3.5443755661038523</v>
      </c>
      <c r="Q88" s="18">
        <f t="shared" si="216"/>
        <v>2.6680892857166905</v>
      </c>
      <c r="S88" s="18">
        <f t="shared" si="217"/>
        <v>3.1923557408747971</v>
      </c>
      <c r="T88" s="18">
        <f t="shared" si="218"/>
        <v>2.8346740233495593</v>
      </c>
      <c r="U88" s="18">
        <f t="shared" si="219"/>
        <v>5.1471491581127848</v>
      </c>
      <c r="W88" t="str">
        <f t="shared" si="256"/>
        <v>31 Science, engineering and technology associate professionals</v>
      </c>
      <c r="X88" s="18">
        <f t="shared" si="220"/>
        <v>-0.68248529036049055</v>
      </c>
      <c r="Y88" s="18">
        <f t="shared" si="220"/>
        <v>10.259712118080277</v>
      </c>
      <c r="Z88" s="18">
        <f t="shared" si="220"/>
        <v>-0.9681224048860515</v>
      </c>
      <c r="AA88" s="18">
        <f t="shared" si="220"/>
        <v>0.95964706469866545</v>
      </c>
      <c r="AB88" s="18">
        <f t="shared" si="221"/>
        <v>0.90742755691726185</v>
      </c>
      <c r="AD88" s="18">
        <f t="shared" si="222"/>
        <v>0.3129233273024612</v>
      </c>
      <c r="AE88" s="18">
        <f t="shared" si="223"/>
        <v>2.4455192143636895</v>
      </c>
      <c r="AF88" s="18">
        <f t="shared" si="224"/>
        <v>2.6701127374190392</v>
      </c>
      <c r="AH88" t="str">
        <f t="shared" si="257"/>
        <v>31 Science, engineering and technology associate professionals</v>
      </c>
      <c r="AI88" s="18">
        <f t="shared" si="225"/>
        <v>1.1547043747125452</v>
      </c>
      <c r="AJ88" s="18">
        <f t="shared" si="225"/>
        <v>17.200103840409753</v>
      </c>
      <c r="AK88" s="18">
        <f t="shared" si="225"/>
        <v>4.773713143206848E-2</v>
      </c>
      <c r="AL88" s="18">
        <f t="shared" si="225"/>
        <v>2.4851109210439981</v>
      </c>
      <c r="AM88" s="18">
        <f t="shared" si="226"/>
        <v>2.5736373905051568</v>
      </c>
      <c r="AO88" s="18">
        <f t="shared" si="227"/>
        <v>1.6661257004472629</v>
      </c>
      <c r="AP88" s="18">
        <f t="shared" si="228"/>
        <v>2.7564118608802257</v>
      </c>
      <c r="AQ88" s="18">
        <f t="shared" si="229"/>
        <v>3.9379220530007197</v>
      </c>
      <c r="AS88" t="str">
        <f t="shared" si="258"/>
        <v>31 Science, engineering and technology associate professionals</v>
      </c>
      <c r="AT88" s="18">
        <f t="shared" si="230"/>
        <v>-1.5727406645812514</v>
      </c>
      <c r="AU88" s="18">
        <f t="shared" si="230"/>
        <v>8.1543460130677694</v>
      </c>
      <c r="AV88" s="18">
        <f t="shared" si="230"/>
        <v>-3.420838169109075</v>
      </c>
      <c r="AW88" s="18">
        <f t="shared" si="230"/>
        <v>-0.2200815362895403</v>
      </c>
      <c r="AX88" s="18">
        <f t="shared" si="231"/>
        <v>-0.73279671110078048</v>
      </c>
      <c r="AZ88" s="18">
        <f t="shared" si="232"/>
        <v>-1.2986164420756507</v>
      </c>
      <c r="BA88" s="18">
        <f t="shared" si="233"/>
        <v>1.85759107992991</v>
      </c>
      <c r="BB88" s="18">
        <f t="shared" si="234"/>
        <v>0.87683118417234418</v>
      </c>
      <c r="BD88" t="str">
        <f t="shared" si="259"/>
        <v>31 Science, engineering and technology associate professionals</v>
      </c>
      <c r="BE88" s="18">
        <f t="shared" si="235"/>
        <v>0.22395300641597782</v>
      </c>
      <c r="BF88" s="18">
        <f t="shared" si="235"/>
        <v>8.0137902080043233</v>
      </c>
      <c r="BG88" s="18">
        <f t="shared" si="235"/>
        <v>-3.0809500648839472</v>
      </c>
      <c r="BH88" s="18">
        <f t="shared" si="235"/>
        <v>-1.3790921067799555</v>
      </c>
      <c r="BI88" s="18">
        <f t="shared" si="236"/>
        <v>-1.3548058610392766</v>
      </c>
      <c r="BK88" s="18">
        <f t="shared" si="237"/>
        <v>-1.9496728764880178</v>
      </c>
      <c r="BL88" s="18">
        <f t="shared" si="238"/>
        <v>1.6741773888524047</v>
      </c>
      <c r="BM88" s="18">
        <f t="shared" si="239"/>
        <v>0.17830407055916542</v>
      </c>
      <c r="BO88" t="str">
        <f t="shared" si="260"/>
        <v>31 Science, engineering and technology associate professionals</v>
      </c>
      <c r="BP88" s="18">
        <f t="shared" si="240"/>
        <v>3.4325399121748257</v>
      </c>
      <c r="BQ88" s="18">
        <f t="shared" si="240"/>
        <v>2.1547600011656565</v>
      </c>
      <c r="BR88" s="18">
        <f t="shared" si="240"/>
        <v>-1.0098646649748799</v>
      </c>
      <c r="BS88" s="18">
        <f t="shared" si="240"/>
        <v>-0.39836593424632527</v>
      </c>
      <c r="BT88" s="18">
        <f t="shared" si="241"/>
        <v>-0.43248296005491405</v>
      </c>
      <c r="BV88" s="18">
        <f t="shared" si="242"/>
        <v>-0.60261741341998132</v>
      </c>
      <c r="BW88" s="18">
        <f t="shared" si="243"/>
        <v>2.0769193834082156</v>
      </c>
      <c r="BX88" s="18">
        <f t="shared" si="244"/>
        <v>1.630147712915031</v>
      </c>
      <c r="BZ88" t="str">
        <f t="shared" si="261"/>
        <v>31 Science, engineering and technology associate professionals</v>
      </c>
      <c r="CA88" s="18">
        <f t="shared" si="245"/>
        <v>0.99539563088768546</v>
      </c>
      <c r="CB88" s="18">
        <f t="shared" si="245"/>
        <v>16.120006956486698</v>
      </c>
      <c r="CC88" s="18">
        <f t="shared" si="245"/>
        <v>-4.774463247740746</v>
      </c>
      <c r="CD88" s="18">
        <f t="shared" si="245"/>
        <v>-2.5848394711853517</v>
      </c>
      <c r="CE88" s="18">
        <f t="shared" si="246"/>
        <v>-2.2067832989744129</v>
      </c>
      <c r="CG88" s="18">
        <f t="shared" si="247"/>
        <v>-3.3202519128927133</v>
      </c>
      <c r="CH88" s="18">
        <f t="shared" si="248"/>
        <v>1.5928666498073119</v>
      </c>
      <c r="CI88" s="18">
        <f t="shared" si="249"/>
        <v>-0.92331534882920119</v>
      </c>
      <c r="CK88" t="str">
        <f t="shared" si="262"/>
        <v>31 Science, engineering and technology associate professionals</v>
      </c>
      <c r="CL88" s="18">
        <f t="shared" si="250"/>
        <v>2.0146718281228493</v>
      </c>
      <c r="CM88" s="18">
        <f t="shared" si="250"/>
        <v>31.848821037891796</v>
      </c>
      <c r="CN88" s="18">
        <f t="shared" si="250"/>
        <v>-4.6910718021049398</v>
      </c>
      <c r="CO88" s="18">
        <f t="shared" si="250"/>
        <v>1.1552690696277512</v>
      </c>
      <c r="CP88" s="18">
        <f t="shared" si="251"/>
        <v>0.94895549589553152</v>
      </c>
      <c r="CR88" s="18">
        <f t="shared" si="252"/>
        <v>-0.83230892643829657</v>
      </c>
      <c r="CS88" s="18">
        <f t="shared" si="253"/>
        <v>1.9023554910414742</v>
      </c>
      <c r="CT88" s="18">
        <f t="shared" si="254"/>
        <v>1.2724514064780035</v>
      </c>
    </row>
    <row r="89" spans="1:98" x14ac:dyDescent="0.25">
      <c r="A89" t="str">
        <f t="shared" si="209"/>
        <v>32 Health and social care associate professionals</v>
      </c>
      <c r="B89" s="18">
        <f t="shared" si="210"/>
        <v>11.368047108057011</v>
      </c>
      <c r="C89" s="18">
        <f t="shared" si="210"/>
        <v>-10.587116050005662</v>
      </c>
      <c r="D89" s="18">
        <f t="shared" si="210"/>
        <v>16.687129593628281</v>
      </c>
      <c r="E89" s="18">
        <f t="shared" si="210"/>
        <v>7.941175499667108</v>
      </c>
      <c r="F89" s="18">
        <f t="shared" si="211"/>
        <v>9.3072944730543163</v>
      </c>
      <c r="H89" s="18">
        <f t="shared" si="212"/>
        <v>10.781119031809361</v>
      </c>
      <c r="I89" s="18">
        <f t="shared" si="213"/>
        <v>6.5357371557322574</v>
      </c>
      <c r="J89" s="18">
        <f t="shared" si="214"/>
        <v>12.970497694407923</v>
      </c>
      <c r="L89" t="str">
        <f t="shared" si="255"/>
        <v>32 Health and social care associate professionals</v>
      </c>
      <c r="M89" s="18">
        <f t="shared" si="215"/>
        <v>14.30113956263539</v>
      </c>
      <c r="N89" s="18">
        <f t="shared" si="215"/>
        <v>2.2453586643777612</v>
      </c>
      <c r="O89" s="18">
        <f t="shared" si="215"/>
        <v>15.87964755401865</v>
      </c>
      <c r="P89" s="18">
        <f t="shared" si="215"/>
        <v>6.6573784436984029</v>
      </c>
      <c r="Q89" s="18">
        <f t="shared" si="216"/>
        <v>9.168986884824637</v>
      </c>
      <c r="S89" s="18">
        <f t="shared" si="217"/>
        <v>9.6468918071585428</v>
      </c>
      <c r="T89" s="18">
        <f t="shared" si="218"/>
        <v>6.0168288430765937</v>
      </c>
      <c r="U89" s="18">
        <f t="shared" si="219"/>
        <v>11.875267971251047</v>
      </c>
      <c r="W89" t="str">
        <f t="shared" si="256"/>
        <v>32 Health and social care associate professionals</v>
      </c>
      <c r="X89" s="18">
        <f t="shared" si="220"/>
        <v>5.1658933890398551</v>
      </c>
      <c r="Y89" s="18">
        <f t="shared" si="220"/>
        <v>11.034066408799736</v>
      </c>
      <c r="Z89" s="18">
        <f t="shared" si="220"/>
        <v>11.483204415717886</v>
      </c>
      <c r="AA89" s="18">
        <f t="shared" si="220"/>
        <v>2.5984189497153753</v>
      </c>
      <c r="AB89" s="18">
        <f t="shared" si="221"/>
        <v>5.8173506936232799</v>
      </c>
      <c r="AD89" s="18">
        <f t="shared" si="222"/>
        <v>5.4784145630589975</v>
      </c>
      <c r="AE89" s="18">
        <f t="shared" si="223"/>
        <v>5.3522299557808184</v>
      </c>
      <c r="AF89" s="18">
        <f t="shared" si="224"/>
        <v>8.5253223959492743</v>
      </c>
      <c r="AH89" t="str">
        <f t="shared" si="257"/>
        <v>32 Health and social care associate professionals</v>
      </c>
      <c r="AI89" s="18">
        <f t="shared" si="225"/>
        <v>-1.7662528659250998</v>
      </c>
      <c r="AJ89" s="18">
        <f t="shared" si="225"/>
        <v>5.2431189992689253</v>
      </c>
      <c r="AK89" s="18">
        <f t="shared" si="225"/>
        <v>2.4522207349231051</v>
      </c>
      <c r="AL89" s="18">
        <f t="shared" si="225"/>
        <v>-4.4661886327658102</v>
      </c>
      <c r="AM89" s="18">
        <f t="shared" si="226"/>
        <v>-1.7634216298411109</v>
      </c>
      <c r="AO89" s="18">
        <f t="shared" si="227"/>
        <v>-2.2135841049486626</v>
      </c>
      <c r="AP89" s="18">
        <f t="shared" si="228"/>
        <v>2.47179174655352</v>
      </c>
      <c r="AQ89" s="18">
        <f t="shared" si="229"/>
        <v>0.97764328110061527</v>
      </c>
      <c r="AS89" t="str">
        <f t="shared" si="258"/>
        <v>32 Health and social care associate professionals</v>
      </c>
      <c r="AT89" s="18">
        <f t="shared" si="230"/>
        <v>2.2753671743360071</v>
      </c>
      <c r="AU89" s="18">
        <f t="shared" si="230"/>
        <v>16.77157677895331</v>
      </c>
      <c r="AV89" s="18">
        <f t="shared" si="230"/>
        <v>7.8503786161620237</v>
      </c>
      <c r="AW89" s="18">
        <f t="shared" si="230"/>
        <v>1.705155784844492</v>
      </c>
      <c r="AX89" s="18">
        <f t="shared" si="231"/>
        <v>4.48518127692068</v>
      </c>
      <c r="AZ89" s="18">
        <f t="shared" si="232"/>
        <v>3.7136385969974484</v>
      </c>
      <c r="BA89" s="18">
        <f t="shared" si="233"/>
        <v>4.2443980672053128</v>
      </c>
      <c r="BB89" s="18">
        <f t="shared" si="234"/>
        <v>6.5594463846537776</v>
      </c>
      <c r="BD89" t="str">
        <f t="shared" si="259"/>
        <v>32 Health and social care associate professionals</v>
      </c>
      <c r="BE89" s="18">
        <f t="shared" si="235"/>
        <v>8.6479795585048045</v>
      </c>
      <c r="BF89" s="18">
        <f t="shared" si="235"/>
        <v>-5.4402866075226264</v>
      </c>
      <c r="BG89" s="18">
        <f t="shared" si="235"/>
        <v>11.027345774087927</v>
      </c>
      <c r="BH89" s="18">
        <f t="shared" si="235"/>
        <v>1.0648669417854917</v>
      </c>
      <c r="BI89" s="18">
        <f t="shared" si="236"/>
        <v>3.6462578065873608</v>
      </c>
      <c r="BK89" s="18">
        <f t="shared" si="237"/>
        <v>4.2821856404581471</v>
      </c>
      <c r="BL89" s="18">
        <f t="shared" si="238"/>
        <v>4.6404276027925517</v>
      </c>
      <c r="BM89" s="18">
        <f t="shared" si="239"/>
        <v>7.2324317574301578</v>
      </c>
      <c r="BO89" t="str">
        <f t="shared" si="260"/>
        <v>32 Health and social care associate professionals</v>
      </c>
      <c r="BP89" s="18">
        <f t="shared" si="240"/>
        <v>5.5813430333318648</v>
      </c>
      <c r="BQ89" s="18">
        <f t="shared" si="240"/>
        <v>-17.454841584011348</v>
      </c>
      <c r="BR89" s="18">
        <f t="shared" si="240"/>
        <v>10.121367157137385</v>
      </c>
      <c r="BS89" s="18">
        <f t="shared" si="240"/>
        <v>-1.4954851507713141</v>
      </c>
      <c r="BT89" s="18">
        <f t="shared" si="241"/>
        <v>0.87607685432238291</v>
      </c>
      <c r="BV89" s="18">
        <f t="shared" si="242"/>
        <v>2.2338279502760905</v>
      </c>
      <c r="BW89" s="18">
        <f t="shared" si="243"/>
        <v>4.0898918983041765</v>
      </c>
      <c r="BX89" s="18">
        <f t="shared" si="244"/>
        <v>5.4521390940509118</v>
      </c>
      <c r="BZ89" t="str">
        <f t="shared" si="261"/>
        <v>32 Health and social care associate professionals</v>
      </c>
      <c r="CA89" s="18">
        <f t="shared" si="245"/>
        <v>0.30591965205124527</v>
      </c>
      <c r="CB89" s="18">
        <f t="shared" si="245"/>
        <v>-17.463632015778806</v>
      </c>
      <c r="CC89" s="18">
        <f t="shared" si="245"/>
        <v>3.8209498758690508</v>
      </c>
      <c r="CD89" s="18">
        <f t="shared" si="245"/>
        <v>-5.513284319698708</v>
      </c>
      <c r="CE89" s="18">
        <f t="shared" si="246"/>
        <v>-3.5091532972750694</v>
      </c>
      <c r="CG89" s="18">
        <f t="shared" si="247"/>
        <v>-2.4990527758818937</v>
      </c>
      <c r="CH89" s="18">
        <f t="shared" si="248"/>
        <v>2.5302572905896881</v>
      </c>
      <c r="CI89" s="18">
        <f t="shared" si="249"/>
        <v>0.87052956844444473</v>
      </c>
      <c r="CK89" t="str">
        <f t="shared" si="262"/>
        <v>32 Health and social care associate professionals</v>
      </c>
      <c r="CL89" s="18">
        <f t="shared" si="250"/>
        <v>0.67733342017339826</v>
      </c>
      <c r="CM89" s="18">
        <f t="shared" si="250"/>
        <v>18.053335861501687</v>
      </c>
      <c r="CN89" s="18">
        <f t="shared" si="250"/>
        <v>0.7655946678808645</v>
      </c>
      <c r="CO89" s="18">
        <f t="shared" si="250"/>
        <v>-0.99316673787821497</v>
      </c>
      <c r="CP89" s="18">
        <f t="shared" si="251"/>
        <v>0.65392333163805105</v>
      </c>
      <c r="CR89" s="18">
        <f t="shared" si="252"/>
        <v>-0.4103504895191179</v>
      </c>
      <c r="CS89" s="18">
        <f t="shared" si="253"/>
        <v>2.3843003301435628</v>
      </c>
      <c r="CT89" s="18">
        <f t="shared" si="254"/>
        <v>2.0918042712416263</v>
      </c>
    </row>
    <row r="90" spans="1:98" x14ac:dyDescent="0.25">
      <c r="A90" t="str">
        <f t="shared" si="209"/>
        <v>33 Protective service occupations</v>
      </c>
      <c r="B90" s="18">
        <f t="shared" si="210"/>
        <v>10.621098710252674</v>
      </c>
      <c r="C90" s="18">
        <f t="shared" si="210"/>
        <v>-9.9952551789949329</v>
      </c>
      <c r="D90" s="18">
        <f t="shared" si="210"/>
        <v>4.3026939271647802</v>
      </c>
      <c r="E90" s="18">
        <f t="shared" si="210"/>
        <v>5.6432001857258829</v>
      </c>
      <c r="F90" s="18">
        <f t="shared" si="211"/>
        <v>4.1741360454641496</v>
      </c>
      <c r="H90" s="18">
        <f t="shared" si="212"/>
        <v>5.1944613648003291</v>
      </c>
      <c r="I90" s="18">
        <f t="shared" si="213"/>
        <v>3.0266569097946228</v>
      </c>
      <c r="J90" s="18">
        <f t="shared" si="214"/>
        <v>6.8496891082998612</v>
      </c>
      <c r="L90" t="str">
        <f t="shared" si="255"/>
        <v>33 Protective service occupations</v>
      </c>
      <c r="M90" s="18">
        <f t="shared" si="215"/>
        <v>8.2503886059805964</v>
      </c>
      <c r="N90" s="18">
        <f t="shared" si="215"/>
        <v>-7.8674355334291786</v>
      </c>
      <c r="O90" s="18">
        <f t="shared" si="215"/>
        <v>2.0096433127634761</v>
      </c>
      <c r="P90" s="18">
        <f t="shared" si="215"/>
        <v>5.0362030744688369</v>
      </c>
      <c r="Q90" s="18">
        <f t="shared" si="216"/>
        <v>3.231702644794554</v>
      </c>
      <c r="S90" s="18">
        <f t="shared" si="217"/>
        <v>4.0175018126879181</v>
      </c>
      <c r="T90" s="18">
        <f t="shared" si="218"/>
        <v>2.3910665411640109</v>
      </c>
      <c r="U90" s="18">
        <f t="shared" si="219"/>
        <v>5.4949563542244118</v>
      </c>
      <c r="W90" t="str">
        <f t="shared" si="256"/>
        <v>33 Protective service occupations</v>
      </c>
      <c r="X90" s="18">
        <f t="shared" si="220"/>
        <v>3.8873821923690599E-2</v>
      </c>
      <c r="Y90" s="18">
        <f t="shared" si="220"/>
        <v>17.416216150016805</v>
      </c>
      <c r="Z90" s="18">
        <f t="shared" si="220"/>
        <v>-1.8233588544655843</v>
      </c>
      <c r="AA90" s="18">
        <f t="shared" si="220"/>
        <v>3.3154873307739807</v>
      </c>
      <c r="AB90" s="18">
        <f t="shared" si="221"/>
        <v>2.4976600713799035</v>
      </c>
      <c r="AD90" s="18">
        <f t="shared" si="222"/>
        <v>1.5733264819027593</v>
      </c>
      <c r="AE90" s="18">
        <f t="shared" si="223"/>
        <v>2.4450209421493563</v>
      </c>
      <c r="AF90" s="18">
        <f t="shared" si="224"/>
        <v>3.6030220609351682</v>
      </c>
      <c r="AH90" t="str">
        <f t="shared" si="257"/>
        <v>33 Protective service occupations</v>
      </c>
      <c r="AI90" s="18">
        <f t="shared" si="225"/>
        <v>-0.57975225391765361</v>
      </c>
      <c r="AJ90" s="18">
        <f t="shared" si="225"/>
        <v>15.640417829114606</v>
      </c>
      <c r="AK90" s="18">
        <f t="shared" si="225"/>
        <v>-1.3287856132397247</v>
      </c>
      <c r="AL90" s="18">
        <f t="shared" si="225"/>
        <v>3.1755770429292562</v>
      </c>
      <c r="AM90" s="18">
        <f t="shared" si="226"/>
        <v>2.4741778632310529</v>
      </c>
      <c r="AO90" s="18">
        <f t="shared" si="227"/>
        <v>1.6517271527583199</v>
      </c>
      <c r="AP90" s="18">
        <f t="shared" si="228"/>
        <v>2.1898425391477128</v>
      </c>
      <c r="AQ90" s="18">
        <f t="shared" si="229"/>
        <v>3.4468777039916798</v>
      </c>
      <c r="AS90" t="str">
        <f t="shared" si="258"/>
        <v>33 Protective service occupations</v>
      </c>
      <c r="AT90" s="18">
        <f t="shared" si="230"/>
        <v>-2.8343527785695377</v>
      </c>
      <c r="AU90" s="18">
        <f t="shared" si="230"/>
        <v>12.760486890081824</v>
      </c>
      <c r="AV90" s="18">
        <f t="shared" si="230"/>
        <v>-3.9981477058314785</v>
      </c>
      <c r="AW90" s="18">
        <f t="shared" si="230"/>
        <v>1.6225021487525693</v>
      </c>
      <c r="AX90" s="18">
        <f t="shared" si="231"/>
        <v>0.48260030125917286</v>
      </c>
      <c r="AZ90" s="18">
        <f t="shared" si="232"/>
        <v>-0.28669142046267027</v>
      </c>
      <c r="BA90" s="18">
        <f t="shared" si="233"/>
        <v>1.9236773609418112</v>
      </c>
      <c r="BB90" s="18">
        <f t="shared" si="234"/>
        <v>1.7052167546650177</v>
      </c>
      <c r="BD90" t="str">
        <f t="shared" si="259"/>
        <v>33 Protective service occupations</v>
      </c>
      <c r="BE90" s="18">
        <f t="shared" si="235"/>
        <v>-0.60065639083016764</v>
      </c>
      <c r="BF90" s="18">
        <f t="shared" si="235"/>
        <v>5.3764428493858762</v>
      </c>
      <c r="BG90" s="18">
        <f t="shared" si="235"/>
        <v>-3.3556235630059827</v>
      </c>
      <c r="BH90" s="18">
        <f t="shared" si="235"/>
        <v>-0.52360768575684391</v>
      </c>
      <c r="BI90" s="18">
        <f t="shared" si="236"/>
        <v>-1.0617621053780057</v>
      </c>
      <c r="BK90" s="18">
        <f t="shared" si="237"/>
        <v>-1.4767157790097629</v>
      </c>
      <c r="BL90" s="18">
        <f t="shared" si="238"/>
        <v>1.3125159625522853</v>
      </c>
      <c r="BM90" s="18">
        <f t="shared" si="239"/>
        <v>0.10603417532755177</v>
      </c>
      <c r="BO90" t="str">
        <f t="shared" si="260"/>
        <v>33 Protective service occupations</v>
      </c>
      <c r="BP90" s="18">
        <f t="shared" si="240"/>
        <v>0.85758614229101138</v>
      </c>
      <c r="BQ90" s="18">
        <f t="shared" si="240"/>
        <v>-2.8960198861478825</v>
      </c>
      <c r="BR90" s="18">
        <f t="shared" si="240"/>
        <v>-3.2890872225369683</v>
      </c>
      <c r="BS90" s="18">
        <f t="shared" si="240"/>
        <v>-1.8524292439005774</v>
      </c>
      <c r="BT90" s="18">
        <f t="shared" si="241"/>
        <v>-2.3689130464733532</v>
      </c>
      <c r="BV90" s="18">
        <f t="shared" si="242"/>
        <v>-2.3336710274747374</v>
      </c>
      <c r="BW90" s="18">
        <f t="shared" si="243"/>
        <v>1.497982942631082</v>
      </c>
      <c r="BX90" s="18">
        <f t="shared" si="244"/>
        <v>-0.33023116947611397</v>
      </c>
      <c r="BZ90" t="str">
        <f t="shared" si="261"/>
        <v>33 Protective service occupations</v>
      </c>
      <c r="CA90" s="18">
        <f t="shared" si="245"/>
        <v>-2.0325636563979788</v>
      </c>
      <c r="CB90" s="18">
        <f t="shared" si="245"/>
        <v>3.0038055938681252</v>
      </c>
      <c r="CC90" s="18">
        <f t="shared" si="245"/>
        <v>-5.7048969192087684</v>
      </c>
      <c r="CD90" s="18">
        <f t="shared" si="245"/>
        <v>-3.9109685045758735</v>
      </c>
      <c r="CE90" s="18">
        <f t="shared" si="246"/>
        <v>-4.0594242110878254</v>
      </c>
      <c r="CG90" s="18">
        <f t="shared" si="247"/>
        <v>-4.5127050199967549</v>
      </c>
      <c r="CH90" s="18">
        <f t="shared" si="248"/>
        <v>1.4106645782531846</v>
      </c>
      <c r="CI90" s="18">
        <f t="shared" si="249"/>
        <v>-2.0398791604918753</v>
      </c>
      <c r="CK90" t="str">
        <f t="shared" si="262"/>
        <v>33 Protective service occupations</v>
      </c>
      <c r="CL90" s="18">
        <f t="shared" si="250"/>
        <v>-6.6530939476628914</v>
      </c>
      <c r="CM90" s="18">
        <f t="shared" si="250"/>
        <v>11.388630023930602</v>
      </c>
      <c r="CN90" s="18">
        <f t="shared" si="250"/>
        <v>-6.7615236342429386</v>
      </c>
      <c r="CO90" s="18">
        <f t="shared" si="250"/>
        <v>-2.5770189064917792</v>
      </c>
      <c r="CP90" s="18">
        <f t="shared" si="251"/>
        <v>-3.0965078785883726</v>
      </c>
      <c r="CR90" s="18">
        <f t="shared" si="252"/>
        <v>-3.9923147224896982</v>
      </c>
      <c r="CS90" s="18">
        <f t="shared" si="253"/>
        <v>0.97744057243638327</v>
      </c>
      <c r="CT90" s="18">
        <f t="shared" si="254"/>
        <v>-2.3514315160739097</v>
      </c>
    </row>
    <row r="91" spans="1:98" x14ac:dyDescent="0.25">
      <c r="A91" t="str">
        <f t="shared" si="209"/>
        <v>34 Culture, media and sports occupations</v>
      </c>
      <c r="B91" s="18">
        <f t="shared" si="210"/>
        <v>9.5203297947539909</v>
      </c>
      <c r="C91" s="18">
        <f t="shared" si="210"/>
        <v>2.3189117949134808</v>
      </c>
      <c r="D91" s="18">
        <f t="shared" si="210"/>
        <v>3.1468198060484065</v>
      </c>
      <c r="E91" s="18">
        <f t="shared" si="210"/>
        <v>3.6619124064752429</v>
      </c>
      <c r="F91" s="18">
        <f t="shared" si="211"/>
        <v>3.4163500239475342</v>
      </c>
      <c r="H91" s="18">
        <f t="shared" si="212"/>
        <v>3.4899296988827544</v>
      </c>
      <c r="I91" s="18">
        <f t="shared" si="213"/>
        <v>3.4127075860955092</v>
      </c>
      <c r="J91" s="18">
        <f t="shared" si="214"/>
        <v>5.7926219081785968</v>
      </c>
      <c r="L91" t="str">
        <f t="shared" si="255"/>
        <v>34 Culture, media and sports occupations</v>
      </c>
      <c r="M91" s="18">
        <f t="shared" si="215"/>
        <v>7.8823078356347942</v>
      </c>
      <c r="N91" s="18">
        <f t="shared" si="215"/>
        <v>-0.2870748431468173</v>
      </c>
      <c r="O91" s="18">
        <f t="shared" si="215"/>
        <v>0.35931915695426309</v>
      </c>
      <c r="P91" s="18">
        <f t="shared" si="215"/>
        <v>2.9445348188145815</v>
      </c>
      <c r="Q91" s="18">
        <f t="shared" si="216"/>
        <v>1.9261943128021652</v>
      </c>
      <c r="S91" s="18">
        <f t="shared" si="217"/>
        <v>2.0754803802704558</v>
      </c>
      <c r="T91" s="18">
        <f t="shared" si="218"/>
        <v>2.9957035769177409</v>
      </c>
      <c r="U91" s="18">
        <f t="shared" si="219"/>
        <v>4.4370829613842533</v>
      </c>
      <c r="W91" t="str">
        <f t="shared" si="256"/>
        <v>34 Culture, media and sports occupations</v>
      </c>
      <c r="X91" s="18">
        <f t="shared" si="220"/>
        <v>-1.7559903734976512</v>
      </c>
      <c r="Y91" s="18">
        <f t="shared" si="220"/>
        <v>5.4774124994725781</v>
      </c>
      <c r="Z91" s="18">
        <f t="shared" si="220"/>
        <v>-2.9720176761364514</v>
      </c>
      <c r="AA91" s="18">
        <f t="shared" si="220"/>
        <v>0.75083666503568125</v>
      </c>
      <c r="AB91" s="18">
        <f t="shared" si="221"/>
        <v>-0.14192432585669046</v>
      </c>
      <c r="AD91" s="18">
        <f t="shared" si="222"/>
        <v>-0.5057213411009398</v>
      </c>
      <c r="AE91" s="18">
        <f t="shared" si="223"/>
        <v>2.4558128215294905</v>
      </c>
      <c r="AF91" s="18">
        <f t="shared" si="224"/>
        <v>2.0996680741378615</v>
      </c>
      <c r="AH91" t="str">
        <f t="shared" si="257"/>
        <v>34 Culture, media and sports occupations</v>
      </c>
      <c r="AI91" s="18">
        <f t="shared" si="225"/>
        <v>-4.9550604872154347</v>
      </c>
      <c r="AJ91" s="18">
        <f t="shared" si="225"/>
        <v>21.432910579723497</v>
      </c>
      <c r="AK91" s="18">
        <f t="shared" si="225"/>
        <v>-2.3011166761597424</v>
      </c>
      <c r="AL91" s="18">
        <f t="shared" si="225"/>
        <v>2.5807213174797505</v>
      </c>
      <c r="AM91" s="18">
        <f t="shared" si="226"/>
        <v>2.100441040189982</v>
      </c>
      <c r="AO91" s="18">
        <f t="shared" si="227"/>
        <v>0.92692285846749378</v>
      </c>
      <c r="AP91" s="18">
        <f t="shared" si="228"/>
        <v>2.7548861206872166</v>
      </c>
      <c r="AQ91" s="18">
        <f t="shared" si="229"/>
        <v>3.4019677924878922</v>
      </c>
      <c r="AS91" t="str">
        <f t="shared" si="258"/>
        <v>34 Culture, media and sports occupations</v>
      </c>
      <c r="AT91" s="18">
        <f t="shared" si="230"/>
        <v>-2.870623897787683</v>
      </c>
      <c r="AU91" s="18">
        <f t="shared" si="230"/>
        <v>5.34128680989292</v>
      </c>
      <c r="AV91" s="18">
        <f t="shared" si="230"/>
        <v>-3.9714847899124051</v>
      </c>
      <c r="AW91" s="18">
        <f t="shared" si="230"/>
        <v>0.31620452903413643</v>
      </c>
      <c r="AX91" s="18">
        <f t="shared" si="231"/>
        <v>-0.7411102387274715</v>
      </c>
      <c r="AZ91" s="18">
        <f t="shared" si="232"/>
        <v>-1.1338855763673661</v>
      </c>
      <c r="BA91" s="18">
        <f t="shared" si="233"/>
        <v>2.2717119620275339</v>
      </c>
      <c r="BB91" s="18">
        <f t="shared" si="234"/>
        <v>1.4631248713842693</v>
      </c>
      <c r="BD91" t="str">
        <f t="shared" si="259"/>
        <v>34 Culture, media and sports occupations</v>
      </c>
      <c r="BE91" s="18">
        <f t="shared" si="235"/>
        <v>0.85668169751083045</v>
      </c>
      <c r="BF91" s="18">
        <f t="shared" si="235"/>
        <v>3.3822306912965061</v>
      </c>
      <c r="BG91" s="18">
        <f t="shared" si="235"/>
        <v>-2.9452433162567071</v>
      </c>
      <c r="BH91" s="18">
        <f t="shared" si="235"/>
        <v>0.99226230623796763</v>
      </c>
      <c r="BI91" s="18">
        <f t="shared" si="236"/>
        <v>-0.10915439745257105</v>
      </c>
      <c r="BK91" s="18">
        <f t="shared" si="237"/>
        <v>-0.33767627639970099</v>
      </c>
      <c r="BL91" s="18">
        <f t="shared" si="238"/>
        <v>2.0469084409802774</v>
      </c>
      <c r="BM91" s="18">
        <f t="shared" si="239"/>
        <v>1.7942242040099643</v>
      </c>
      <c r="BO91" t="str">
        <f t="shared" si="260"/>
        <v>34 Culture, media and sports occupations</v>
      </c>
      <c r="BP91" s="18">
        <f t="shared" si="240"/>
        <v>-1.8247435368597631</v>
      </c>
      <c r="BQ91" s="18">
        <f t="shared" si="240"/>
        <v>-11.120332958969536</v>
      </c>
      <c r="BR91" s="18">
        <f t="shared" si="240"/>
        <v>-4.9249452650511616</v>
      </c>
      <c r="BS91" s="18">
        <f t="shared" si="240"/>
        <v>-3.4196761654724184</v>
      </c>
      <c r="BT91" s="18">
        <f t="shared" si="241"/>
        <v>-4.3904290024726738</v>
      </c>
      <c r="BV91" s="18">
        <f t="shared" si="242"/>
        <v>-3.924062076657453</v>
      </c>
      <c r="BW91" s="18">
        <f t="shared" si="243"/>
        <v>1.6491313550753839</v>
      </c>
      <c r="BX91" s="18">
        <f t="shared" si="244"/>
        <v>-1.2613351771083248</v>
      </c>
      <c r="BZ91" t="str">
        <f t="shared" si="261"/>
        <v>34 Culture, media and sports occupations</v>
      </c>
      <c r="CA91" s="18">
        <f t="shared" si="245"/>
        <v>-4.2276833689173232</v>
      </c>
      <c r="CB91" s="18">
        <f t="shared" si="245"/>
        <v>-1.8658249992682618</v>
      </c>
      <c r="CC91" s="18">
        <f t="shared" si="245"/>
        <v>-9.1626884008958687</v>
      </c>
      <c r="CD91" s="18">
        <f t="shared" si="245"/>
        <v>-6.6078868062324991</v>
      </c>
      <c r="CE91" s="18">
        <f t="shared" si="246"/>
        <v>-7.1268386705705904</v>
      </c>
      <c r="CG91" s="18">
        <f t="shared" si="247"/>
        <v>-7.4673729097631032</v>
      </c>
      <c r="CH91" s="18">
        <f t="shared" si="248"/>
        <v>1.210750513851333</v>
      </c>
      <c r="CI91" s="18">
        <f t="shared" si="249"/>
        <v>-4.3892561799842351</v>
      </c>
      <c r="CK91" t="str">
        <f t="shared" si="262"/>
        <v>34 Culture, media and sports occupations</v>
      </c>
      <c r="CL91" s="18">
        <f t="shared" si="250"/>
        <v>-1.5384047371735043</v>
      </c>
      <c r="CM91" s="18">
        <f t="shared" si="250"/>
        <v>9.2836331331102464</v>
      </c>
      <c r="CN91" s="18">
        <f t="shared" si="250"/>
        <v>-9.0351591182167397</v>
      </c>
      <c r="CO91" s="18">
        <f t="shared" si="250"/>
        <v>-2.0481364415739223</v>
      </c>
      <c r="CP91" s="18">
        <f t="shared" si="251"/>
        <v>-3.6302741641070835</v>
      </c>
      <c r="CR91" s="18">
        <f t="shared" si="252"/>
        <v>-4.4348255984758449</v>
      </c>
      <c r="CS91" s="18">
        <f t="shared" si="253"/>
        <v>1.3902539580110007</v>
      </c>
      <c r="CT91" s="18">
        <f t="shared" si="254"/>
        <v>-2.0182462462459583</v>
      </c>
    </row>
    <row r="92" spans="1:98" x14ac:dyDescent="0.25">
      <c r="A92" t="str">
        <f t="shared" si="209"/>
        <v>35 Business and public service associate professionals</v>
      </c>
      <c r="B92" s="18">
        <f t="shared" si="210"/>
        <v>6.6341111797059371</v>
      </c>
      <c r="C92" s="18">
        <f t="shared" si="210"/>
        <v>-5.2960968293826909</v>
      </c>
      <c r="D92" s="18">
        <f t="shared" si="210"/>
        <v>5.5684641604222707</v>
      </c>
      <c r="E92" s="18">
        <f t="shared" si="210"/>
        <v>4.9166882702184056</v>
      </c>
      <c r="F92" s="18">
        <f t="shared" si="211"/>
        <v>4.449241227558387</v>
      </c>
      <c r="H92" s="18">
        <f t="shared" si="212"/>
        <v>5.133498553322613</v>
      </c>
      <c r="I92" s="18">
        <f t="shared" si="213"/>
        <v>3.63394750184729</v>
      </c>
      <c r="J92" s="18">
        <f t="shared" si="214"/>
        <v>7.1739899850790545</v>
      </c>
      <c r="L92" t="str">
        <f t="shared" si="255"/>
        <v>35 Business and public service associate professionals</v>
      </c>
      <c r="M92" s="18">
        <f t="shared" si="215"/>
        <v>7.1181545555973003</v>
      </c>
      <c r="N92" s="18">
        <f t="shared" si="215"/>
        <v>-2.2710119218895541</v>
      </c>
      <c r="O92" s="18">
        <f t="shared" si="215"/>
        <v>4.6400426664472638</v>
      </c>
      <c r="P92" s="18">
        <f t="shared" si="215"/>
        <v>3.8843423958933698</v>
      </c>
      <c r="Q92" s="18">
        <f t="shared" si="216"/>
        <v>3.7231907756740679</v>
      </c>
      <c r="S92" s="18">
        <f t="shared" si="217"/>
        <v>4.1356341320924361</v>
      </c>
      <c r="T92" s="18">
        <f t="shared" si="218"/>
        <v>3.4739759989775187</v>
      </c>
      <c r="U92" s="18">
        <f t="shared" si="219"/>
        <v>6.3147237340812845</v>
      </c>
      <c r="W92" t="str">
        <f t="shared" si="256"/>
        <v>35 Business and public service associate professionals</v>
      </c>
      <c r="X92" s="18">
        <f t="shared" si="220"/>
        <v>-2.0848140582945929</v>
      </c>
      <c r="Y92" s="18">
        <f t="shared" si="220"/>
        <v>10.943426108126397</v>
      </c>
      <c r="Z92" s="18">
        <f t="shared" si="220"/>
        <v>0.17868945338757047</v>
      </c>
      <c r="AA92" s="18">
        <f t="shared" si="220"/>
        <v>0.63297910411104219</v>
      </c>
      <c r="AB92" s="18">
        <f t="shared" si="221"/>
        <v>1.1052831835045573</v>
      </c>
      <c r="AD92" s="18">
        <f t="shared" si="222"/>
        <v>0.48132077958733532</v>
      </c>
      <c r="AE92" s="18">
        <f t="shared" si="223"/>
        <v>2.8747115934672163</v>
      </c>
      <c r="AF92" s="18">
        <f t="shared" si="224"/>
        <v>3.2021302570666821</v>
      </c>
      <c r="AH92" t="str">
        <f t="shared" si="257"/>
        <v>35 Business and public service associate professionals</v>
      </c>
      <c r="AI92" s="18">
        <f t="shared" si="225"/>
        <v>-0.66056475949596294</v>
      </c>
      <c r="AJ92" s="18">
        <f t="shared" si="225"/>
        <v>15.888392340080992</v>
      </c>
      <c r="AK92" s="18">
        <f t="shared" si="225"/>
        <v>0.33535504872952426</v>
      </c>
      <c r="AL92" s="18">
        <f t="shared" si="225"/>
        <v>1.042293824212126</v>
      </c>
      <c r="AM92" s="18">
        <f t="shared" si="226"/>
        <v>1.688388891562953</v>
      </c>
      <c r="AO92" s="18">
        <f t="shared" si="227"/>
        <v>0.80609585606639111</v>
      </c>
      <c r="AP92" s="18">
        <f t="shared" si="228"/>
        <v>2.8208977643306099</v>
      </c>
      <c r="AQ92" s="18">
        <f t="shared" si="229"/>
        <v>3.3773031459657155</v>
      </c>
      <c r="AS92" t="str">
        <f t="shared" si="258"/>
        <v>35 Business and public service associate professionals</v>
      </c>
      <c r="AT92" s="18">
        <f t="shared" si="230"/>
        <v>-2.3151580948087447</v>
      </c>
      <c r="AU92" s="18">
        <f t="shared" si="230"/>
        <v>11.875969039528012</v>
      </c>
      <c r="AV92" s="18">
        <f t="shared" si="230"/>
        <v>0.12015239474441053</v>
      </c>
      <c r="AW92" s="18">
        <f t="shared" si="230"/>
        <v>1.0377738602137088</v>
      </c>
      <c r="AX92" s="18">
        <f t="shared" si="231"/>
        <v>1.3937943745194747</v>
      </c>
      <c r="AZ92" s="18">
        <f t="shared" si="232"/>
        <v>0.73096935946903585</v>
      </c>
      <c r="BA92" s="18">
        <f t="shared" si="233"/>
        <v>2.7379238946009021</v>
      </c>
      <c r="BB92" s="18">
        <f t="shared" si="234"/>
        <v>3.2471313102218291</v>
      </c>
      <c r="BD92" t="str">
        <f t="shared" si="259"/>
        <v>35 Business and public service associate professionals</v>
      </c>
      <c r="BE92" s="18">
        <f t="shared" si="235"/>
        <v>1.7366428005921808</v>
      </c>
      <c r="BF92" s="18">
        <f t="shared" si="235"/>
        <v>1.6536595964046441</v>
      </c>
      <c r="BG92" s="18">
        <f t="shared" si="235"/>
        <v>-0.29984315633100334</v>
      </c>
      <c r="BH92" s="18">
        <f t="shared" si="235"/>
        <v>-0.16692269105392787</v>
      </c>
      <c r="BI92" s="18">
        <f t="shared" si="236"/>
        <v>-9.5701303171713548E-2</v>
      </c>
      <c r="BK92" s="18">
        <f t="shared" si="237"/>
        <v>-0.21124919113864049</v>
      </c>
      <c r="BL92" s="18">
        <f t="shared" si="238"/>
        <v>2.3035872373774691</v>
      </c>
      <c r="BM92" s="18">
        <f t="shared" si="239"/>
        <v>2.150672064576864</v>
      </c>
      <c r="BO92" t="str">
        <f t="shared" si="260"/>
        <v>35 Business and public service associate professionals</v>
      </c>
      <c r="BP92" s="18">
        <f t="shared" si="240"/>
        <v>0.41281977027416428</v>
      </c>
      <c r="BQ92" s="18">
        <f t="shared" si="240"/>
        <v>-7.529474916154399</v>
      </c>
      <c r="BR92" s="18">
        <f t="shared" si="240"/>
        <v>-0.33006443175491729</v>
      </c>
      <c r="BS92" s="18">
        <f t="shared" si="240"/>
        <v>-1.5499044329185474</v>
      </c>
      <c r="BT92" s="18">
        <f t="shared" si="241"/>
        <v>-1.5566006340591687</v>
      </c>
      <c r="BV92" s="18">
        <f t="shared" si="242"/>
        <v>-1.144959006438695</v>
      </c>
      <c r="BW92" s="18">
        <f t="shared" si="243"/>
        <v>2.225631431349484</v>
      </c>
      <c r="BX92" s="18">
        <f t="shared" si="244"/>
        <v>1.4038520264527232</v>
      </c>
      <c r="BZ92" t="str">
        <f t="shared" si="261"/>
        <v>35 Business and public service associate professionals</v>
      </c>
      <c r="CA92" s="18">
        <f t="shared" si="245"/>
        <v>-2.066629915378404</v>
      </c>
      <c r="CB92" s="18">
        <f t="shared" si="245"/>
        <v>-1.5084268316797433</v>
      </c>
      <c r="CC92" s="18">
        <f t="shared" si="245"/>
        <v>-4.2334562406992955</v>
      </c>
      <c r="CD92" s="18">
        <f t="shared" si="245"/>
        <v>-4.9075676911999988</v>
      </c>
      <c r="CE92" s="18">
        <f t="shared" si="246"/>
        <v>-4.48799068628154</v>
      </c>
      <c r="CG92" s="18">
        <f t="shared" si="247"/>
        <v>-4.6833927690964501</v>
      </c>
      <c r="CH92" s="18">
        <f t="shared" si="248"/>
        <v>1.5823390763535672</v>
      </c>
      <c r="CI92" s="18">
        <f t="shared" si="249"/>
        <v>-1.8775649335086464</v>
      </c>
      <c r="CK92" t="str">
        <f t="shared" si="262"/>
        <v>35 Business and public service associate professionals</v>
      </c>
      <c r="CL92" s="18">
        <f t="shared" si="250"/>
        <v>-1.4835267196234625</v>
      </c>
      <c r="CM92" s="18">
        <f t="shared" si="250"/>
        <v>15.365222142175661</v>
      </c>
      <c r="CN92" s="18">
        <f t="shared" si="250"/>
        <v>-8.9577129087959442</v>
      </c>
      <c r="CO92" s="18">
        <f t="shared" si="250"/>
        <v>-1.5722050728912862</v>
      </c>
      <c r="CP92" s="18">
        <f t="shared" si="251"/>
        <v>-2.9843570428236044</v>
      </c>
      <c r="CR92" s="18">
        <f t="shared" si="252"/>
        <v>-4.0983181515398144</v>
      </c>
      <c r="CS92" s="18">
        <f t="shared" si="253"/>
        <v>1.2870936801239852</v>
      </c>
      <c r="CT92" s="18">
        <f t="shared" si="254"/>
        <v>-1.9408393435812132</v>
      </c>
    </row>
    <row r="93" spans="1:98" x14ac:dyDescent="0.25">
      <c r="A93" t="str">
        <f t="shared" si="209"/>
        <v>41 Administrative occupations</v>
      </c>
      <c r="B93" s="18">
        <f t="shared" si="210"/>
        <v>5.0170649479654328</v>
      </c>
      <c r="C93" s="18">
        <f t="shared" si="210"/>
        <v>4.9202741976821285</v>
      </c>
      <c r="D93" s="18">
        <f t="shared" si="210"/>
        <v>6.6191762301497592</v>
      </c>
      <c r="E93" s="18">
        <f t="shared" si="210"/>
        <v>5.3152005752824527</v>
      </c>
      <c r="F93" s="18">
        <f t="shared" si="211"/>
        <v>5.696148921785249</v>
      </c>
      <c r="H93" s="18">
        <f t="shared" si="212"/>
        <v>5.7480774362448139</v>
      </c>
      <c r="I93" s="18">
        <f t="shared" si="213"/>
        <v>4.0456767027446272</v>
      </c>
      <c r="J93" s="18">
        <f t="shared" si="214"/>
        <v>7.8930484294791103</v>
      </c>
      <c r="L93" t="str">
        <f t="shared" si="255"/>
        <v>41 Administrative occupations</v>
      </c>
      <c r="M93" s="18">
        <f t="shared" si="215"/>
        <v>6.4692182182244595</v>
      </c>
      <c r="N93" s="18">
        <f t="shared" si="215"/>
        <v>8.8352273685628813</v>
      </c>
      <c r="O93" s="18">
        <f t="shared" si="215"/>
        <v>6.2709903943980239</v>
      </c>
      <c r="P93" s="18">
        <f t="shared" si="215"/>
        <v>4.0099342983448416</v>
      </c>
      <c r="Q93" s="18">
        <f t="shared" si="216"/>
        <v>5.00850109145623</v>
      </c>
      <c r="S93" s="18">
        <f t="shared" si="217"/>
        <v>4.7582232639980848</v>
      </c>
      <c r="T93" s="18">
        <f t="shared" si="218"/>
        <v>3.907354606009239</v>
      </c>
      <c r="U93" s="18">
        <f t="shared" si="219"/>
        <v>7.0676083981318971</v>
      </c>
      <c r="W93" t="str">
        <f t="shared" si="256"/>
        <v>41 Administrative occupations</v>
      </c>
      <c r="X93" s="18">
        <f t="shared" si="220"/>
        <v>-2.6190601737697383</v>
      </c>
      <c r="Y93" s="18">
        <f t="shared" si="220"/>
        <v>20.55391738188348</v>
      </c>
      <c r="Z93" s="18">
        <f t="shared" si="220"/>
        <v>2.7880015828396054</v>
      </c>
      <c r="AA93" s="18">
        <f t="shared" si="220"/>
        <v>1.8411496022189944</v>
      </c>
      <c r="AB93" s="18">
        <f t="shared" si="221"/>
        <v>3.2185842954768562</v>
      </c>
      <c r="AD93" s="18">
        <f t="shared" si="222"/>
        <v>2.1557938161788082</v>
      </c>
      <c r="AE93" s="18">
        <f t="shared" si="223"/>
        <v>3.5492474132336138</v>
      </c>
      <c r="AF93" s="18">
        <f t="shared" si="224"/>
        <v>4.9508586636738849</v>
      </c>
      <c r="AH93" t="str">
        <f t="shared" si="257"/>
        <v>41 Administrative occupations</v>
      </c>
      <c r="AI93" s="18">
        <f t="shared" si="225"/>
        <v>-1.3709469150185338</v>
      </c>
      <c r="AJ93" s="18">
        <f t="shared" si="225"/>
        <v>22.17532717959687</v>
      </c>
      <c r="AK93" s="18">
        <f t="shared" si="225"/>
        <v>2.0973250062730209</v>
      </c>
      <c r="AL93" s="18">
        <f t="shared" si="225"/>
        <v>1.9082971850539199</v>
      </c>
      <c r="AM93" s="18">
        <f t="shared" si="226"/>
        <v>3.1298589068034621</v>
      </c>
      <c r="AO93" s="18">
        <f t="shared" si="227"/>
        <v>1.9712675406434732</v>
      </c>
      <c r="AP93" s="18">
        <f t="shared" si="228"/>
        <v>3.645053595746317</v>
      </c>
      <c r="AQ93" s="18">
        <f t="shared" si="229"/>
        <v>4.9057388845659355</v>
      </c>
      <c r="AS93" t="str">
        <f t="shared" si="258"/>
        <v>41 Administrative occupations</v>
      </c>
      <c r="AT93" s="18">
        <f t="shared" si="230"/>
        <v>-3.5115239088516992</v>
      </c>
      <c r="AU93" s="18">
        <f t="shared" si="230"/>
        <v>22.892067160973049</v>
      </c>
      <c r="AV93" s="18">
        <f t="shared" si="230"/>
        <v>1.0756817839229438</v>
      </c>
      <c r="AW93" s="18">
        <f t="shared" si="230"/>
        <v>1.4591242988779118</v>
      </c>
      <c r="AX93" s="18">
        <f t="shared" si="231"/>
        <v>2.5602973719282662</v>
      </c>
      <c r="AZ93" s="18">
        <f t="shared" si="232"/>
        <v>1.3311487730918614</v>
      </c>
      <c r="BA93" s="18">
        <f t="shared" si="233"/>
        <v>3.2503951052679891</v>
      </c>
      <c r="BB93" s="18">
        <f t="shared" si="234"/>
        <v>4.1305416136585116</v>
      </c>
      <c r="BD93" t="str">
        <f t="shared" si="259"/>
        <v>41 Administrative occupations</v>
      </c>
      <c r="BE93" s="18">
        <f t="shared" si="235"/>
        <v>-0.71950021105521289</v>
      </c>
      <c r="BF93" s="18">
        <f t="shared" si="235"/>
        <v>2.1103038563861531</v>
      </c>
      <c r="BG93" s="18">
        <f t="shared" si="235"/>
        <v>0.49227786414010044</v>
      </c>
      <c r="BH93" s="18">
        <f t="shared" si="235"/>
        <v>-0.88538119167995699</v>
      </c>
      <c r="BI93" s="18">
        <f t="shared" si="236"/>
        <v>-0.27147731820884591</v>
      </c>
      <c r="BK93" s="18">
        <f t="shared" si="237"/>
        <v>-0.42827289236251342</v>
      </c>
      <c r="BL93" s="18">
        <f t="shared" si="238"/>
        <v>2.5508903484738665</v>
      </c>
      <c r="BM93" s="18">
        <f t="shared" si="239"/>
        <v>2.2527560305113159</v>
      </c>
      <c r="BO93" t="str">
        <f t="shared" si="260"/>
        <v>41 Administrative occupations</v>
      </c>
      <c r="BP93" s="18">
        <f t="shared" si="240"/>
        <v>-1.7453629479363908</v>
      </c>
      <c r="BQ93" s="18">
        <f t="shared" si="240"/>
        <v>-7.8192621287732518</v>
      </c>
      <c r="BR93" s="18">
        <f t="shared" si="240"/>
        <v>0.58120212398315996</v>
      </c>
      <c r="BS93" s="18">
        <f t="shared" si="240"/>
        <v>-2.6993994127136878</v>
      </c>
      <c r="BT93" s="18">
        <f t="shared" si="241"/>
        <v>-2.0174543083277929</v>
      </c>
      <c r="BV93" s="18">
        <f t="shared" si="242"/>
        <v>-1.6179303287298108</v>
      </c>
      <c r="BW93" s="18">
        <f t="shared" si="243"/>
        <v>2.4214168274794279</v>
      </c>
      <c r="BX93" s="18">
        <f t="shared" si="244"/>
        <v>1.3050426470374354</v>
      </c>
      <c r="BZ93" t="str">
        <f t="shared" si="261"/>
        <v>41 Administrative occupations</v>
      </c>
      <c r="CA93" s="18">
        <f t="shared" si="245"/>
        <v>-5.2535742992058987</v>
      </c>
      <c r="CB93" s="18">
        <f t="shared" si="245"/>
        <v>-9.5229226509939817</v>
      </c>
      <c r="CC93" s="18">
        <f t="shared" si="245"/>
        <v>-5.7663946460968951</v>
      </c>
      <c r="CD93" s="18">
        <f t="shared" si="245"/>
        <v>-9.7592418565010224</v>
      </c>
      <c r="CE93" s="18">
        <f t="shared" si="246"/>
        <v>-8.5150437769420328</v>
      </c>
      <c r="CG93" s="18">
        <f t="shared" si="247"/>
        <v>-8.4474540326216818</v>
      </c>
      <c r="CH93" s="18">
        <f t="shared" si="248"/>
        <v>1.3954704027041132</v>
      </c>
      <c r="CI93" s="18">
        <f t="shared" si="249"/>
        <v>-4.5520349812119161</v>
      </c>
      <c r="CK93" t="str">
        <f t="shared" si="262"/>
        <v>41 Administrative occupations</v>
      </c>
      <c r="CL93" s="18">
        <f t="shared" si="250"/>
        <v>-8.1906174982103508</v>
      </c>
      <c r="CM93" s="18">
        <f t="shared" si="250"/>
        <v>15.81038023440129</v>
      </c>
      <c r="CN93" s="18">
        <f t="shared" si="250"/>
        <v>-7.2017470843574678</v>
      </c>
      <c r="CO93" s="18">
        <f t="shared" si="250"/>
        <v>-3.3315347099778014</v>
      </c>
      <c r="CP93" s="18">
        <f t="shared" si="251"/>
        <v>-3.4741976428634413</v>
      </c>
      <c r="CR93" s="18">
        <f t="shared" si="252"/>
        <v>-4.6392153588178386</v>
      </c>
      <c r="CS93" s="18">
        <f t="shared" si="253"/>
        <v>1.3217096784785776</v>
      </c>
      <c r="CT93" s="18">
        <f t="shared" si="254"/>
        <v>-2.2749611296879024</v>
      </c>
    </row>
    <row r="94" spans="1:98" x14ac:dyDescent="0.25">
      <c r="A94" t="str">
        <f t="shared" si="209"/>
        <v>42 Secretarial and related occupations</v>
      </c>
      <c r="B94" s="18">
        <f t="shared" si="210"/>
        <v>2.30401712869861</v>
      </c>
      <c r="C94" s="18">
        <f t="shared" si="210"/>
        <v>17.73107600834274</v>
      </c>
      <c r="D94" s="18">
        <f t="shared" si="210"/>
        <v>7.9052979727757711</v>
      </c>
      <c r="E94" s="18">
        <f t="shared" si="210"/>
        <v>4.5434325199743997</v>
      </c>
      <c r="F94" s="18">
        <f t="shared" si="211"/>
        <v>6.3694789356903314</v>
      </c>
      <c r="H94" s="18">
        <f t="shared" si="212"/>
        <v>5.6522522762300742</v>
      </c>
      <c r="I94" s="18">
        <f t="shared" si="213"/>
        <v>4.6442224669738019</v>
      </c>
      <c r="J94" s="18">
        <f t="shared" si="214"/>
        <v>8.1902490060681963</v>
      </c>
      <c r="L94" t="str">
        <f t="shared" si="255"/>
        <v>42 Secretarial and related occupations</v>
      </c>
      <c r="M94" s="18">
        <f t="shared" si="215"/>
        <v>5.3987128187778621</v>
      </c>
      <c r="N94" s="18">
        <f t="shared" si="215"/>
        <v>15.133985836211794</v>
      </c>
      <c r="O94" s="18">
        <f t="shared" si="215"/>
        <v>4.9231553526546623</v>
      </c>
      <c r="P94" s="18">
        <f t="shared" si="215"/>
        <v>-1.9811907996348355</v>
      </c>
      <c r="Q94" s="18">
        <f t="shared" si="216"/>
        <v>1.1383594267784458</v>
      </c>
      <c r="S94" s="18">
        <f t="shared" si="217"/>
        <v>0.26824086419605653</v>
      </c>
      <c r="T94" s="18">
        <f t="shared" si="218"/>
        <v>3.3361950093569126</v>
      </c>
      <c r="U94" s="18">
        <f t="shared" si="219"/>
        <v>3.5068565489679182</v>
      </c>
      <c r="W94" t="str">
        <f t="shared" si="256"/>
        <v>42 Secretarial and related occupations</v>
      </c>
      <c r="X94" s="18">
        <f t="shared" si="220"/>
        <v>-3.5625321925264353</v>
      </c>
      <c r="Y94" s="18">
        <f t="shared" si="220"/>
        <v>20.399177041000584</v>
      </c>
      <c r="Z94" s="18">
        <f t="shared" si="220"/>
        <v>3.6469452638389743</v>
      </c>
      <c r="AA94" s="18">
        <f t="shared" si="220"/>
        <v>2.1176095858459032</v>
      </c>
      <c r="AB94" s="18">
        <f t="shared" si="221"/>
        <v>3.6545279946781806</v>
      </c>
      <c r="AD94" s="18">
        <f t="shared" si="222"/>
        <v>2.6248642577785919</v>
      </c>
      <c r="AE94" s="18">
        <f t="shared" si="223"/>
        <v>4.0243343877087279</v>
      </c>
      <c r="AF94" s="18">
        <f t="shared" si="224"/>
        <v>5.6552452028749478</v>
      </c>
      <c r="AH94" t="str">
        <f t="shared" si="257"/>
        <v>42 Secretarial and related occupations</v>
      </c>
      <c r="AI94" s="18">
        <f t="shared" si="225"/>
        <v>-3.1514208087213169</v>
      </c>
      <c r="AJ94" s="18">
        <f t="shared" si="225"/>
        <v>25.457108958705788</v>
      </c>
      <c r="AK94" s="18">
        <f t="shared" si="225"/>
        <v>0.79739633928452847</v>
      </c>
      <c r="AL94" s="18">
        <f t="shared" si="225"/>
        <v>-0.26777438216454286</v>
      </c>
      <c r="AM94" s="18">
        <f t="shared" si="226"/>
        <v>1.5093529950080065</v>
      </c>
      <c r="AO94" s="18">
        <f t="shared" si="227"/>
        <v>8.6025933330735604E-2</v>
      </c>
      <c r="AP94" s="18">
        <f t="shared" si="228"/>
        <v>3.324168824904139</v>
      </c>
      <c r="AQ94" s="18">
        <f t="shared" si="229"/>
        <v>3.3787212228361563</v>
      </c>
      <c r="AS94" t="str">
        <f t="shared" si="258"/>
        <v>42 Secretarial and related occupations</v>
      </c>
      <c r="AT94" s="18">
        <f t="shared" si="230"/>
        <v>-5.0322017870606857</v>
      </c>
      <c r="AU94" s="18">
        <f t="shared" si="230"/>
        <v>24.924074028068553</v>
      </c>
      <c r="AV94" s="18">
        <f t="shared" si="230"/>
        <v>0.80628385364056587</v>
      </c>
      <c r="AW94" s="18">
        <f t="shared" si="230"/>
        <v>0.2588470358000805</v>
      </c>
      <c r="AX94" s="18">
        <f t="shared" si="231"/>
        <v>1.8197324506043389</v>
      </c>
      <c r="AZ94" s="18">
        <f t="shared" si="232"/>
        <v>0.44099485298469965</v>
      </c>
      <c r="BA94" s="18">
        <f t="shared" si="233"/>
        <v>3.1797620809980165</v>
      </c>
      <c r="BB94" s="18">
        <f t="shared" si="234"/>
        <v>3.4675462451138506</v>
      </c>
      <c r="BD94" t="str">
        <f t="shared" si="259"/>
        <v>42 Secretarial and related occupations</v>
      </c>
      <c r="BE94" s="18">
        <f t="shared" si="235"/>
        <v>-1.8558169825988236</v>
      </c>
      <c r="BF94" s="18">
        <f t="shared" si="235"/>
        <v>-5.6896782113540993</v>
      </c>
      <c r="BG94" s="18">
        <f t="shared" si="235"/>
        <v>-0.56437582413249032</v>
      </c>
      <c r="BH94" s="18">
        <f t="shared" si="235"/>
        <v>-11.197756392175185</v>
      </c>
      <c r="BI94" s="18">
        <f t="shared" si="236"/>
        <v>-7.6564025338830994</v>
      </c>
      <c r="BK94" s="18">
        <f t="shared" si="237"/>
        <v>-7.786049670358997</v>
      </c>
      <c r="BL94" s="18">
        <f t="shared" si="238"/>
        <v>2.0707742066057078</v>
      </c>
      <c r="BM94" s="18">
        <f t="shared" si="239"/>
        <v>-2.7676176551777343</v>
      </c>
      <c r="BO94" t="str">
        <f t="shared" si="260"/>
        <v>42 Secretarial and related occupations</v>
      </c>
      <c r="BP94" s="18">
        <f t="shared" si="240"/>
        <v>-4.8257480305131111</v>
      </c>
      <c r="BQ94" s="18">
        <f t="shared" si="240"/>
        <v>-16.130156266777572</v>
      </c>
      <c r="BR94" s="18">
        <f t="shared" si="240"/>
        <v>-5.6696023224755088</v>
      </c>
      <c r="BS94" s="18">
        <f t="shared" si="240"/>
        <v>-13.173100861500709</v>
      </c>
      <c r="BT94" s="18">
        <f t="shared" si="241"/>
        <v>-11.087475355508714</v>
      </c>
      <c r="BV94" s="18">
        <f t="shared" si="242"/>
        <v>-10.740712470626368</v>
      </c>
      <c r="BW94" s="18">
        <f t="shared" si="243"/>
        <v>1.6059650618506227</v>
      </c>
      <c r="BX94" s="18">
        <f t="shared" si="244"/>
        <v>-5.1583616852989511</v>
      </c>
      <c r="BZ94" t="str">
        <f t="shared" si="261"/>
        <v>42 Secretarial and related occupations</v>
      </c>
      <c r="CA94" s="18">
        <f t="shared" si="245"/>
        <v>-3.9501543961978358</v>
      </c>
      <c r="CB94" s="18">
        <f t="shared" si="245"/>
        <v>-17.537553251774252</v>
      </c>
      <c r="CC94" s="18">
        <f t="shared" si="245"/>
        <v>-6.2392853950833382</v>
      </c>
      <c r="CD94" s="18">
        <f t="shared" si="245"/>
        <v>-15.330932179611501</v>
      </c>
      <c r="CE94" s="18">
        <f t="shared" si="246"/>
        <v>-12.73290202021473</v>
      </c>
      <c r="CG94" s="18">
        <f t="shared" si="247"/>
        <v>-12.402813968283176</v>
      </c>
      <c r="CH94" s="18">
        <f t="shared" si="248"/>
        <v>1.4050433352039482</v>
      </c>
      <c r="CI94" s="18">
        <f t="shared" si="249"/>
        <v>-6.4134237529912426</v>
      </c>
      <c r="CK94" t="str">
        <f t="shared" si="262"/>
        <v>42 Secretarial and related occupations</v>
      </c>
      <c r="CL94" s="18">
        <f t="shared" si="250"/>
        <v>-7.0435592499399791</v>
      </c>
      <c r="CM94" s="18">
        <f t="shared" si="250"/>
        <v>15.643052453271643</v>
      </c>
      <c r="CN94" s="18">
        <f t="shared" si="250"/>
        <v>-4.7884209714249559</v>
      </c>
      <c r="CO94" s="18">
        <f t="shared" si="250"/>
        <v>-2.3561360720150137</v>
      </c>
      <c r="CP94" s="18">
        <f t="shared" si="251"/>
        <v>-2.0930273495401108</v>
      </c>
      <c r="CR94" s="18">
        <f t="shared" si="252"/>
        <v>-3.1737244013360755</v>
      </c>
      <c r="CS94" s="18">
        <f t="shared" si="253"/>
        <v>1.8298578192037507</v>
      </c>
      <c r="CT94" s="18">
        <f t="shared" si="254"/>
        <v>-0.4895262247426535</v>
      </c>
    </row>
    <row r="95" spans="1:98" x14ac:dyDescent="0.25">
      <c r="A95" t="str">
        <f t="shared" si="209"/>
        <v>51 Skilled agricultural and related trades</v>
      </c>
      <c r="B95" s="18">
        <f t="shared" si="210"/>
        <v>7.4367997509919181</v>
      </c>
      <c r="C95" s="18">
        <f t="shared" si="210"/>
        <v>-24.360056916496507</v>
      </c>
      <c r="D95" s="18">
        <f t="shared" si="210"/>
        <v>4.5326177031918435</v>
      </c>
      <c r="E95" s="18">
        <f t="shared" si="210"/>
        <v>6.8593779052023907</v>
      </c>
      <c r="F95" s="18">
        <f t="shared" si="211"/>
        <v>3.8594566519042361</v>
      </c>
      <c r="H95" s="18">
        <f t="shared" si="212"/>
        <v>6.0780928533237244</v>
      </c>
      <c r="I95" s="18">
        <f t="shared" si="213"/>
        <v>4.65019767475503</v>
      </c>
      <c r="J95" s="18">
        <f t="shared" si="214"/>
        <v>8.5018400071116051</v>
      </c>
      <c r="L95" t="str">
        <f t="shared" si="255"/>
        <v>51 Skilled agricultural and related trades</v>
      </c>
      <c r="M95" s="18">
        <f t="shared" si="215"/>
        <v>0.16586671442142542</v>
      </c>
      <c r="N95" s="18">
        <f t="shared" si="215"/>
        <v>-14.988133949250415</v>
      </c>
      <c r="O95" s="18">
        <f t="shared" si="215"/>
        <v>3.42896740742622</v>
      </c>
      <c r="P95" s="18">
        <f t="shared" si="215"/>
        <v>3.086781234908198</v>
      </c>
      <c r="Q95" s="18">
        <f t="shared" si="216"/>
        <v>1.957697208561715</v>
      </c>
      <c r="S95" s="18">
        <f t="shared" si="217"/>
        <v>3.2007173188062454</v>
      </c>
      <c r="T95" s="18">
        <f t="shared" si="218"/>
        <v>3.5307588437883286</v>
      </c>
      <c r="U95" s="18">
        <f t="shared" si="219"/>
        <v>5.6697454710122663</v>
      </c>
      <c r="W95" t="str">
        <f t="shared" si="256"/>
        <v>51 Skilled agricultural and related trades</v>
      </c>
      <c r="X95" s="18">
        <f t="shared" si="220"/>
        <v>-7.1828618284624834</v>
      </c>
      <c r="Y95" s="18">
        <f t="shared" si="220"/>
        <v>-7.1929833221752055</v>
      </c>
      <c r="Z95" s="18">
        <f t="shared" si="220"/>
        <v>2.0316431870462504</v>
      </c>
      <c r="AA95" s="18">
        <f t="shared" si="220"/>
        <v>2.9921658262592299</v>
      </c>
      <c r="AB95" s="18">
        <f t="shared" si="221"/>
        <v>2.0248747865916794</v>
      </c>
      <c r="AD95" s="18">
        <f t="shared" si="222"/>
        <v>2.6709910906307144</v>
      </c>
      <c r="AE95" s="18">
        <f t="shared" si="223"/>
        <v>4.0860050431783534</v>
      </c>
      <c r="AF95" s="18">
        <f t="shared" si="224"/>
        <v>5.7354136878778883</v>
      </c>
      <c r="AH95" t="str">
        <f t="shared" si="257"/>
        <v>51 Skilled agricultural and related trades</v>
      </c>
      <c r="AI95" s="18">
        <f t="shared" si="225"/>
        <v>-3.3094971286388386</v>
      </c>
      <c r="AJ95" s="18">
        <f t="shared" si="225"/>
        <v>-13.403184120160972</v>
      </c>
      <c r="AK95" s="18">
        <f t="shared" si="225"/>
        <v>3.0552889207522194</v>
      </c>
      <c r="AL95" s="18">
        <f t="shared" si="225"/>
        <v>3.004010876030927</v>
      </c>
      <c r="AM95" s="18">
        <f t="shared" si="226"/>
        <v>1.9089130255642184</v>
      </c>
      <c r="AO95" s="18">
        <f t="shared" si="227"/>
        <v>3.0211007219967945</v>
      </c>
      <c r="AP95" s="18">
        <f t="shared" si="228"/>
        <v>4.3478356013208819</v>
      </c>
      <c r="AQ95" s="18">
        <f t="shared" si="229"/>
        <v>6.1738607707178428</v>
      </c>
      <c r="AS95" t="str">
        <f t="shared" si="258"/>
        <v>51 Skilled agricultural and related trades</v>
      </c>
      <c r="AT95" s="18">
        <f t="shared" si="230"/>
        <v>-3.4289990432990414</v>
      </c>
      <c r="AU95" s="18">
        <f t="shared" si="230"/>
        <v>-11.060938700293278</v>
      </c>
      <c r="AV95" s="18">
        <f t="shared" si="230"/>
        <v>2.4832730253425916</v>
      </c>
      <c r="AW95" s="18">
        <f t="shared" si="230"/>
        <v>4.1378292216471602</v>
      </c>
      <c r="AX95" s="18">
        <f t="shared" si="231"/>
        <v>2.601253717749108</v>
      </c>
      <c r="AZ95" s="18">
        <f t="shared" si="232"/>
        <v>3.5833635629186844</v>
      </c>
      <c r="BA95" s="18">
        <f t="shared" si="233"/>
        <v>4.0224582626551708</v>
      </c>
      <c r="BB95" s="18">
        <f t="shared" si="234"/>
        <v>6.3060936744876894</v>
      </c>
      <c r="BD95" t="str">
        <f t="shared" si="259"/>
        <v>51 Skilled agricultural and related trades</v>
      </c>
      <c r="BE95" s="18">
        <f t="shared" si="235"/>
        <v>-0.70177670628297495</v>
      </c>
      <c r="BF95" s="18">
        <f t="shared" si="235"/>
        <v>-22.758968281545975</v>
      </c>
      <c r="BG95" s="18">
        <f t="shared" si="235"/>
        <v>0.38718482054518333</v>
      </c>
      <c r="BH95" s="18">
        <f t="shared" si="235"/>
        <v>1.0426582132658124</v>
      </c>
      <c r="BI95" s="18">
        <f t="shared" si="236"/>
        <v>-0.84138729004371582</v>
      </c>
      <c r="BK95" s="18">
        <f t="shared" si="237"/>
        <v>0.82369291462542904</v>
      </c>
      <c r="BL95" s="18">
        <f t="shared" si="238"/>
        <v>2.9592868860830679</v>
      </c>
      <c r="BM95" s="18">
        <f t="shared" si="239"/>
        <v>3.5178747459804427</v>
      </c>
      <c r="BO95" t="str">
        <f t="shared" si="260"/>
        <v>51 Skilled agricultural and related trades</v>
      </c>
      <c r="BP95" s="18">
        <f t="shared" si="240"/>
        <v>-1.4722864429619786</v>
      </c>
      <c r="BQ95" s="18">
        <f t="shared" si="240"/>
        <v>-25.195911776984715</v>
      </c>
      <c r="BR95" s="18">
        <f t="shared" si="240"/>
        <v>0.12248885648546981</v>
      </c>
      <c r="BS95" s="18">
        <f t="shared" si="240"/>
        <v>-0.61642316960857091</v>
      </c>
      <c r="BT95" s="18">
        <f t="shared" si="241"/>
        <v>-2.1393470280841265</v>
      </c>
      <c r="BV95" s="18">
        <f t="shared" si="242"/>
        <v>-0.3707270713992572</v>
      </c>
      <c r="BW95" s="18">
        <f t="shared" si="243"/>
        <v>2.9886010711904998</v>
      </c>
      <c r="BX95" s="18">
        <f t="shared" si="244"/>
        <v>2.7454170926298982</v>
      </c>
      <c r="BZ95" t="str">
        <f t="shared" si="261"/>
        <v>51 Skilled agricultural and related trades</v>
      </c>
      <c r="CA95" s="18">
        <f t="shared" si="245"/>
        <v>-3.5569566880138792</v>
      </c>
      <c r="CB95" s="18">
        <f t="shared" si="245"/>
        <v>-0.90366141752308282</v>
      </c>
      <c r="CC95" s="18">
        <f t="shared" si="245"/>
        <v>-0.94963557341857241</v>
      </c>
      <c r="CD95" s="18">
        <f t="shared" si="245"/>
        <v>1.6536654930281669</v>
      </c>
      <c r="CE95" s="18">
        <f t="shared" si="246"/>
        <v>0.67242427309939234</v>
      </c>
      <c r="CG95" s="18">
        <f t="shared" si="247"/>
        <v>0.77838354643435803</v>
      </c>
      <c r="CH95" s="18">
        <f t="shared" si="248"/>
        <v>2.6040885124665403</v>
      </c>
      <c r="CI95" s="18">
        <f t="shared" si="249"/>
        <v>3.1565007487529551</v>
      </c>
      <c r="CK95" t="str">
        <f t="shared" si="262"/>
        <v>51 Skilled agricultural and related trades</v>
      </c>
      <c r="CL95" s="18">
        <f t="shared" si="250"/>
        <v>-5.053889606065165</v>
      </c>
      <c r="CM95" s="18">
        <f t="shared" si="250"/>
        <v>-21.631879372965102</v>
      </c>
      <c r="CN95" s="18">
        <f t="shared" si="250"/>
        <v>-4.6842356785072532</v>
      </c>
      <c r="CO95" s="18">
        <f t="shared" si="250"/>
        <v>-4.5044307098528025</v>
      </c>
      <c r="CP95" s="18">
        <f t="shared" si="251"/>
        <v>-5.732452619687689</v>
      </c>
      <c r="CR95" s="18">
        <f t="shared" si="252"/>
        <v>-4.5644033552378556</v>
      </c>
      <c r="CS95" s="18">
        <f t="shared" si="253"/>
        <v>1.6302073696274233</v>
      </c>
      <c r="CT95" s="18">
        <f t="shared" si="254"/>
        <v>-1.7213359345986556</v>
      </c>
    </row>
    <row r="96" spans="1:98" x14ac:dyDescent="0.25">
      <c r="A96" t="str">
        <f t="shared" si="209"/>
        <v>52 Skilled metal, electrical and electronic trades</v>
      </c>
      <c r="B96" s="18">
        <f t="shared" si="210"/>
        <v>-3.2859252559340191</v>
      </c>
      <c r="C96" s="18">
        <f t="shared" si="210"/>
        <v>-25.396848274990159</v>
      </c>
      <c r="D96" s="18">
        <f t="shared" si="210"/>
        <v>4.4905466470158695</v>
      </c>
      <c r="E96" s="18">
        <f t="shared" si="210"/>
        <v>3.7872093820960462</v>
      </c>
      <c r="F96" s="18">
        <f t="shared" si="211"/>
        <v>1.8823099672510279</v>
      </c>
      <c r="H96" s="18">
        <f t="shared" si="212"/>
        <v>4.0211275305508387</v>
      </c>
      <c r="I96" s="18">
        <f t="shared" si="213"/>
        <v>3.0590774812670363</v>
      </c>
      <c r="J96" s="18">
        <f t="shared" si="214"/>
        <v>5.9446770130294091</v>
      </c>
      <c r="L96" t="str">
        <f t="shared" si="255"/>
        <v>52 Skilled metal, electrical and electronic trades</v>
      </c>
      <c r="M96" s="18">
        <f t="shared" si="215"/>
        <v>6.1884155043118616</v>
      </c>
      <c r="N96" s="18">
        <f t="shared" si="215"/>
        <v>-32.220772799716045</v>
      </c>
      <c r="O96" s="18">
        <f t="shared" si="215"/>
        <v>9.4899890531061395</v>
      </c>
      <c r="P96" s="18">
        <f t="shared" si="215"/>
        <v>4.9115874549954253</v>
      </c>
      <c r="Q96" s="18">
        <f t="shared" si="216"/>
        <v>3.4576724866912656</v>
      </c>
      <c r="S96" s="18">
        <f t="shared" si="217"/>
        <v>6.4160439396745206</v>
      </c>
      <c r="T96" s="18">
        <f t="shared" si="218"/>
        <v>4.0841352778105078</v>
      </c>
      <c r="U96" s="18">
        <f t="shared" si="219"/>
        <v>8.4246918596826426</v>
      </c>
      <c r="W96" t="str">
        <f t="shared" si="256"/>
        <v>52 Skilled metal, electrical and electronic trades</v>
      </c>
      <c r="X96" s="18">
        <f t="shared" si="220"/>
        <v>-1.8305549407208521</v>
      </c>
      <c r="Y96" s="18">
        <f t="shared" si="220"/>
        <v>-21.607168569612401</v>
      </c>
      <c r="Z96" s="18">
        <f t="shared" si="220"/>
        <v>3.4104970520118183</v>
      </c>
      <c r="AA96" s="18">
        <f t="shared" si="220"/>
        <v>1.9138183610598603</v>
      </c>
      <c r="AB96" s="18">
        <f t="shared" si="221"/>
        <v>0.71389410855458024</v>
      </c>
      <c r="AD96" s="18">
        <f t="shared" si="222"/>
        <v>2.4102887884109636</v>
      </c>
      <c r="AE96" s="18">
        <f t="shared" si="223"/>
        <v>3.1847680431465797</v>
      </c>
      <c r="AF96" s="18">
        <f t="shared" si="224"/>
        <v>4.8327957252366049</v>
      </c>
      <c r="AH96" t="str">
        <f t="shared" si="257"/>
        <v>52 Skilled metal, electrical and electronic trades</v>
      </c>
      <c r="AI96" s="18">
        <f t="shared" si="225"/>
        <v>-3.0779229891317761</v>
      </c>
      <c r="AJ96" s="18">
        <f t="shared" si="225"/>
        <v>-16.831027716242264</v>
      </c>
      <c r="AK96" s="18">
        <f t="shared" si="225"/>
        <v>1.840642366455536</v>
      </c>
      <c r="AL96" s="18">
        <f t="shared" si="225"/>
        <v>1.8787170649734897</v>
      </c>
      <c r="AM96" s="18">
        <f t="shared" si="226"/>
        <v>0.58312016877504202</v>
      </c>
      <c r="AO96" s="18">
        <f t="shared" si="227"/>
        <v>1.8660239174175253</v>
      </c>
      <c r="AP96" s="18">
        <f t="shared" si="228"/>
        <v>2.7245821118112579</v>
      </c>
      <c r="AQ96" s="18">
        <f t="shared" si="229"/>
        <v>4.05861273570296</v>
      </c>
      <c r="AS96" t="str">
        <f t="shared" si="258"/>
        <v>52 Skilled metal, electrical and electronic trades</v>
      </c>
      <c r="AT96" s="18">
        <f t="shared" si="230"/>
        <v>-2.9998083752358129</v>
      </c>
      <c r="AU96" s="18">
        <f t="shared" si="230"/>
        <v>-13.820757993792887</v>
      </c>
      <c r="AV96" s="18">
        <f t="shared" si="230"/>
        <v>0.63292513034927111</v>
      </c>
      <c r="AW96" s="18">
        <f t="shared" si="230"/>
        <v>0.9653083654781236</v>
      </c>
      <c r="AX96" s="18">
        <f t="shared" si="231"/>
        <v>-0.1319529752041193</v>
      </c>
      <c r="AZ96" s="18">
        <f t="shared" si="232"/>
        <v>0.85439215052767192</v>
      </c>
      <c r="BA96" s="18">
        <f t="shared" si="233"/>
        <v>2.5389062627554138</v>
      </c>
      <c r="BB96" s="18">
        <f t="shared" si="234"/>
        <v>3.1514301046991378</v>
      </c>
      <c r="BD96" t="str">
        <f t="shared" si="259"/>
        <v>52 Skilled metal, electrical and electronic trades</v>
      </c>
      <c r="BE96" s="18">
        <f t="shared" si="235"/>
        <v>1.637731515659091</v>
      </c>
      <c r="BF96" s="18">
        <f t="shared" si="235"/>
        <v>-17.147884505537792</v>
      </c>
      <c r="BG96" s="18">
        <f t="shared" si="235"/>
        <v>4.1209420064358682E-2</v>
      </c>
      <c r="BH96" s="18">
        <f t="shared" si="235"/>
        <v>-0.39141821666722754</v>
      </c>
      <c r="BI96" s="18">
        <f t="shared" si="236"/>
        <v>-1.398081582967714</v>
      </c>
      <c r="BK96" s="18">
        <f t="shared" si="237"/>
        <v>-0.24741728227773985</v>
      </c>
      <c r="BL96" s="18">
        <f t="shared" si="238"/>
        <v>1.9998421544624279</v>
      </c>
      <c r="BM96" s="18">
        <f t="shared" si="239"/>
        <v>1.8131671295149587</v>
      </c>
      <c r="BO96" t="str">
        <f t="shared" si="260"/>
        <v>52 Skilled metal, electrical and electronic trades</v>
      </c>
      <c r="BP96" s="18">
        <f t="shared" si="240"/>
        <v>0.43751171027854863</v>
      </c>
      <c r="BQ96" s="18">
        <f t="shared" si="240"/>
        <v>-20.389821210922644</v>
      </c>
      <c r="BR96" s="18">
        <f t="shared" si="240"/>
        <v>0.19296892685896072</v>
      </c>
      <c r="BS96" s="18">
        <f t="shared" si="240"/>
        <v>-1.5375354275912856</v>
      </c>
      <c r="BT96" s="18">
        <f t="shared" si="241"/>
        <v>-2.3063433003685074</v>
      </c>
      <c r="BV96" s="18">
        <f t="shared" si="242"/>
        <v>-0.96404737071417168</v>
      </c>
      <c r="BW96" s="18">
        <f t="shared" si="243"/>
        <v>2.0929729465764435</v>
      </c>
      <c r="BX96" s="18">
        <f t="shared" si="244"/>
        <v>1.3849502489003518</v>
      </c>
      <c r="BZ96" t="str">
        <f t="shared" si="261"/>
        <v>52 Skilled metal, electrical and electronic trades</v>
      </c>
      <c r="CA96" s="18">
        <f t="shared" si="245"/>
        <v>-3.3061684757123677</v>
      </c>
      <c r="CB96" s="18">
        <f t="shared" si="245"/>
        <v>-13.108623214195358</v>
      </c>
      <c r="CC96" s="18">
        <f t="shared" si="245"/>
        <v>-4.1469604739588162</v>
      </c>
      <c r="CD96" s="18">
        <f t="shared" si="245"/>
        <v>-6.1633962530461712</v>
      </c>
      <c r="CE96" s="18">
        <f t="shared" si="246"/>
        <v>-5.9907564182968942</v>
      </c>
      <c r="CG96" s="18">
        <f t="shared" si="247"/>
        <v>-5.4960088581915478</v>
      </c>
      <c r="CH96" s="18">
        <f t="shared" si="248"/>
        <v>1.4787568690628028</v>
      </c>
      <c r="CI96" s="18">
        <f t="shared" si="249"/>
        <v>-2.5899384142927806</v>
      </c>
      <c r="CK96" t="str">
        <f t="shared" si="262"/>
        <v>52 Skilled metal, electrical and electronic trades</v>
      </c>
      <c r="CL96" s="18">
        <f t="shared" si="250"/>
        <v>-4.4729506099245313</v>
      </c>
      <c r="CM96" s="18">
        <f t="shared" si="250"/>
        <v>-21.629753783366812</v>
      </c>
      <c r="CN96" s="18">
        <f t="shared" si="250"/>
        <v>-10.69835489031753</v>
      </c>
      <c r="CO96" s="18">
        <f t="shared" si="250"/>
        <v>-5.6933472493469583</v>
      </c>
      <c r="CP96" s="18">
        <f t="shared" si="251"/>
        <v>-8.3532669001890714</v>
      </c>
      <c r="CR96" s="18">
        <f t="shared" si="252"/>
        <v>-7.3920991262122708</v>
      </c>
      <c r="CS96" s="18">
        <f t="shared" si="253"/>
        <v>1.1046153677547688</v>
      </c>
      <c r="CT96" s="18">
        <f t="shared" si="254"/>
        <v>-4.577705153342726</v>
      </c>
    </row>
    <row r="97" spans="1:98" x14ac:dyDescent="0.25">
      <c r="A97" t="str">
        <f t="shared" si="209"/>
        <v>53 Skilled construction and building trades</v>
      </c>
      <c r="B97" s="18">
        <f t="shared" si="210"/>
        <v>-4.0439350283898783</v>
      </c>
      <c r="C97" s="18">
        <f t="shared" si="210"/>
        <v>-38.070375761883035</v>
      </c>
      <c r="D97" s="18">
        <f t="shared" si="210"/>
        <v>6.8990351804371297</v>
      </c>
      <c r="E97" s="18">
        <f t="shared" si="210"/>
        <v>0.36420600838362738</v>
      </c>
      <c r="F97" s="18">
        <f t="shared" si="211"/>
        <v>-0.68044980545866052</v>
      </c>
      <c r="H97" s="18">
        <f t="shared" si="212"/>
        <v>2.4968449781578306</v>
      </c>
      <c r="I97" s="18">
        <f t="shared" si="213"/>
        <v>2.9610517258678914</v>
      </c>
      <c r="J97" s="18">
        <f t="shared" si="214"/>
        <v>4.718175007984815</v>
      </c>
      <c r="L97" t="str">
        <f t="shared" si="255"/>
        <v>53 Skilled construction and building trades</v>
      </c>
      <c r="M97" s="18">
        <f t="shared" si="215"/>
        <v>5.6503751899322108</v>
      </c>
      <c r="N97" s="18">
        <f t="shared" si="215"/>
        <v>-29.024478814671284</v>
      </c>
      <c r="O97" s="18">
        <f t="shared" si="215"/>
        <v>6.3119664868192649</v>
      </c>
      <c r="P97" s="18">
        <f t="shared" si="215"/>
        <v>3.6121005650102678</v>
      </c>
      <c r="Q97" s="18">
        <f t="shared" si="216"/>
        <v>2.0076536673844236</v>
      </c>
      <c r="S97" s="18">
        <f t="shared" si="217"/>
        <v>4.5043502594214191</v>
      </c>
      <c r="T97" s="18">
        <f t="shared" si="218"/>
        <v>3.4983808270514505</v>
      </c>
      <c r="U97" s="18">
        <f t="shared" si="219"/>
        <v>6.6085609285893243</v>
      </c>
      <c r="W97" t="str">
        <f t="shared" si="256"/>
        <v>53 Skilled construction and building trades</v>
      </c>
      <c r="X97" s="18">
        <f t="shared" si="220"/>
        <v>-2.2261985385310878</v>
      </c>
      <c r="Y97" s="18">
        <f t="shared" si="220"/>
        <v>-19.475696459470637</v>
      </c>
      <c r="Z97" s="18">
        <f t="shared" si="220"/>
        <v>2.7539037169872493</v>
      </c>
      <c r="AA97" s="18">
        <f t="shared" si="220"/>
        <v>0.98357850305650363</v>
      </c>
      <c r="AB97" s="18">
        <f t="shared" si="221"/>
        <v>0.10692863414456522</v>
      </c>
      <c r="AD97" s="18">
        <f t="shared" si="222"/>
        <v>1.5702717430101876</v>
      </c>
      <c r="AE97" s="18">
        <f t="shared" si="223"/>
        <v>3.0961966912807171</v>
      </c>
      <c r="AF97" s="18">
        <f t="shared" si="224"/>
        <v>4.1609837888775258</v>
      </c>
      <c r="AH97" t="str">
        <f t="shared" si="257"/>
        <v>53 Skilled construction and building trades</v>
      </c>
      <c r="AI97" s="18">
        <f t="shared" si="225"/>
        <v>1.8187633270064785</v>
      </c>
      <c r="AJ97" s="18">
        <f t="shared" si="225"/>
        <v>-12.12708283284336</v>
      </c>
      <c r="AK97" s="18">
        <f t="shared" si="225"/>
        <v>2.8070561085793866</v>
      </c>
      <c r="AL97" s="18">
        <f t="shared" si="225"/>
        <v>1.3955433681245522</v>
      </c>
      <c r="AM97" s="18">
        <f t="shared" si="226"/>
        <v>0.92758826073080503</v>
      </c>
      <c r="AO97" s="18">
        <f t="shared" si="227"/>
        <v>1.8638810709176612</v>
      </c>
      <c r="AP97" s="18">
        <f t="shared" si="228"/>
        <v>3.3030438504201065</v>
      </c>
      <c r="AQ97" s="18">
        <f t="shared" si="229"/>
        <v>4.5432668116171415</v>
      </c>
      <c r="AS97" t="str">
        <f t="shared" si="258"/>
        <v>53 Skilled construction and building trades</v>
      </c>
      <c r="AT97" s="18">
        <f t="shared" si="230"/>
        <v>2.5305771452034609</v>
      </c>
      <c r="AU97" s="18">
        <f t="shared" si="230"/>
        <v>-14.005462216397168</v>
      </c>
      <c r="AV97" s="18">
        <f t="shared" si="230"/>
        <v>2.2421563721471971</v>
      </c>
      <c r="AW97" s="18">
        <f t="shared" si="230"/>
        <v>0.26426243263908411</v>
      </c>
      <c r="AX97" s="18">
        <f t="shared" si="231"/>
        <v>-8.5123374961681986E-2</v>
      </c>
      <c r="AZ97" s="18">
        <f t="shared" si="232"/>
        <v>0.91927202661785667</v>
      </c>
      <c r="BA97" s="18">
        <f t="shared" si="233"/>
        <v>2.9924305164060527</v>
      </c>
      <c r="BB97" s="18">
        <f t="shared" si="234"/>
        <v>3.6145486307957109</v>
      </c>
      <c r="BD97" t="str">
        <f t="shared" si="259"/>
        <v>53 Skilled construction and building trades</v>
      </c>
      <c r="BE97" s="18">
        <f t="shared" si="235"/>
        <v>4.2135712229488975</v>
      </c>
      <c r="BF97" s="18">
        <f t="shared" si="235"/>
        <v>-17.687134739333299</v>
      </c>
      <c r="BG97" s="18">
        <f t="shared" si="235"/>
        <v>-0.1741954987516614</v>
      </c>
      <c r="BH97" s="18">
        <f t="shared" si="235"/>
        <v>-1.2384243460462629</v>
      </c>
      <c r="BI97" s="18">
        <f t="shared" si="236"/>
        <v>-2.028982241484123</v>
      </c>
      <c r="BK97" s="18">
        <f t="shared" si="237"/>
        <v>-0.88494802893085422</v>
      </c>
      <c r="BL97" s="18">
        <f t="shared" si="238"/>
        <v>2.0942316208561129</v>
      </c>
      <c r="BM97" s="18">
        <f t="shared" si="239"/>
        <v>1.4433908207325485</v>
      </c>
      <c r="BO97" t="str">
        <f t="shared" si="260"/>
        <v>53 Skilled construction and building trades</v>
      </c>
      <c r="BP97" s="18">
        <f t="shared" si="240"/>
        <v>6.0687316785899004</v>
      </c>
      <c r="BQ97" s="18">
        <f t="shared" si="240"/>
        <v>-20.736375625333594</v>
      </c>
      <c r="BR97" s="18">
        <f t="shared" si="240"/>
        <v>1.910466339416006</v>
      </c>
      <c r="BS97" s="18">
        <f t="shared" si="240"/>
        <v>-0.73170711053165416</v>
      </c>
      <c r="BT97" s="18">
        <f t="shared" si="241"/>
        <v>-1.3113773346610902</v>
      </c>
      <c r="BV97" s="18">
        <f t="shared" si="242"/>
        <v>0.14131697461394754</v>
      </c>
      <c r="BW97" s="18">
        <f t="shared" si="243"/>
        <v>2.6960858645535657</v>
      </c>
      <c r="BX97" s="18">
        <f t="shared" si="244"/>
        <v>2.7937751401949207</v>
      </c>
      <c r="BZ97" t="str">
        <f t="shared" si="261"/>
        <v>53 Skilled construction and building trades</v>
      </c>
      <c r="CA97" s="18">
        <f t="shared" si="245"/>
        <v>-2.0332464083860913E-2</v>
      </c>
      <c r="CB97" s="18">
        <f t="shared" si="245"/>
        <v>-13.292557038138531</v>
      </c>
      <c r="CC97" s="18">
        <f t="shared" si="245"/>
        <v>-3.2778809353930183</v>
      </c>
      <c r="CD97" s="18">
        <f t="shared" si="245"/>
        <v>-3.7169411910203509</v>
      </c>
      <c r="CE97" s="18">
        <f t="shared" si="246"/>
        <v>-4.2091534449867023</v>
      </c>
      <c r="CG97" s="18">
        <f t="shared" si="247"/>
        <v>-3.570809672616293</v>
      </c>
      <c r="CH97" s="18">
        <f t="shared" si="248"/>
        <v>1.7900909027737333</v>
      </c>
      <c r="CI97" s="18">
        <f t="shared" si="249"/>
        <v>-0.81476677089888927</v>
      </c>
      <c r="CK97" t="str">
        <f t="shared" si="262"/>
        <v>53 Skilled construction and building trades</v>
      </c>
      <c r="CL97" s="18">
        <f t="shared" si="250"/>
        <v>0.6723632167466409</v>
      </c>
      <c r="CM97" s="18">
        <f t="shared" si="250"/>
        <v>-18.660612399745979</v>
      </c>
      <c r="CN97" s="18">
        <f t="shared" si="250"/>
        <v>-12.905363312314844</v>
      </c>
      <c r="CO97" s="18">
        <f t="shared" si="250"/>
        <v>-15.754645544923051</v>
      </c>
      <c r="CP97" s="18">
        <f t="shared" si="251"/>
        <v>-15.060959933938101</v>
      </c>
      <c r="CR97" s="18">
        <f t="shared" si="252"/>
        <v>-14.815395402130537</v>
      </c>
      <c r="CS97" s="18">
        <f t="shared" si="253"/>
        <v>0.75893707497844964</v>
      </c>
      <c r="CT97" s="18">
        <f t="shared" si="254"/>
        <v>-9.8717688547075966</v>
      </c>
    </row>
    <row r="98" spans="1:98" x14ac:dyDescent="0.25">
      <c r="A98" t="str">
        <f t="shared" si="209"/>
        <v>54 Textiles, printing and other skilled trades</v>
      </c>
      <c r="B98" s="18">
        <f t="shared" si="210"/>
        <v>0.12822753334722492</v>
      </c>
      <c r="C98" s="18">
        <f t="shared" si="210"/>
        <v>-11.923001284500302</v>
      </c>
      <c r="D98" s="18">
        <f t="shared" si="210"/>
        <v>6.6220893781745227</v>
      </c>
      <c r="E98" s="18">
        <f t="shared" si="210"/>
        <v>2.6845542141479717</v>
      </c>
      <c r="F98" s="18">
        <f t="shared" si="211"/>
        <v>2.9074589461238975</v>
      </c>
      <c r="H98" s="18">
        <f t="shared" si="212"/>
        <v>3.9806379471757136</v>
      </c>
      <c r="I98" s="18">
        <f t="shared" si="213"/>
        <v>3.5188459325830257</v>
      </c>
      <c r="J98" s="18">
        <f t="shared" si="214"/>
        <v>6.2302744494161066</v>
      </c>
      <c r="L98" t="str">
        <f t="shared" si="255"/>
        <v>54 Textiles, printing and other skilled trades</v>
      </c>
      <c r="M98" s="18">
        <f t="shared" si="215"/>
        <v>6.2976024614618487</v>
      </c>
      <c r="N98" s="18">
        <f t="shared" si="215"/>
        <v>6.0450700155061599</v>
      </c>
      <c r="O98" s="18">
        <f t="shared" si="215"/>
        <v>5.4085686208416694</v>
      </c>
      <c r="P98" s="18">
        <f t="shared" si="215"/>
        <v>4.6627935006243293</v>
      </c>
      <c r="Q98" s="18">
        <f t="shared" si="216"/>
        <v>4.9813323510135232</v>
      </c>
      <c r="S98" s="18">
        <f t="shared" si="217"/>
        <v>4.9107970866289818</v>
      </c>
      <c r="T98" s="18">
        <f t="shared" si="218"/>
        <v>3.9508863210362399</v>
      </c>
      <c r="U98" s="18">
        <f t="shared" si="219"/>
        <v>7.2085918438850261</v>
      </c>
      <c r="W98" t="str">
        <f t="shared" si="256"/>
        <v>54 Textiles, printing and other skilled trades</v>
      </c>
      <c r="X98" s="18">
        <f t="shared" si="220"/>
        <v>-4.1534421573628855</v>
      </c>
      <c r="Y98" s="18">
        <f t="shared" si="220"/>
        <v>10.832179687012511</v>
      </c>
      <c r="Z98" s="18">
        <f t="shared" si="220"/>
        <v>3.9030526736458127</v>
      </c>
      <c r="AA98" s="18">
        <f t="shared" si="220"/>
        <v>2.3284928904967028</v>
      </c>
      <c r="AB98" s="18">
        <f t="shared" si="221"/>
        <v>3.3322353249529035</v>
      </c>
      <c r="AD98" s="18">
        <f t="shared" si="222"/>
        <v>2.8506769050734793</v>
      </c>
      <c r="AE98" s="18">
        <f t="shared" si="223"/>
        <v>3.6946934986062718</v>
      </c>
      <c r="AF98" s="18">
        <f t="shared" si="224"/>
        <v>5.5477408616143586</v>
      </c>
      <c r="AH98" t="str">
        <f t="shared" si="257"/>
        <v>54 Textiles, printing and other skilled trades</v>
      </c>
      <c r="AI98" s="18">
        <f t="shared" si="225"/>
        <v>-6.0556824960285249</v>
      </c>
      <c r="AJ98" s="18">
        <f t="shared" si="225"/>
        <v>22.560273543840115</v>
      </c>
      <c r="AK98" s="18">
        <f t="shared" si="225"/>
        <v>0.94764280163652792</v>
      </c>
      <c r="AL98" s="18">
        <f t="shared" si="225"/>
        <v>1.7946930329589161</v>
      </c>
      <c r="AM98" s="18">
        <f t="shared" si="226"/>
        <v>2.714114216287622</v>
      </c>
      <c r="AO98" s="18">
        <f t="shared" si="227"/>
        <v>1.5115561548603385</v>
      </c>
      <c r="AP98" s="18">
        <f t="shared" si="228"/>
        <v>3.3759627748740195</v>
      </c>
      <c r="AQ98" s="18">
        <f t="shared" si="229"/>
        <v>4.3640268769314261</v>
      </c>
      <c r="AS98" t="str">
        <f t="shared" si="258"/>
        <v>54 Textiles, printing and other skilled trades</v>
      </c>
      <c r="AT98" s="18">
        <f t="shared" si="230"/>
        <v>-5.863037481285871</v>
      </c>
      <c r="AU98" s="18">
        <f t="shared" si="230"/>
        <v>16.549176255627817</v>
      </c>
      <c r="AV98" s="18">
        <f t="shared" si="230"/>
        <v>1.9743630697653058</v>
      </c>
      <c r="AW98" s="18">
        <f t="shared" si="230"/>
        <v>1.6017867410114572</v>
      </c>
      <c r="AX98" s="18">
        <f t="shared" si="231"/>
        <v>2.5943878075919136</v>
      </c>
      <c r="AZ98" s="18">
        <f t="shared" si="232"/>
        <v>1.7258273538999447</v>
      </c>
      <c r="BA98" s="18">
        <f t="shared" si="233"/>
        <v>3.2608578378532149</v>
      </c>
      <c r="BB98" s="18">
        <f t="shared" si="234"/>
        <v>4.4114404400550589</v>
      </c>
      <c r="BD98" t="str">
        <f t="shared" si="259"/>
        <v>54 Textiles, printing and other skilled trades</v>
      </c>
      <c r="BE98" s="18">
        <f t="shared" si="235"/>
        <v>-0.25407688433227715</v>
      </c>
      <c r="BF98" s="18">
        <f t="shared" si="235"/>
        <v>-6.169331380069087</v>
      </c>
      <c r="BG98" s="18">
        <f t="shared" si="235"/>
        <v>3.1830379073069182</v>
      </c>
      <c r="BH98" s="18">
        <f t="shared" si="235"/>
        <v>0.22129819997400713</v>
      </c>
      <c r="BI98" s="18">
        <f t="shared" si="236"/>
        <v>0.72195867517175216</v>
      </c>
      <c r="BK98" s="18">
        <f t="shared" si="237"/>
        <v>1.1989763170730638</v>
      </c>
      <c r="BL98" s="18">
        <f t="shared" si="238"/>
        <v>2.5517823307671161</v>
      </c>
      <c r="BM98" s="18">
        <f t="shared" si="239"/>
        <v>3.415988502831957</v>
      </c>
      <c r="BO98" t="str">
        <f t="shared" si="260"/>
        <v>54 Textiles, printing and other skilled trades</v>
      </c>
      <c r="BP98" s="18">
        <f t="shared" si="240"/>
        <v>-3.0560939514919006</v>
      </c>
      <c r="BQ98" s="18">
        <f t="shared" si="240"/>
        <v>-7.3103488359144926</v>
      </c>
      <c r="BR98" s="18">
        <f t="shared" si="240"/>
        <v>0.84163425466483588</v>
      </c>
      <c r="BS98" s="18">
        <f t="shared" si="240"/>
        <v>-1.0638250188166998</v>
      </c>
      <c r="BT98" s="18">
        <f t="shared" si="241"/>
        <v>-0.87713151882942153</v>
      </c>
      <c r="BV98" s="18">
        <f t="shared" si="242"/>
        <v>-0.4327064239213918</v>
      </c>
      <c r="BW98" s="18">
        <f t="shared" si="243"/>
        <v>2.2915377456347086</v>
      </c>
      <c r="BX98" s="18">
        <f t="shared" si="244"/>
        <v>1.9792257569830829</v>
      </c>
      <c r="BZ98" t="str">
        <f t="shared" si="261"/>
        <v>54 Textiles, printing and other skilled trades</v>
      </c>
      <c r="CA98" s="18">
        <f t="shared" si="245"/>
        <v>-4.784251445871246</v>
      </c>
      <c r="CB98" s="18">
        <f t="shared" si="245"/>
        <v>-3.216931342270446</v>
      </c>
      <c r="CC98" s="18">
        <f t="shared" si="245"/>
        <v>-1.4376621051969019</v>
      </c>
      <c r="CD98" s="18">
        <f t="shared" si="245"/>
        <v>-4.9112734983753237</v>
      </c>
      <c r="CE98" s="18">
        <f t="shared" si="246"/>
        <v>-3.7329214074782624</v>
      </c>
      <c r="CG98" s="18">
        <f t="shared" si="247"/>
        <v>-3.7672227708135164</v>
      </c>
      <c r="CH98" s="18">
        <f t="shared" si="248"/>
        <v>1.7649625725240092</v>
      </c>
      <c r="CI98" s="18">
        <f t="shared" si="249"/>
        <v>-0.98332969519763225</v>
      </c>
      <c r="CK98" t="str">
        <f t="shared" si="262"/>
        <v>54 Textiles, printing and other skilled trades</v>
      </c>
      <c r="CL98" s="18">
        <f t="shared" si="250"/>
        <v>-7.1429371659181173</v>
      </c>
      <c r="CM98" s="18">
        <f t="shared" si="250"/>
        <v>5.8452663073421229</v>
      </c>
      <c r="CN98" s="18">
        <f t="shared" si="250"/>
        <v>-10.830853932109086</v>
      </c>
      <c r="CO98" s="18">
        <f t="shared" si="250"/>
        <v>-4.3544434066414066</v>
      </c>
      <c r="CP98" s="18">
        <f t="shared" si="251"/>
        <v>-5.8328277574820175</v>
      </c>
      <c r="CR98" s="18">
        <f t="shared" si="252"/>
        <v>-6.5638930553880703</v>
      </c>
      <c r="CS98" s="18">
        <f t="shared" si="253"/>
        <v>1.0847770796448275</v>
      </c>
      <c r="CT98" s="18">
        <f t="shared" si="254"/>
        <v>-4.0620988373523348</v>
      </c>
    </row>
    <row r="99" spans="1:98" x14ac:dyDescent="0.25">
      <c r="A99" t="str">
        <f t="shared" si="209"/>
        <v>61 Caring personal service occupations</v>
      </c>
      <c r="B99" s="18">
        <f t="shared" si="210"/>
        <v>8.9844507437025776</v>
      </c>
      <c r="C99" s="18">
        <f t="shared" si="210"/>
        <v>-0.2927351673776557</v>
      </c>
      <c r="D99" s="18">
        <f t="shared" si="210"/>
        <v>6.5670934538005321</v>
      </c>
      <c r="E99" s="18">
        <f t="shared" si="210"/>
        <v>5.9404529867993494</v>
      </c>
      <c r="F99" s="18">
        <f t="shared" si="211"/>
        <v>5.7343966525954748</v>
      </c>
      <c r="H99" s="18">
        <f t="shared" si="212"/>
        <v>6.1489226467163594</v>
      </c>
      <c r="I99" s="18">
        <f t="shared" si="213"/>
        <v>4.2734074711584968</v>
      </c>
      <c r="J99" s="18">
        <f t="shared" si="214"/>
        <v>8.3302931424517723</v>
      </c>
      <c r="L99" t="str">
        <f t="shared" si="255"/>
        <v>61 Caring personal service occupations</v>
      </c>
      <c r="M99" s="18">
        <f t="shared" si="215"/>
        <v>10.670356758140542</v>
      </c>
      <c r="N99" s="18">
        <f t="shared" si="215"/>
        <v>3.6056868033699674</v>
      </c>
      <c r="O99" s="18">
        <f t="shared" si="215"/>
        <v>7.6501834886721021</v>
      </c>
      <c r="P99" s="18">
        <f t="shared" si="215"/>
        <v>6.668624260126732</v>
      </c>
      <c r="Q99" s="18">
        <f t="shared" si="216"/>
        <v>6.7797808780529545</v>
      </c>
      <c r="S99" s="18">
        <f t="shared" si="217"/>
        <v>6.9948121846899802</v>
      </c>
      <c r="T99" s="18">
        <f t="shared" si="218"/>
        <v>4.7504978760971595</v>
      </c>
      <c r="U99" s="18">
        <f t="shared" si="219"/>
        <v>9.2369382302118339</v>
      </c>
      <c r="W99" t="str">
        <f t="shared" si="256"/>
        <v>61 Caring personal service occupations</v>
      </c>
      <c r="X99" s="18">
        <f t="shared" si="220"/>
        <v>1.1184023118003372</v>
      </c>
      <c r="Y99" s="18">
        <f t="shared" si="220"/>
        <v>16.814966749759908</v>
      </c>
      <c r="Z99" s="18">
        <f t="shared" si="220"/>
        <v>2.827714528860592</v>
      </c>
      <c r="AA99" s="18">
        <f t="shared" si="220"/>
        <v>2.64515678005115</v>
      </c>
      <c r="AB99" s="18">
        <f t="shared" si="221"/>
        <v>3.5355814578745814</v>
      </c>
      <c r="AD99" s="18">
        <f t="shared" si="222"/>
        <v>2.705973322492139</v>
      </c>
      <c r="AE99" s="18">
        <f t="shared" si="223"/>
        <v>4.142059074901594</v>
      </c>
      <c r="AF99" s="18">
        <f t="shared" si="224"/>
        <v>5.8034862266244991</v>
      </c>
      <c r="AH99" t="str">
        <f t="shared" si="257"/>
        <v>61 Caring personal service occupations</v>
      </c>
      <c r="AI99" s="18">
        <f t="shared" si="225"/>
        <v>-1.7729038318387014</v>
      </c>
      <c r="AJ99" s="18">
        <f t="shared" si="225"/>
        <v>19.046283783995264</v>
      </c>
      <c r="AK99" s="18">
        <f t="shared" si="225"/>
        <v>-0.9456874308505836</v>
      </c>
      <c r="AL99" s="18">
        <f t="shared" si="225"/>
        <v>1.0165974499107833</v>
      </c>
      <c r="AM99" s="18">
        <f t="shared" si="226"/>
        <v>1.4350701907466457</v>
      </c>
      <c r="AO99" s="18">
        <f t="shared" si="227"/>
        <v>0.35822083610861366</v>
      </c>
      <c r="AP99" s="18">
        <f t="shared" si="228"/>
        <v>3.1646624410378132</v>
      </c>
      <c r="AQ99" s="18">
        <f t="shared" si="229"/>
        <v>3.3984056266642915</v>
      </c>
      <c r="AS99" t="str">
        <f t="shared" si="258"/>
        <v>61 Caring personal service occupations</v>
      </c>
      <c r="AT99" s="18">
        <f t="shared" si="230"/>
        <v>0.48540717206340123</v>
      </c>
      <c r="AU99" s="18">
        <f t="shared" si="230"/>
        <v>17.354176818783529</v>
      </c>
      <c r="AV99" s="18">
        <f t="shared" si="230"/>
        <v>-0.33545005125484861</v>
      </c>
      <c r="AW99" s="18">
        <f t="shared" si="230"/>
        <v>1.4477844449177102</v>
      </c>
      <c r="AX99" s="18">
        <f t="shared" si="231"/>
        <v>1.8097182455186767</v>
      </c>
      <c r="AZ99" s="18">
        <f t="shared" si="232"/>
        <v>0.84985570448492531</v>
      </c>
      <c r="BA99" s="18">
        <f t="shared" si="233"/>
        <v>3.3193165117639145</v>
      </c>
      <c r="BB99" s="18">
        <f t="shared" si="234"/>
        <v>3.8695654177743233</v>
      </c>
      <c r="BD99" t="str">
        <f t="shared" si="259"/>
        <v>61 Caring personal service occupations</v>
      </c>
      <c r="BE99" s="18">
        <f t="shared" si="235"/>
        <v>4.9380171941803885</v>
      </c>
      <c r="BF99" s="18">
        <f t="shared" si="235"/>
        <v>-4.9903932424028348</v>
      </c>
      <c r="BG99" s="18">
        <f t="shared" si="235"/>
        <v>1.243389580694032</v>
      </c>
      <c r="BH99" s="18">
        <f t="shared" si="235"/>
        <v>0.7556945991976205</v>
      </c>
      <c r="BI99" s="18">
        <f t="shared" si="236"/>
        <v>0.5381888504031318</v>
      </c>
      <c r="BK99" s="18">
        <f t="shared" si="237"/>
        <v>0.91799800444061219</v>
      </c>
      <c r="BL99" s="18">
        <f t="shared" si="238"/>
        <v>3.2213595854613253</v>
      </c>
      <c r="BM99" s="18">
        <f t="shared" si="239"/>
        <v>3.8243914107782384</v>
      </c>
      <c r="BO99" t="str">
        <f t="shared" si="260"/>
        <v>61 Caring personal service occupations</v>
      </c>
      <c r="BP99" s="18">
        <f t="shared" si="240"/>
        <v>1.8655419381874205</v>
      </c>
      <c r="BQ99" s="18">
        <f t="shared" si="240"/>
        <v>-17.444804828650994</v>
      </c>
      <c r="BR99" s="18">
        <f t="shared" si="240"/>
        <v>0.24937840740011374</v>
      </c>
      <c r="BS99" s="18">
        <f t="shared" si="240"/>
        <v>-2.0220012861081771</v>
      </c>
      <c r="BT99" s="18">
        <f t="shared" si="241"/>
        <v>-2.3685125688014286</v>
      </c>
      <c r="BV99" s="18">
        <f t="shared" si="242"/>
        <v>-1.2706512220663324</v>
      </c>
      <c r="BW99" s="18">
        <f t="shared" si="243"/>
        <v>2.7222312528809356</v>
      </c>
      <c r="BX99" s="18">
        <f t="shared" si="244"/>
        <v>1.8762226367100787</v>
      </c>
      <c r="BZ99" t="str">
        <f t="shared" si="261"/>
        <v>61 Caring personal service occupations</v>
      </c>
      <c r="CA99" s="18">
        <f t="shared" si="245"/>
        <v>-13.125699862355622</v>
      </c>
      <c r="CB99" s="18">
        <f t="shared" si="245"/>
        <v>-18.220750825839538</v>
      </c>
      <c r="CC99" s="18">
        <f t="shared" si="245"/>
        <v>-6.912479740414823</v>
      </c>
      <c r="CD99" s="18">
        <f t="shared" si="245"/>
        <v>-3.2169235023637444</v>
      </c>
      <c r="CE99" s="18">
        <f t="shared" si="246"/>
        <v>-5.3886115167805944</v>
      </c>
      <c r="CG99" s="18">
        <f t="shared" si="247"/>
        <v>-4.4647958714520763</v>
      </c>
      <c r="CH99" s="18">
        <f t="shared" si="248"/>
        <v>1.3648333678176083</v>
      </c>
      <c r="CI99" s="18">
        <f t="shared" si="249"/>
        <v>-2.0805622241837685</v>
      </c>
      <c r="CK99" t="str">
        <f t="shared" si="262"/>
        <v>61 Caring personal service occupations</v>
      </c>
      <c r="CL99" s="18">
        <f t="shared" si="250"/>
        <v>-6.9416659702643209</v>
      </c>
      <c r="CM99" s="18">
        <f t="shared" si="250"/>
        <v>6.762558084714354</v>
      </c>
      <c r="CN99" s="18">
        <f t="shared" si="250"/>
        <v>-4.6128187317871605</v>
      </c>
      <c r="CO99" s="18">
        <f t="shared" si="250"/>
        <v>-3.0630742378262243</v>
      </c>
      <c r="CP99" s="18">
        <f t="shared" si="251"/>
        <v>-2.9662999461933404</v>
      </c>
      <c r="CR99" s="18">
        <f t="shared" si="252"/>
        <v>-3.5824333373754458</v>
      </c>
      <c r="CS99" s="18">
        <f t="shared" si="253"/>
        <v>1.3602591921546114</v>
      </c>
      <c r="CT99" s="18">
        <f t="shared" si="254"/>
        <v>-1.4502864239862467</v>
      </c>
    </row>
    <row r="100" spans="1:98" x14ac:dyDescent="0.25">
      <c r="A100" t="str">
        <f t="shared" si="209"/>
        <v>62 Leisure, travel and related personal service occupations</v>
      </c>
      <c r="B100" s="18">
        <f t="shared" si="210"/>
        <v>15.784650616276497</v>
      </c>
      <c r="C100" s="18">
        <f t="shared" si="210"/>
        <v>6.6996967342741298</v>
      </c>
      <c r="D100" s="18">
        <f t="shared" si="210"/>
        <v>6.8609205340562696</v>
      </c>
      <c r="E100" s="18">
        <f t="shared" si="210"/>
        <v>5.6774015620858931</v>
      </c>
      <c r="F100" s="18">
        <f t="shared" si="211"/>
        <v>6.1096635756537454</v>
      </c>
      <c r="H100" s="18">
        <f t="shared" si="212"/>
        <v>6.0704442423176186</v>
      </c>
      <c r="I100" s="18">
        <f t="shared" si="213"/>
        <v>4.4672724248110862</v>
      </c>
      <c r="J100" s="18">
        <f t="shared" si="214"/>
        <v>8.3864679334302306</v>
      </c>
      <c r="L100" t="str">
        <f t="shared" si="255"/>
        <v>62 Leisure, travel and related personal service occupations</v>
      </c>
      <c r="M100" s="18">
        <f t="shared" si="215"/>
        <v>4.6037718196078936</v>
      </c>
      <c r="N100" s="18">
        <f t="shared" si="215"/>
        <v>-0.36377686597137693</v>
      </c>
      <c r="O100" s="18">
        <f t="shared" si="215"/>
        <v>2.6882820395715878</v>
      </c>
      <c r="P100" s="18">
        <f t="shared" si="215"/>
        <v>5.7425060393996086</v>
      </c>
      <c r="Q100" s="18">
        <f t="shared" si="216"/>
        <v>4.3896292901681511</v>
      </c>
      <c r="S100" s="18">
        <f t="shared" si="217"/>
        <v>4.7144691067540156</v>
      </c>
      <c r="T100" s="18">
        <f t="shared" si="218"/>
        <v>3.7512184655484893</v>
      </c>
      <c r="U100" s="18">
        <f t="shared" si="219"/>
        <v>6.9327034152658396</v>
      </c>
      <c r="W100" t="str">
        <f t="shared" si="256"/>
        <v>62 Leisure, travel and related personal service occupations</v>
      </c>
      <c r="X100" s="18">
        <f t="shared" si="220"/>
        <v>-0.36229299945663707</v>
      </c>
      <c r="Y100" s="18">
        <f t="shared" si="220"/>
        <v>5.8415281233117122</v>
      </c>
      <c r="Z100" s="18">
        <f t="shared" si="220"/>
        <v>2.6459294148406753</v>
      </c>
      <c r="AA100" s="18">
        <f t="shared" si="220"/>
        <v>3.3897965125670337</v>
      </c>
      <c r="AB100" s="18">
        <f t="shared" si="221"/>
        <v>3.3079747617420718</v>
      </c>
      <c r="AD100" s="18">
        <f t="shared" si="222"/>
        <v>3.1412437624962042</v>
      </c>
      <c r="AE100" s="18">
        <f t="shared" si="223"/>
        <v>3.9707928633863077</v>
      </c>
      <c r="AF100" s="18">
        <f t="shared" si="224"/>
        <v>5.9619760692612767</v>
      </c>
      <c r="AH100" t="str">
        <f t="shared" si="257"/>
        <v>62 Leisure, travel and related personal service occupations</v>
      </c>
      <c r="AI100" s="18">
        <f t="shared" si="225"/>
        <v>-1.1986380990050449</v>
      </c>
      <c r="AJ100" s="18">
        <f t="shared" si="225"/>
        <v>8.1998267835412975</v>
      </c>
      <c r="AK100" s="18">
        <f t="shared" si="225"/>
        <v>0.55076511087548408</v>
      </c>
      <c r="AL100" s="18">
        <f t="shared" si="225"/>
        <v>2.8550968050048198</v>
      </c>
      <c r="AM100" s="18">
        <f t="shared" si="226"/>
        <v>2.4532470994035105</v>
      </c>
      <c r="AO100" s="18">
        <f t="shared" si="227"/>
        <v>2.0811775957126022</v>
      </c>
      <c r="AP100" s="18">
        <f t="shared" si="228"/>
        <v>3.6527555441227877</v>
      </c>
      <c r="AQ100" s="18">
        <f t="shared" si="229"/>
        <v>4.9862527749742647</v>
      </c>
      <c r="AS100" t="str">
        <f t="shared" si="258"/>
        <v>62 Leisure, travel and related personal service occupations</v>
      </c>
      <c r="AT100" s="18">
        <f t="shared" si="230"/>
        <v>-1.8497421031917094</v>
      </c>
      <c r="AU100" s="18">
        <f t="shared" si="230"/>
        <v>11.482323705596876</v>
      </c>
      <c r="AV100" s="18">
        <f t="shared" si="230"/>
        <v>0.8831322074539294</v>
      </c>
      <c r="AW100" s="18">
        <f t="shared" si="230"/>
        <v>3.0495428878410058</v>
      </c>
      <c r="AX100" s="18">
        <f t="shared" si="231"/>
        <v>2.8720675748973301</v>
      </c>
      <c r="AZ100" s="18">
        <f t="shared" si="232"/>
        <v>2.3222855542980314</v>
      </c>
      <c r="BA100" s="18">
        <f t="shared" si="233"/>
        <v>3.7266244209352983</v>
      </c>
      <c r="BB100" s="18">
        <f t="shared" si="234"/>
        <v>5.2104415143407579</v>
      </c>
      <c r="BD100" t="str">
        <f t="shared" si="259"/>
        <v>62 Leisure, travel and related personal service occupations</v>
      </c>
      <c r="BE100" s="18">
        <f t="shared" si="235"/>
        <v>-3.4346145116493143</v>
      </c>
      <c r="BF100" s="18">
        <f t="shared" si="235"/>
        <v>-9.8156657788462827</v>
      </c>
      <c r="BG100" s="18">
        <f t="shared" si="235"/>
        <v>-1.6256362359476584</v>
      </c>
      <c r="BH100" s="18">
        <f t="shared" si="235"/>
        <v>-0.9300285347709325</v>
      </c>
      <c r="BI100" s="18">
        <f t="shared" si="236"/>
        <v>-1.7268056717339775</v>
      </c>
      <c r="BK100" s="18">
        <f t="shared" si="237"/>
        <v>-1.162442575825029</v>
      </c>
      <c r="BL100" s="18">
        <f t="shared" si="238"/>
        <v>2.2846528329383942</v>
      </c>
      <c r="BM100" s="18">
        <f t="shared" si="239"/>
        <v>1.4577739568270687</v>
      </c>
      <c r="BO100" t="str">
        <f t="shared" si="260"/>
        <v>62 Leisure, travel and related personal service occupations</v>
      </c>
      <c r="BP100" s="18">
        <f t="shared" si="240"/>
        <v>-3.3721980828825382</v>
      </c>
      <c r="BQ100" s="18">
        <f t="shared" si="240"/>
        <v>-18.916749364893239</v>
      </c>
      <c r="BR100" s="18">
        <f t="shared" si="240"/>
        <v>-1.5033691966218399</v>
      </c>
      <c r="BS100" s="18">
        <f t="shared" si="240"/>
        <v>-2.0471000907170467</v>
      </c>
      <c r="BT100" s="18">
        <f t="shared" si="241"/>
        <v>-3.0298231031748779</v>
      </c>
      <c r="BV100" s="18">
        <f t="shared" si="242"/>
        <v>-1.8661907866144523</v>
      </c>
      <c r="BW100" s="18">
        <f t="shared" si="243"/>
        <v>2.4199826050638418</v>
      </c>
      <c r="BX100" s="18">
        <f t="shared" si="244"/>
        <v>1.1395948939826317</v>
      </c>
      <c r="BZ100" t="str">
        <f t="shared" si="261"/>
        <v>62 Leisure, travel and related personal service occupations</v>
      </c>
      <c r="CA100" s="18">
        <f t="shared" si="245"/>
        <v>-4.116797490051427</v>
      </c>
      <c r="CB100" s="18">
        <f t="shared" si="245"/>
        <v>-15.3225171939667</v>
      </c>
      <c r="CC100" s="18">
        <f t="shared" si="245"/>
        <v>-3.4879811191222632</v>
      </c>
      <c r="CD100" s="18">
        <f t="shared" si="245"/>
        <v>-4.5010267050375035</v>
      </c>
      <c r="CE100" s="18">
        <f t="shared" si="246"/>
        <v>-4.9030971435155113</v>
      </c>
      <c r="CG100" s="18">
        <f t="shared" si="247"/>
        <v>-4.1645318898534622</v>
      </c>
      <c r="CH100" s="18">
        <f t="shared" si="248"/>
        <v>1.8779784133760025</v>
      </c>
      <c r="CI100" s="18">
        <f t="shared" si="249"/>
        <v>-1.0757872743767494</v>
      </c>
      <c r="CK100" t="str">
        <f t="shared" si="262"/>
        <v>62 Leisure, travel and related personal service occupations</v>
      </c>
      <c r="CL100" s="18">
        <f t="shared" si="250"/>
        <v>-8.7520637127907701</v>
      </c>
      <c r="CM100" s="18">
        <f t="shared" si="250"/>
        <v>1.9342953660815176</v>
      </c>
      <c r="CN100" s="18">
        <f t="shared" si="250"/>
        <v>-12.208104948866815</v>
      </c>
      <c r="CO100" s="18">
        <f t="shared" si="250"/>
        <v>-5.4556229125286571</v>
      </c>
      <c r="CP100" s="18">
        <f t="shared" si="251"/>
        <v>-7.1842147624468611</v>
      </c>
      <c r="CR100" s="18">
        <f t="shared" si="252"/>
        <v>-7.7622689785952881</v>
      </c>
      <c r="CS100" s="18">
        <f t="shared" si="253"/>
        <v>0.98329128643410701</v>
      </c>
      <c r="CT100" s="18">
        <f t="shared" si="254"/>
        <v>-5.1047322491008407</v>
      </c>
    </row>
    <row r="101" spans="1:98" x14ac:dyDescent="0.25">
      <c r="A101" t="str">
        <f t="shared" si="209"/>
        <v>63 Community and civil enforcement occupations</v>
      </c>
      <c r="B101" s="18">
        <f t="shared" si="210"/>
        <v>12.183341967739736</v>
      </c>
      <c r="C101" s="18">
        <f t="shared" si="210"/>
        <v>-24.000714080275408</v>
      </c>
      <c r="D101" s="18">
        <f t="shared" si="210"/>
        <v>8.8220898989973087</v>
      </c>
      <c r="E101" s="18">
        <f t="shared" si="210"/>
        <v>4.5203165652078381</v>
      </c>
      <c r="F101" s="18">
        <f t="shared" si="211"/>
        <v>3.758843913743104</v>
      </c>
      <c r="H101" s="18">
        <f t="shared" si="212"/>
        <v>5.9350066860992756</v>
      </c>
      <c r="I101" s="18">
        <f t="shared" si="213"/>
        <v>4.5368647104734983</v>
      </c>
      <c r="J101" s="18">
        <f t="shared" si="214"/>
        <v>8.3287993395513951</v>
      </c>
      <c r="L101" t="str">
        <f t="shared" si="255"/>
        <v>63 Community and civil enforcement occupations</v>
      </c>
      <c r="M101" s="18">
        <f t="shared" si="215"/>
        <v>4.6812916378383251</v>
      </c>
      <c r="N101" s="18">
        <f t="shared" si="215"/>
        <v>-1.2680021929748375</v>
      </c>
      <c r="O101" s="18">
        <f t="shared" si="215"/>
        <v>2.2169962507101459</v>
      </c>
      <c r="P101" s="18">
        <f t="shared" si="215"/>
        <v>5.0117177536265212</v>
      </c>
      <c r="Q101" s="18">
        <f t="shared" si="216"/>
        <v>3.7297175309402242</v>
      </c>
      <c r="S101" s="18">
        <f t="shared" si="217"/>
        <v>4.071755397679877</v>
      </c>
      <c r="T101" s="18">
        <f t="shared" si="218"/>
        <v>3.6198705361269123</v>
      </c>
      <c r="U101" s="18">
        <f t="shared" si="219"/>
        <v>6.3677873277898644</v>
      </c>
      <c r="W101" t="str">
        <f t="shared" si="256"/>
        <v>63 Community and civil enforcement occupations</v>
      </c>
      <c r="X101" s="18">
        <f t="shared" si="220"/>
        <v>-1.5885062557993268</v>
      </c>
      <c r="Y101" s="18">
        <f t="shared" si="220"/>
        <v>13.436605361288612</v>
      </c>
      <c r="Z101" s="18">
        <f t="shared" si="220"/>
        <v>1.0926817987685133</v>
      </c>
      <c r="AA101" s="18">
        <f t="shared" si="220"/>
        <v>2.4087298778520561</v>
      </c>
      <c r="AB101" s="18">
        <f t="shared" si="221"/>
        <v>2.6496801649415813</v>
      </c>
      <c r="AD101" s="18">
        <f t="shared" si="222"/>
        <v>1.9681544915543636</v>
      </c>
      <c r="AE101" s="18">
        <f t="shared" si="223"/>
        <v>3.8631763971014754</v>
      </c>
      <c r="AF101" s="18">
        <f t="shared" si="224"/>
        <v>5.0883022550361812</v>
      </c>
      <c r="AH101" t="str">
        <f t="shared" si="257"/>
        <v>63 Community and civil enforcement occupations</v>
      </c>
      <c r="AI101" s="18">
        <f t="shared" si="225"/>
        <v>-4.3056998365211374</v>
      </c>
      <c r="AJ101" s="18">
        <f t="shared" si="225"/>
        <v>29.435386176504473</v>
      </c>
      <c r="AK101" s="18">
        <f t="shared" si="225"/>
        <v>-3.2158848283774133</v>
      </c>
      <c r="AL101" s="18">
        <f t="shared" si="225"/>
        <v>2.5825616144598662</v>
      </c>
      <c r="AM101" s="18">
        <f t="shared" si="226"/>
        <v>2.2087442599376228</v>
      </c>
      <c r="AO101" s="18">
        <f t="shared" si="227"/>
        <v>0.61214031530938406</v>
      </c>
      <c r="AP101" s="18">
        <f t="shared" si="228"/>
        <v>2.9887637402001399</v>
      </c>
      <c r="AQ101" s="18">
        <f t="shared" si="229"/>
        <v>3.4002083746240475</v>
      </c>
      <c r="AS101" t="str">
        <f t="shared" si="258"/>
        <v>63 Community and civil enforcement occupations</v>
      </c>
      <c r="AT101" s="18">
        <f t="shared" si="230"/>
        <v>-4.4372086803785233</v>
      </c>
      <c r="AU101" s="18">
        <f t="shared" si="230"/>
        <v>25.207508400126887</v>
      </c>
      <c r="AV101" s="18">
        <f t="shared" si="230"/>
        <v>-4.0902389555341756</v>
      </c>
      <c r="AW101" s="18">
        <f t="shared" si="230"/>
        <v>0.81745870097678086</v>
      </c>
      <c r="AX101" s="18">
        <f t="shared" si="231"/>
        <v>0.61062975164034583</v>
      </c>
      <c r="AZ101" s="18">
        <f t="shared" si="232"/>
        <v>-0.84572722178763993</v>
      </c>
      <c r="BA101" s="18">
        <f t="shared" si="233"/>
        <v>3.0297290234356344</v>
      </c>
      <c r="BB101" s="18">
        <f t="shared" si="234"/>
        <v>2.4849371864771985</v>
      </c>
      <c r="BD101" t="str">
        <f t="shared" si="259"/>
        <v>63 Community and civil enforcement occupations</v>
      </c>
      <c r="BE101" s="18">
        <f t="shared" si="235"/>
        <v>-7.602216749616753</v>
      </c>
      <c r="BF101" s="18">
        <f t="shared" si="235"/>
        <v>36.954107646326428</v>
      </c>
      <c r="BG101" s="18">
        <f t="shared" si="235"/>
        <v>-7.4788531322679823</v>
      </c>
      <c r="BH101" s="18">
        <f t="shared" si="235"/>
        <v>1.6711252079907757</v>
      </c>
      <c r="BI101" s="18">
        <f t="shared" si="236"/>
        <v>0.57378043720173189</v>
      </c>
      <c r="BK101" s="18">
        <f t="shared" si="237"/>
        <v>-1.4752316353463746</v>
      </c>
      <c r="BL101" s="18">
        <f t="shared" si="238"/>
        <v>1.6541441778442412</v>
      </c>
      <c r="BM101" s="18">
        <f t="shared" si="239"/>
        <v>0.50933553647565244</v>
      </c>
      <c r="BO101" t="str">
        <f t="shared" si="260"/>
        <v>63 Community and civil enforcement occupations</v>
      </c>
      <c r="BP101" s="18">
        <f t="shared" si="240"/>
        <v>-3.2025041673825916</v>
      </c>
      <c r="BQ101" s="18">
        <f t="shared" si="240"/>
        <v>14.549988032670269</v>
      </c>
      <c r="BR101" s="18">
        <f t="shared" si="240"/>
        <v>-4.9578510510441376</v>
      </c>
      <c r="BS101" s="18">
        <f t="shared" si="240"/>
        <v>0.55161014130002961</v>
      </c>
      <c r="BT101" s="18">
        <f t="shared" si="241"/>
        <v>-0.39545379713070705</v>
      </c>
      <c r="BV101" s="18">
        <f t="shared" si="242"/>
        <v>-1.3194786317136775</v>
      </c>
      <c r="BW101" s="18">
        <f t="shared" si="243"/>
        <v>2.1215948350209013</v>
      </c>
      <c r="BX101" s="18">
        <f t="shared" si="244"/>
        <v>1.1635503186838259</v>
      </c>
      <c r="BZ101" t="str">
        <f t="shared" si="261"/>
        <v>63 Community and civil enforcement occupations</v>
      </c>
      <c r="CA101" s="18">
        <f t="shared" si="245"/>
        <v>-5.301883591772838</v>
      </c>
      <c r="CB101" s="18">
        <f t="shared" si="245"/>
        <v>21.966194284415288</v>
      </c>
      <c r="CC101" s="18">
        <f t="shared" si="245"/>
        <v>-7.1534708697033604</v>
      </c>
      <c r="CD101" s="18">
        <f t="shared" si="245"/>
        <v>-1.9916391100324615</v>
      </c>
      <c r="CE101" s="18">
        <f t="shared" si="246"/>
        <v>-2.3086314380250661</v>
      </c>
      <c r="CG101" s="18">
        <f t="shared" si="247"/>
        <v>-3.7433724269263946</v>
      </c>
      <c r="CH101" s="18">
        <f t="shared" si="248"/>
        <v>1.635496106954859</v>
      </c>
      <c r="CI101" s="18">
        <f t="shared" si="249"/>
        <v>-1.1576935490648088</v>
      </c>
      <c r="CK101" t="str">
        <f t="shared" si="262"/>
        <v>63 Community and civil enforcement occupations</v>
      </c>
      <c r="CL101" s="18">
        <f t="shared" si="250"/>
        <v>-12.450893644166106</v>
      </c>
      <c r="CM101" s="18">
        <f t="shared" si="250"/>
        <v>43.488729865281897</v>
      </c>
      <c r="CN101" s="18">
        <f t="shared" si="250"/>
        <v>-20.056330501530471</v>
      </c>
      <c r="CO101" s="18">
        <f t="shared" si="250"/>
        <v>-5.8350849331507693</v>
      </c>
      <c r="CP101" s="18">
        <f t="shared" si="251"/>
        <v>-8.1452042037136412</v>
      </c>
      <c r="CR101" s="18">
        <f t="shared" si="252"/>
        <v>-10.836432006778395</v>
      </c>
      <c r="CS101" s="18">
        <f t="shared" si="253"/>
        <v>0.59166156170578077</v>
      </c>
      <c r="CT101" s="18">
        <f t="shared" si="254"/>
        <v>-8.324830333442069</v>
      </c>
    </row>
    <row r="102" spans="1:98" x14ac:dyDescent="0.25">
      <c r="A102" t="str">
        <f t="shared" si="209"/>
        <v>71 Sales occupations</v>
      </c>
      <c r="B102" s="18">
        <f t="shared" si="210"/>
        <v>3.3088389775634441</v>
      </c>
      <c r="C102" s="18">
        <f t="shared" si="210"/>
        <v>-11.952145625103539</v>
      </c>
      <c r="D102" s="18">
        <f t="shared" si="210"/>
        <v>4.5766966806105147</v>
      </c>
      <c r="E102" s="18">
        <f t="shared" si="210"/>
        <v>3.9650029466865133</v>
      </c>
      <c r="F102" s="18">
        <f t="shared" si="211"/>
        <v>3.07962199540468</v>
      </c>
      <c r="H102" s="18">
        <f t="shared" si="212"/>
        <v>4.1685022719903486</v>
      </c>
      <c r="I102" s="18">
        <f t="shared" si="213"/>
        <v>3.2629252364551053</v>
      </c>
      <c r="J102" s="18">
        <f t="shared" si="214"/>
        <v>6.1960460284042007</v>
      </c>
      <c r="L102" t="str">
        <f t="shared" si="255"/>
        <v>71 Sales occupations</v>
      </c>
      <c r="M102" s="18">
        <f t="shared" si="215"/>
        <v>5.7061904548016074</v>
      </c>
      <c r="N102" s="18">
        <f t="shared" si="215"/>
        <v>-0.42392434909864773</v>
      </c>
      <c r="O102" s="18">
        <f t="shared" si="215"/>
        <v>6.6995656975446627</v>
      </c>
      <c r="P102" s="18">
        <f t="shared" si="215"/>
        <v>5.7564106751368138</v>
      </c>
      <c r="Q102" s="18">
        <f t="shared" si="216"/>
        <v>5.651874232238252</v>
      </c>
      <c r="S102" s="18">
        <f t="shared" si="217"/>
        <v>6.06986570467134</v>
      </c>
      <c r="T102" s="18">
        <f t="shared" si="218"/>
        <v>3.8100116387904226</v>
      </c>
      <c r="U102" s="18">
        <f t="shared" si="219"/>
        <v>8.00093622875211</v>
      </c>
      <c r="W102" t="str">
        <f t="shared" si="256"/>
        <v>71 Sales occupations</v>
      </c>
      <c r="X102" s="18">
        <f t="shared" si="220"/>
        <v>-2.4296107457599581</v>
      </c>
      <c r="Y102" s="18">
        <f t="shared" si="220"/>
        <v>14.913681010222589</v>
      </c>
      <c r="Z102" s="18">
        <f t="shared" si="220"/>
        <v>2.1213363744480684</v>
      </c>
      <c r="AA102" s="18">
        <f t="shared" si="220"/>
        <v>2.7074698715717105</v>
      </c>
      <c r="AB102" s="18">
        <f t="shared" si="221"/>
        <v>3.2460405790966318</v>
      </c>
      <c r="AD102" s="18">
        <f t="shared" si="222"/>
        <v>2.5117191940271955</v>
      </c>
      <c r="AE102" s="18">
        <f t="shared" si="223"/>
        <v>3.3918764687660419</v>
      </c>
      <c r="AF102" s="18">
        <f t="shared" si="224"/>
        <v>5.0708550374677808</v>
      </c>
      <c r="AH102" t="str">
        <f t="shared" si="257"/>
        <v>71 Sales occupations</v>
      </c>
      <c r="AI102" s="18">
        <f t="shared" si="225"/>
        <v>-3.058590584865839</v>
      </c>
      <c r="AJ102" s="18">
        <f t="shared" si="225"/>
        <v>18.669934119398455</v>
      </c>
      <c r="AK102" s="18">
        <f t="shared" si="225"/>
        <v>0.41894637927140099</v>
      </c>
      <c r="AL102" s="18">
        <f t="shared" si="225"/>
        <v>2.1649480305301561</v>
      </c>
      <c r="AM102" s="18">
        <f t="shared" si="226"/>
        <v>2.5716606105950612</v>
      </c>
      <c r="AO102" s="18">
        <f t="shared" si="227"/>
        <v>1.579600170088713</v>
      </c>
      <c r="AP102" s="18">
        <f t="shared" si="228"/>
        <v>3.1419812649255752</v>
      </c>
      <c r="AQ102" s="18">
        <f t="shared" si="229"/>
        <v>4.2071744913613429</v>
      </c>
      <c r="AS102" t="str">
        <f t="shared" si="258"/>
        <v>71 Sales occupations</v>
      </c>
      <c r="AT102" s="18">
        <f t="shared" si="230"/>
        <v>-3.6475802792724443</v>
      </c>
      <c r="AU102" s="18">
        <f t="shared" si="230"/>
        <v>12.821686615588245</v>
      </c>
      <c r="AV102" s="18">
        <f t="shared" si="230"/>
        <v>-0.44707762904109272</v>
      </c>
      <c r="AW102" s="18">
        <f t="shared" si="230"/>
        <v>1.9042128263766722</v>
      </c>
      <c r="AX102" s="18">
        <f t="shared" si="231"/>
        <v>1.8090775458659669</v>
      </c>
      <c r="AZ102" s="18">
        <f t="shared" si="232"/>
        <v>1.114342795779244</v>
      </c>
      <c r="BA102" s="18">
        <f t="shared" si="233"/>
        <v>2.6958418364718684</v>
      </c>
      <c r="BB102" s="18">
        <f t="shared" si="234"/>
        <v>3.4829216561736098</v>
      </c>
      <c r="BD102" t="str">
        <f t="shared" si="259"/>
        <v>71 Sales occupations</v>
      </c>
      <c r="BE102" s="18">
        <f t="shared" si="235"/>
        <v>-0.61493267909383809</v>
      </c>
      <c r="BF102" s="18">
        <f t="shared" si="235"/>
        <v>0.57828483955733034</v>
      </c>
      <c r="BG102" s="18">
        <f t="shared" si="235"/>
        <v>0.63414983133367464</v>
      </c>
      <c r="BH102" s="18">
        <f t="shared" si="235"/>
        <v>4.5528952352658081E-2</v>
      </c>
      <c r="BI102" s="18">
        <f t="shared" si="236"/>
        <v>0.26237754088134224</v>
      </c>
      <c r="BK102" s="18">
        <f t="shared" si="237"/>
        <v>0.24135236834106344</v>
      </c>
      <c r="BL102" s="18">
        <f t="shared" si="238"/>
        <v>2.5224510403924594</v>
      </c>
      <c r="BM102" s="18">
        <f t="shared" si="239"/>
        <v>2.6936317429011147</v>
      </c>
      <c r="BO102" t="str">
        <f t="shared" si="260"/>
        <v>71 Sales occupations</v>
      </c>
      <c r="BP102" s="18">
        <f t="shared" si="240"/>
        <v>-2.3876125775937229</v>
      </c>
      <c r="BQ102" s="18">
        <f t="shared" si="240"/>
        <v>-11.881007858555181</v>
      </c>
      <c r="BR102" s="18">
        <f t="shared" si="240"/>
        <v>0.28302185183670669</v>
      </c>
      <c r="BS102" s="18">
        <f t="shared" si="240"/>
        <v>-1.9397625046800759</v>
      </c>
      <c r="BT102" s="18">
        <f t="shared" si="241"/>
        <v>-1.9080203534460494</v>
      </c>
      <c r="BV102" s="18">
        <f t="shared" si="242"/>
        <v>-1.2043632727542941</v>
      </c>
      <c r="BW102" s="18">
        <f t="shared" si="243"/>
        <v>2.5277166631296311</v>
      </c>
      <c r="BX102" s="18">
        <f t="shared" si="244"/>
        <v>1.7015463151122123</v>
      </c>
      <c r="BZ102" t="str">
        <f t="shared" si="261"/>
        <v>71 Sales occupations</v>
      </c>
      <c r="CA102" s="18">
        <f t="shared" si="245"/>
        <v>-3.7406744325157559</v>
      </c>
      <c r="CB102" s="18">
        <f t="shared" si="245"/>
        <v>-8.4432615595464888</v>
      </c>
      <c r="CC102" s="18">
        <f t="shared" si="245"/>
        <v>-4.2464301083677274</v>
      </c>
      <c r="CD102" s="18">
        <f t="shared" si="245"/>
        <v>-8.3682299574268768</v>
      </c>
      <c r="CE102" s="18">
        <f t="shared" si="246"/>
        <v>-7.1043513683068715</v>
      </c>
      <c r="CG102" s="18">
        <f t="shared" si="247"/>
        <v>-7.0143976564409289</v>
      </c>
      <c r="CH102" s="18">
        <f t="shared" si="248"/>
        <v>1.4793349150363566</v>
      </c>
      <c r="CI102" s="18">
        <f t="shared" si="249"/>
        <v>-3.5404865269396901</v>
      </c>
      <c r="CK102" t="str">
        <f t="shared" si="262"/>
        <v>71 Sales occupations</v>
      </c>
      <c r="CL102" s="18">
        <f t="shared" si="250"/>
        <v>-8.0761480440840412</v>
      </c>
      <c r="CM102" s="18">
        <f t="shared" si="250"/>
        <v>2.9540764749474535</v>
      </c>
      <c r="CN102" s="18">
        <f t="shared" si="250"/>
        <v>-11.159160709800842</v>
      </c>
      <c r="CO102" s="18">
        <f t="shared" si="250"/>
        <v>-6.6251544439357772</v>
      </c>
      <c r="CP102" s="18">
        <f t="shared" si="251"/>
        <v>-7.5034869394898234</v>
      </c>
      <c r="CR102" s="18">
        <f t="shared" si="252"/>
        <v>-8.1616339003239169</v>
      </c>
      <c r="CS102" s="18">
        <f t="shared" si="253"/>
        <v>0.8615990437559562</v>
      </c>
      <c r="CT102" s="18">
        <f t="shared" si="254"/>
        <v>-5.6767845785161359</v>
      </c>
    </row>
    <row r="103" spans="1:98" x14ac:dyDescent="0.25">
      <c r="A103" t="str">
        <f t="shared" si="209"/>
        <v>72 Customer service occupations</v>
      </c>
      <c r="B103" s="18">
        <f t="shared" si="210"/>
        <v>4.8623349941621541</v>
      </c>
      <c r="C103" s="18">
        <f t="shared" si="210"/>
        <v>5.8795149365343802</v>
      </c>
      <c r="D103" s="18">
        <f t="shared" si="210"/>
        <v>10.242990769756076</v>
      </c>
      <c r="E103" s="18">
        <f t="shared" si="210"/>
        <v>5.9856528499349304</v>
      </c>
      <c r="F103" s="18">
        <f t="shared" si="211"/>
        <v>7.2913856935689081</v>
      </c>
      <c r="H103" s="18">
        <f t="shared" si="212"/>
        <v>7.3861770509565217</v>
      </c>
      <c r="I103" s="18">
        <f t="shared" si="213"/>
        <v>4.1326537530648855</v>
      </c>
      <c r="J103" s="18">
        <f t="shared" si="214"/>
        <v>9.2075952007720119</v>
      </c>
      <c r="L103" t="str">
        <f t="shared" si="255"/>
        <v>72 Customer service occupations</v>
      </c>
      <c r="M103" s="18">
        <f t="shared" si="215"/>
        <v>8.3204044928666612</v>
      </c>
      <c r="N103" s="18">
        <f t="shared" si="215"/>
        <v>6.0713524346574843</v>
      </c>
      <c r="O103" s="18">
        <f t="shared" si="215"/>
        <v>7.7109452009438639</v>
      </c>
      <c r="P103" s="18">
        <f t="shared" si="215"/>
        <v>5.5738758414334511</v>
      </c>
      <c r="Q103" s="18">
        <f t="shared" si="216"/>
        <v>6.2683339281873529</v>
      </c>
      <c r="S103" s="18">
        <f t="shared" si="217"/>
        <v>6.281479026741299</v>
      </c>
      <c r="T103" s="18">
        <f t="shared" si="218"/>
        <v>3.9512917400458702</v>
      </c>
      <c r="U103" s="18">
        <f t="shared" si="219"/>
        <v>8.245667532505351</v>
      </c>
      <c r="W103" t="str">
        <f t="shared" si="256"/>
        <v>72 Customer service occupations</v>
      </c>
      <c r="X103" s="18">
        <f t="shared" si="220"/>
        <v>-1.5094062756384363</v>
      </c>
      <c r="Y103" s="18">
        <f t="shared" si="220"/>
        <v>19.479682850954696</v>
      </c>
      <c r="Z103" s="18">
        <f t="shared" si="220"/>
        <v>3.3095975075293715</v>
      </c>
      <c r="AA103" s="18">
        <f t="shared" si="220"/>
        <v>2.6554729889258111</v>
      </c>
      <c r="AB103" s="18">
        <f t="shared" si="221"/>
        <v>3.8397552389964229</v>
      </c>
      <c r="AD103" s="18">
        <f t="shared" si="222"/>
        <v>2.8730530047782921</v>
      </c>
      <c r="AE103" s="18">
        <f t="shared" si="223"/>
        <v>3.4738987491299778</v>
      </c>
      <c r="AF103" s="18">
        <f t="shared" si="224"/>
        <v>5.3919805669566667</v>
      </c>
      <c r="AH103" t="str">
        <f t="shared" si="257"/>
        <v>72 Customer service occupations</v>
      </c>
      <c r="AI103" s="18">
        <f t="shared" si="225"/>
        <v>6.0071799543814919E-3</v>
      </c>
      <c r="AJ103" s="18">
        <f t="shared" si="225"/>
        <v>26.379475801840101</v>
      </c>
      <c r="AK103" s="18">
        <f t="shared" si="225"/>
        <v>3.6751522288914318</v>
      </c>
      <c r="AL103" s="18">
        <f t="shared" si="225"/>
        <v>3.1912292876945081</v>
      </c>
      <c r="AM103" s="18">
        <f t="shared" si="226"/>
        <v>4.6597911372391554</v>
      </c>
      <c r="AO103" s="18">
        <f t="shared" si="227"/>
        <v>3.3522854349225861</v>
      </c>
      <c r="AP103" s="18">
        <f t="shared" si="228"/>
        <v>3.5809423700077225</v>
      </c>
      <c r="AQ103" s="18">
        <f t="shared" si="229"/>
        <v>5.8161188914017004</v>
      </c>
      <c r="AS103" t="str">
        <f t="shared" si="258"/>
        <v>72 Customer service occupations</v>
      </c>
      <c r="AT103" s="18">
        <f t="shared" si="230"/>
        <v>-4.2260802406838938</v>
      </c>
      <c r="AU103" s="18">
        <f t="shared" si="230"/>
        <v>10.873546471931173</v>
      </c>
      <c r="AV103" s="18">
        <f t="shared" si="230"/>
        <v>3.7338862718985011</v>
      </c>
      <c r="AW103" s="18">
        <f t="shared" si="230"/>
        <v>1.5804586128609355</v>
      </c>
      <c r="AX103" s="18">
        <f t="shared" si="231"/>
        <v>2.8095136434707735</v>
      </c>
      <c r="AZ103" s="18">
        <f t="shared" si="232"/>
        <v>2.2932544052316262</v>
      </c>
      <c r="BA103" s="18">
        <f t="shared" si="233"/>
        <v>3.0701079960477884</v>
      </c>
      <c r="BB103" s="18">
        <f t="shared" si="234"/>
        <v>4.6558905195107858</v>
      </c>
      <c r="BD103" t="str">
        <f t="shared" si="259"/>
        <v>72 Customer service occupations</v>
      </c>
      <c r="BE103" s="18">
        <f t="shared" si="235"/>
        <v>0.35654622656273727</v>
      </c>
      <c r="BF103" s="18">
        <f t="shared" si="235"/>
        <v>0.92148442383159779</v>
      </c>
      <c r="BG103" s="18">
        <f t="shared" si="235"/>
        <v>2.6165121421970916</v>
      </c>
      <c r="BH103" s="18">
        <f t="shared" si="235"/>
        <v>0.91087795723703291</v>
      </c>
      <c r="BI103" s="18">
        <f t="shared" si="236"/>
        <v>1.4414872110910748</v>
      </c>
      <c r="BK103" s="18">
        <f t="shared" si="237"/>
        <v>1.4762491766394437</v>
      </c>
      <c r="BL103" s="18">
        <f t="shared" si="238"/>
        <v>2.6520370882296529</v>
      </c>
      <c r="BM103" s="18">
        <f t="shared" si="239"/>
        <v>3.7085635933505001</v>
      </c>
      <c r="BO103" t="str">
        <f t="shared" si="260"/>
        <v>72 Customer service occupations</v>
      </c>
      <c r="BP103" s="18">
        <f t="shared" si="240"/>
        <v>0.47201169459398784</v>
      </c>
      <c r="BQ103" s="18">
        <f t="shared" si="240"/>
        <v>-11.179860741176494</v>
      </c>
      <c r="BR103" s="18">
        <f t="shared" si="240"/>
        <v>2.4050664392609278</v>
      </c>
      <c r="BS103" s="18">
        <f t="shared" si="240"/>
        <v>-0.57660294593675498</v>
      </c>
      <c r="BT103" s="18">
        <f t="shared" si="241"/>
        <v>-0.35906586381637684</v>
      </c>
      <c r="BV103" s="18">
        <f t="shared" si="242"/>
        <v>0.40751368697564683</v>
      </c>
      <c r="BW103" s="18">
        <f t="shared" si="243"/>
        <v>2.8565589073935804</v>
      </c>
      <c r="BX103" s="18">
        <f t="shared" si="244"/>
        <v>3.1339596046033646</v>
      </c>
      <c r="BZ103" t="str">
        <f t="shared" si="261"/>
        <v>72 Customer service occupations</v>
      </c>
      <c r="CA103" s="18">
        <f t="shared" si="245"/>
        <v>-4.3453014908087955</v>
      </c>
      <c r="CB103" s="18">
        <f t="shared" si="245"/>
        <v>-1.8645470514678353</v>
      </c>
      <c r="CC103" s="18">
        <f t="shared" si="245"/>
        <v>-1.6644210228269896</v>
      </c>
      <c r="CD103" s="18">
        <f t="shared" si="245"/>
        <v>-1.9968077576547394</v>
      </c>
      <c r="CE103" s="18">
        <f t="shared" si="246"/>
        <v>-1.8847879564381831</v>
      </c>
      <c r="CG103" s="18">
        <f t="shared" si="247"/>
        <v>-1.8861372016566125</v>
      </c>
      <c r="CH103" s="18">
        <f t="shared" si="248"/>
        <v>1.73309660038794</v>
      </c>
      <c r="CI103" s="18">
        <f t="shared" si="249"/>
        <v>0.29736402282234398</v>
      </c>
      <c r="CK103" t="str">
        <f t="shared" si="262"/>
        <v>72 Customer service occupations</v>
      </c>
      <c r="CL103" s="18">
        <f t="shared" si="250"/>
        <v>-0.35876114520349001</v>
      </c>
      <c r="CM103" s="18">
        <f t="shared" si="250"/>
        <v>19.5173037834548</v>
      </c>
      <c r="CN103" s="18">
        <f t="shared" si="250"/>
        <v>-3.2555971693087105</v>
      </c>
      <c r="CO103" s="18">
        <f t="shared" si="250"/>
        <v>-1.5476438161253214</v>
      </c>
      <c r="CP103" s="18">
        <f t="shared" si="251"/>
        <v>-0.89083363875895882</v>
      </c>
      <c r="CR103" s="18">
        <f t="shared" si="252"/>
        <v>-2.1202858801279811</v>
      </c>
      <c r="CS103" s="18">
        <f t="shared" si="253"/>
        <v>1.6360141941726747</v>
      </c>
      <c r="CT103" s="18">
        <f t="shared" si="254"/>
        <v>4.5788857149897666E-3</v>
      </c>
    </row>
    <row r="104" spans="1:98" x14ac:dyDescent="0.25">
      <c r="A104" t="str">
        <f t="shared" si="209"/>
        <v>81 Process, plant and machine operatives</v>
      </c>
      <c r="B104" s="18">
        <f t="shared" si="210"/>
        <v>8.3589251040977697</v>
      </c>
      <c r="C104" s="18">
        <f t="shared" si="210"/>
        <v>-12.098578148907047</v>
      </c>
      <c r="D104" s="18">
        <f t="shared" si="210"/>
        <v>9.2826613440264882</v>
      </c>
      <c r="E104" s="18">
        <f t="shared" si="210"/>
        <v>8.2394254242664324</v>
      </c>
      <c r="F104" s="18">
        <f t="shared" si="211"/>
        <v>7.1612910536652308</v>
      </c>
      <c r="H104" s="18">
        <f t="shared" si="212"/>
        <v>8.5860594590754467</v>
      </c>
      <c r="I104" s="18">
        <f t="shared" si="213"/>
        <v>5.2010458129306381</v>
      </c>
      <c r="J104" s="18">
        <f t="shared" si="214"/>
        <v>10.676857196852518</v>
      </c>
      <c r="L104" t="str">
        <f t="shared" si="255"/>
        <v>81 Process, plant and machine operatives</v>
      </c>
      <c r="M104" s="18">
        <f t="shared" si="215"/>
        <v>8.4443019907312298</v>
      </c>
      <c r="N104" s="18">
        <f t="shared" si="215"/>
        <v>-16.160872552450645</v>
      </c>
      <c r="O104" s="18">
        <f t="shared" si="215"/>
        <v>10.908966555456345</v>
      </c>
      <c r="P104" s="18">
        <f t="shared" si="215"/>
        <v>6.4442479938987107</v>
      </c>
      <c r="Q104" s="18">
        <f t="shared" si="216"/>
        <v>6.2230767230188944</v>
      </c>
      <c r="S104" s="18">
        <f t="shared" si="217"/>
        <v>7.9121515565085732</v>
      </c>
      <c r="T104" s="18">
        <f t="shared" si="218"/>
        <v>4.6283575266395482</v>
      </c>
      <c r="U104" s="18">
        <f t="shared" si="219"/>
        <v>9.8720084512417206</v>
      </c>
      <c r="W104" t="str">
        <f t="shared" si="256"/>
        <v>81 Process, plant and machine operatives</v>
      </c>
      <c r="X104" s="18">
        <f t="shared" si="220"/>
        <v>-0.70785392626534493</v>
      </c>
      <c r="Y104" s="18">
        <f t="shared" si="220"/>
        <v>-4.4516636810227217</v>
      </c>
      <c r="Z104" s="18">
        <f t="shared" si="220"/>
        <v>8.3975842185535434</v>
      </c>
      <c r="AA104" s="18">
        <f t="shared" si="220"/>
        <v>5.23695576672214</v>
      </c>
      <c r="AB104" s="18">
        <f t="shared" si="221"/>
        <v>5.5754021905544571</v>
      </c>
      <c r="AD104" s="18">
        <f t="shared" si="222"/>
        <v>6.280123944627336</v>
      </c>
      <c r="AE104" s="18">
        <f t="shared" si="223"/>
        <v>4.6432293552423065</v>
      </c>
      <c r="AF104" s="18">
        <f t="shared" si="224"/>
        <v>8.6455316147126204</v>
      </c>
      <c r="AH104" t="str">
        <f t="shared" si="257"/>
        <v>81 Process, plant and machine operatives</v>
      </c>
      <c r="AI104" s="18">
        <f t="shared" si="225"/>
        <v>-0.80801083973008891</v>
      </c>
      <c r="AJ104" s="18">
        <f t="shared" si="225"/>
        <v>-4.7885128192126096</v>
      </c>
      <c r="AK104" s="18">
        <f t="shared" si="225"/>
        <v>4.6974601155347351</v>
      </c>
      <c r="AL104" s="18">
        <f t="shared" si="225"/>
        <v>2.3812825173441521</v>
      </c>
      <c r="AM104" s="18">
        <f t="shared" si="226"/>
        <v>2.6327541768282892</v>
      </c>
      <c r="AO104" s="18">
        <f t="shared" si="227"/>
        <v>3.1475916924450731</v>
      </c>
      <c r="AP104" s="18">
        <f t="shared" si="228"/>
        <v>3.298802084137753</v>
      </c>
      <c r="AQ104" s="18">
        <f t="shared" si="229"/>
        <v>5.4572598146169993</v>
      </c>
      <c r="AS104" t="str">
        <f t="shared" si="258"/>
        <v>81 Process, plant and machine operatives</v>
      </c>
      <c r="AT104" s="18">
        <f t="shared" si="230"/>
        <v>-2.9626663574826684</v>
      </c>
      <c r="AU104" s="18">
        <f t="shared" si="230"/>
        <v>-8.4634113674135758</v>
      </c>
      <c r="AV104" s="18">
        <f t="shared" si="230"/>
        <v>4.2462527126940541</v>
      </c>
      <c r="AW104" s="18">
        <f t="shared" si="230"/>
        <v>2.5142278386013128</v>
      </c>
      <c r="AX104" s="18">
        <f t="shared" si="231"/>
        <v>2.3254473881796356</v>
      </c>
      <c r="AZ104" s="18">
        <f t="shared" si="232"/>
        <v>3.0883481595522122</v>
      </c>
      <c r="BA104" s="18">
        <f t="shared" si="233"/>
        <v>3.3432636277670236</v>
      </c>
      <c r="BB104" s="18">
        <f t="shared" si="234"/>
        <v>5.4473622151081313</v>
      </c>
      <c r="BD104" t="str">
        <f t="shared" si="259"/>
        <v>81 Process, plant and machine operatives</v>
      </c>
      <c r="BE104" s="18">
        <f t="shared" si="235"/>
        <v>2.1716432279230702</v>
      </c>
      <c r="BF104" s="18">
        <f t="shared" si="235"/>
        <v>-14.66720905156328</v>
      </c>
      <c r="BG104" s="18">
        <f t="shared" si="235"/>
        <v>3.8294004247973801</v>
      </c>
      <c r="BH104" s="18">
        <f t="shared" si="235"/>
        <v>0.85033336263431458</v>
      </c>
      <c r="BI104" s="18">
        <f t="shared" si="236"/>
        <v>0.71477605188245974</v>
      </c>
      <c r="BK104" s="18">
        <f t="shared" si="237"/>
        <v>1.8337352951021568</v>
      </c>
      <c r="BL104" s="18">
        <f t="shared" si="238"/>
        <v>2.5319657654104377</v>
      </c>
      <c r="BM104" s="18">
        <f t="shared" si="239"/>
        <v>3.8737291557384923</v>
      </c>
      <c r="BO104" t="str">
        <f t="shared" si="260"/>
        <v>81 Process, plant and machine operatives</v>
      </c>
      <c r="BP104" s="18">
        <f t="shared" si="240"/>
        <v>1.0836440045884466</v>
      </c>
      <c r="BQ104" s="18">
        <f t="shared" si="240"/>
        <v>-19.806626159743047</v>
      </c>
      <c r="BR104" s="18">
        <f t="shared" si="240"/>
        <v>3.6000471446644644</v>
      </c>
      <c r="BS104" s="18">
        <f t="shared" si="240"/>
        <v>-0.82001328607549384</v>
      </c>
      <c r="BT104" s="18">
        <f t="shared" si="241"/>
        <v>-0.78583783065288015</v>
      </c>
      <c r="BV104" s="18">
        <f t="shared" si="242"/>
        <v>0.63197931956966436</v>
      </c>
      <c r="BW104" s="18">
        <f t="shared" si="243"/>
        <v>2.6534486984857386</v>
      </c>
      <c r="BX104" s="18">
        <f t="shared" si="244"/>
        <v>3.0976542339523627</v>
      </c>
      <c r="BZ104" t="str">
        <f t="shared" si="261"/>
        <v>81 Process, plant and machine operatives</v>
      </c>
      <c r="CA104" s="18">
        <f t="shared" si="245"/>
        <v>-2.6672582611469875</v>
      </c>
      <c r="CB104" s="18">
        <f t="shared" si="245"/>
        <v>-14.531252025874529</v>
      </c>
      <c r="CC104" s="18">
        <f t="shared" si="245"/>
        <v>-1.6926002217751202</v>
      </c>
      <c r="CD104" s="18">
        <f t="shared" si="245"/>
        <v>-7.3853829701844624</v>
      </c>
      <c r="CE104" s="18">
        <f t="shared" si="246"/>
        <v>-6.1150760607641796</v>
      </c>
      <c r="CG104" s="18">
        <f t="shared" si="247"/>
        <v>-5.5253931697850085</v>
      </c>
      <c r="CH104" s="18">
        <f t="shared" si="248"/>
        <v>1.6742125216935522</v>
      </c>
      <c r="CI104" s="18">
        <f t="shared" si="249"/>
        <v>-2.2654745915609675</v>
      </c>
      <c r="CK104" t="str">
        <f t="shared" si="262"/>
        <v>81 Process, plant and machine operatives</v>
      </c>
      <c r="CL104" s="18">
        <f t="shared" si="250"/>
        <v>-9.2429524999311461</v>
      </c>
      <c r="CM104" s="18">
        <f t="shared" si="250"/>
        <v>-13.157766567801833</v>
      </c>
      <c r="CN104" s="18">
        <f t="shared" si="250"/>
        <v>-19.571145637460507</v>
      </c>
      <c r="CO104" s="18">
        <f t="shared" si="250"/>
        <v>-10.215753648990933</v>
      </c>
      <c r="CP104" s="18">
        <f t="shared" si="251"/>
        <v>-13.431082227560442</v>
      </c>
      <c r="CR104" s="18">
        <f t="shared" si="252"/>
        <v>-13.449272656760725</v>
      </c>
      <c r="CS104" s="18">
        <f t="shared" si="253"/>
        <v>0.55013600732445322</v>
      </c>
      <c r="CT104" s="18">
        <f t="shared" si="254"/>
        <v>-10.163763161095318</v>
      </c>
    </row>
    <row r="105" spans="1:98" x14ac:dyDescent="0.25">
      <c r="A105" t="str">
        <f t="shared" si="209"/>
        <v>82 Transport and mobile machine drivers and operatives</v>
      </c>
      <c r="B105" s="18">
        <f t="shared" si="210"/>
        <v>12.135787693616429</v>
      </c>
      <c r="C105" s="18">
        <f t="shared" si="210"/>
        <v>-25.672634977494436</v>
      </c>
      <c r="D105" s="18">
        <f t="shared" si="210"/>
        <v>10.418086276394089</v>
      </c>
      <c r="E105" s="18">
        <f t="shared" si="210"/>
        <v>6.3590826868395345</v>
      </c>
      <c r="F105" s="18">
        <f t="shared" si="211"/>
        <v>5.2279180491259458</v>
      </c>
      <c r="H105" s="18">
        <f t="shared" si="212"/>
        <v>7.6952281473081641</v>
      </c>
      <c r="I105" s="18">
        <f t="shared" si="213"/>
        <v>5.397307270781404</v>
      </c>
      <c r="J105" s="18">
        <f t="shared" si="214"/>
        <v>10.110463038383477</v>
      </c>
      <c r="L105" t="str">
        <f t="shared" si="255"/>
        <v>82 Transport and mobile machine drivers and operatives</v>
      </c>
      <c r="M105" s="18">
        <f t="shared" si="215"/>
        <v>8.4117767036067548</v>
      </c>
      <c r="N105" s="18">
        <f t="shared" si="215"/>
        <v>-21.063576958293872</v>
      </c>
      <c r="O105" s="18">
        <f t="shared" si="215"/>
        <v>8.9819509620738813</v>
      </c>
      <c r="P105" s="18">
        <f t="shared" si="215"/>
        <v>5.8362360096639199</v>
      </c>
      <c r="Q105" s="18">
        <f t="shared" si="216"/>
        <v>4.8696062000267659</v>
      </c>
      <c r="S105" s="18">
        <f t="shared" si="217"/>
        <v>6.8745871621351373</v>
      </c>
      <c r="T105" s="18">
        <f t="shared" si="218"/>
        <v>5.0131741988477918</v>
      </c>
      <c r="U105" s="18">
        <f t="shared" si="219"/>
        <v>9.2961065774806997</v>
      </c>
      <c r="W105" t="str">
        <f t="shared" si="256"/>
        <v>82 Transport and mobile machine drivers and operatives</v>
      </c>
      <c r="X105" s="18">
        <f t="shared" si="220"/>
        <v>2.7275955619565861</v>
      </c>
      <c r="Y105" s="18">
        <f t="shared" si="220"/>
        <v>-1.7333391725183223</v>
      </c>
      <c r="Z105" s="18">
        <f t="shared" si="220"/>
        <v>5.4357447143782878</v>
      </c>
      <c r="AA105" s="18">
        <f t="shared" si="220"/>
        <v>3.65536603429093</v>
      </c>
      <c r="AB105" s="18">
        <f t="shared" si="221"/>
        <v>3.8613504661985987</v>
      </c>
      <c r="AD105" s="18">
        <f t="shared" si="222"/>
        <v>4.2454599070245846</v>
      </c>
      <c r="AE105" s="18">
        <f t="shared" si="223"/>
        <v>4.5537860827944199</v>
      </c>
      <c r="AF105" s="18">
        <f t="shared" si="224"/>
        <v>7.1460000529522727</v>
      </c>
      <c r="AH105" t="str">
        <f t="shared" si="257"/>
        <v>82 Transport and mobile machine drivers and operatives</v>
      </c>
      <c r="AI105" s="18">
        <f t="shared" si="225"/>
        <v>1.6442321368616675</v>
      </c>
      <c r="AJ105" s="18">
        <f t="shared" si="225"/>
        <v>-7.1742569845591575</v>
      </c>
      <c r="AK105" s="18">
        <f t="shared" si="225"/>
        <v>4.4054017583347038</v>
      </c>
      <c r="AL105" s="18">
        <f t="shared" si="225"/>
        <v>2.5050617683434862</v>
      </c>
      <c r="AM105" s="18">
        <f t="shared" si="226"/>
        <v>2.4580355303938317</v>
      </c>
      <c r="AO105" s="18">
        <f t="shared" si="227"/>
        <v>3.1346337706187555</v>
      </c>
      <c r="AP105" s="18">
        <f t="shared" si="228"/>
        <v>4.1290974199986952</v>
      </c>
      <c r="AQ105" s="18">
        <f t="shared" si="229"/>
        <v>6.0792186389218017</v>
      </c>
      <c r="AS105" t="str">
        <f t="shared" si="258"/>
        <v>82 Transport and mobile machine drivers and operatives</v>
      </c>
      <c r="AT105" s="18">
        <f t="shared" si="230"/>
        <v>-0.24946284383343675</v>
      </c>
      <c r="AU105" s="18">
        <f t="shared" si="230"/>
        <v>-5.1574160291974147</v>
      </c>
      <c r="AV105" s="18">
        <f t="shared" si="230"/>
        <v>3.2327648879441284</v>
      </c>
      <c r="AW105" s="18">
        <f t="shared" si="230"/>
        <v>2.0981086252726877</v>
      </c>
      <c r="AX105" s="18">
        <f t="shared" si="231"/>
        <v>1.9804112256043727</v>
      </c>
      <c r="AZ105" s="18">
        <f t="shared" si="232"/>
        <v>2.4749348687410411</v>
      </c>
      <c r="BA105" s="18">
        <f t="shared" si="233"/>
        <v>3.9953877276825311</v>
      </c>
      <c r="BB105" s="18">
        <f t="shared" si="234"/>
        <v>5.5322675959900369</v>
      </c>
      <c r="BD105" t="str">
        <f t="shared" si="259"/>
        <v>82 Transport and mobile machine drivers and operatives</v>
      </c>
      <c r="BE105" s="18">
        <f t="shared" si="235"/>
        <v>3.2469499870446006</v>
      </c>
      <c r="BF105" s="18">
        <f t="shared" si="235"/>
        <v>-8.8041793536969504</v>
      </c>
      <c r="BG105" s="18">
        <f t="shared" si="235"/>
        <v>3.5845721565606503</v>
      </c>
      <c r="BH105" s="18">
        <f t="shared" si="235"/>
        <v>1.6434873302422437</v>
      </c>
      <c r="BI105" s="18">
        <f t="shared" si="236"/>
        <v>1.5553642203507634</v>
      </c>
      <c r="BK105" s="18">
        <f t="shared" si="237"/>
        <v>2.2864399902930765</v>
      </c>
      <c r="BL105" s="18">
        <f t="shared" si="238"/>
        <v>3.3213598331597982</v>
      </c>
      <c r="BM105" s="18">
        <f t="shared" si="239"/>
        <v>4.8546742724209224</v>
      </c>
      <c r="BO105" t="str">
        <f t="shared" si="260"/>
        <v>82 Transport and mobile machine drivers and operatives</v>
      </c>
      <c r="BP105" s="18">
        <f t="shared" si="240"/>
        <v>2.7218438773652931</v>
      </c>
      <c r="BQ105" s="18">
        <f t="shared" si="240"/>
        <v>-16.962829730082618</v>
      </c>
      <c r="BR105" s="18">
        <f t="shared" si="240"/>
        <v>3.798601048885164</v>
      </c>
      <c r="BS105" s="18">
        <f t="shared" si="240"/>
        <v>0.44819582634409993</v>
      </c>
      <c r="BT105" s="18">
        <f t="shared" si="241"/>
        <v>0.2832073673634472</v>
      </c>
      <c r="BV105" s="18">
        <f t="shared" si="242"/>
        <v>1.552805850541783</v>
      </c>
      <c r="BW105" s="18">
        <f t="shared" si="243"/>
        <v>3.5404175693712236</v>
      </c>
      <c r="BX105" s="18">
        <f t="shared" si="244"/>
        <v>4.5356647550875984</v>
      </c>
      <c r="BZ105" t="str">
        <f t="shared" si="261"/>
        <v>82 Transport and mobile machine drivers and operatives</v>
      </c>
      <c r="CA105" s="18">
        <f t="shared" si="245"/>
        <v>-2.7967551155079096</v>
      </c>
      <c r="CB105" s="18">
        <f t="shared" si="245"/>
        <v>-10.128256812867775</v>
      </c>
      <c r="CC105" s="18">
        <f t="shared" si="245"/>
        <v>-2.2430096720493564</v>
      </c>
      <c r="CD105" s="18">
        <f t="shared" si="245"/>
        <v>-2.8749179590791152</v>
      </c>
      <c r="CE105" s="18">
        <f t="shared" si="246"/>
        <v>-3.1488534254766831</v>
      </c>
      <c r="CG105" s="18">
        <f t="shared" si="247"/>
        <v>-2.664737027906694</v>
      </c>
      <c r="CH105" s="18">
        <f t="shared" si="248"/>
        <v>2.1943510992143311</v>
      </c>
      <c r="CI105" s="18">
        <f t="shared" si="249"/>
        <v>0.336874149853017</v>
      </c>
      <c r="CK105" t="str">
        <f t="shared" si="262"/>
        <v>82 Transport and mobile machine drivers and operatives</v>
      </c>
      <c r="CL105" s="18">
        <f t="shared" si="250"/>
        <v>-0.86461969449898035</v>
      </c>
      <c r="CM105" s="18">
        <f t="shared" si="250"/>
        <v>-8.9132020058641519</v>
      </c>
      <c r="CN105" s="18">
        <f t="shared" si="250"/>
        <v>-9.7004137888887616</v>
      </c>
      <c r="CO105" s="18">
        <f t="shared" si="250"/>
        <v>-8.5486488218758474</v>
      </c>
      <c r="CP105" s="18">
        <f t="shared" si="251"/>
        <v>-8.9328817582841609</v>
      </c>
      <c r="CR105" s="18">
        <f t="shared" si="252"/>
        <v>-8.9341935905897341</v>
      </c>
      <c r="CS105" s="18">
        <f t="shared" si="253"/>
        <v>1.2917147832390397</v>
      </c>
      <c r="CT105" s="18">
        <f t="shared" si="254"/>
        <v>-5.0733564561830651</v>
      </c>
    </row>
    <row r="106" spans="1:98" x14ac:dyDescent="0.25">
      <c r="A106" t="str">
        <f t="shared" si="209"/>
        <v>91 Elementary trades and related occupations</v>
      </c>
      <c r="B106" s="18">
        <f t="shared" si="210"/>
        <v>-0.83290023540670832</v>
      </c>
      <c r="C106" s="18">
        <f t="shared" si="210"/>
        <v>-20.740437569181459</v>
      </c>
      <c r="D106" s="18">
        <f t="shared" si="210"/>
        <v>41.170827180642974</v>
      </c>
      <c r="E106" s="18">
        <f t="shared" si="210"/>
        <v>10.515386429552231</v>
      </c>
      <c r="F106" s="18">
        <f t="shared" si="211"/>
        <v>16.849066136583946</v>
      </c>
      <c r="H106" s="18">
        <f t="shared" si="212"/>
        <v>19.912231270506453</v>
      </c>
      <c r="I106" s="18">
        <f t="shared" si="213"/>
        <v>13.448154627105202</v>
      </c>
      <c r="J106" s="18">
        <f t="shared" si="214"/>
        <v>22.454870494378419</v>
      </c>
      <c r="L106" t="str">
        <f t="shared" si="255"/>
        <v>91 Elementary trades and related occupations</v>
      </c>
      <c r="M106" s="18">
        <f t="shared" si="215"/>
        <v>5.4685194316700159</v>
      </c>
      <c r="N106" s="18">
        <f t="shared" si="215"/>
        <v>-29.912705746209589</v>
      </c>
      <c r="O106" s="18">
        <f t="shared" si="215"/>
        <v>22.503589145571002</v>
      </c>
      <c r="P106" s="18">
        <f t="shared" si="215"/>
        <v>9.4713730813343666</v>
      </c>
      <c r="Q106" s="18">
        <f t="shared" si="216"/>
        <v>10.271127029718819</v>
      </c>
      <c r="S106" s="18">
        <f t="shared" si="217"/>
        <v>13.653630867394284</v>
      </c>
      <c r="T106" s="18">
        <f t="shared" si="218"/>
        <v>8.4255116491377624</v>
      </c>
      <c r="U106" s="18">
        <f t="shared" si="219"/>
        <v>15.93197851247532</v>
      </c>
      <c r="W106" t="str">
        <f t="shared" si="256"/>
        <v>91 Elementary trades and related occupations</v>
      </c>
      <c r="X106" s="18">
        <f t="shared" si="220"/>
        <v>-5.4002190158348951</v>
      </c>
      <c r="Y106" s="18">
        <f t="shared" si="220"/>
        <v>-7.560854475189438</v>
      </c>
      <c r="Z106" s="18">
        <f t="shared" si="220"/>
        <v>25.133707206502475</v>
      </c>
      <c r="AA106" s="18">
        <f t="shared" si="220"/>
        <v>4.8473787848292371</v>
      </c>
      <c r="AB106" s="18">
        <f t="shared" si="221"/>
        <v>9.9370181443114483</v>
      </c>
      <c r="AD106" s="18">
        <f t="shared" si="222"/>
        <v>11.214946008702476</v>
      </c>
      <c r="AE106" s="18">
        <f t="shared" si="223"/>
        <v>8.8340608331583415</v>
      </c>
      <c r="AF106" s="18">
        <f t="shared" si="224"/>
        <v>14.362060105148045</v>
      </c>
      <c r="AH106" t="str">
        <f t="shared" si="257"/>
        <v>91 Elementary trades and related occupations</v>
      </c>
      <c r="AI106" s="18">
        <f t="shared" si="225"/>
        <v>-4.8379458129648167</v>
      </c>
      <c r="AJ106" s="18">
        <f t="shared" si="225"/>
        <v>-9.3835632973041321</v>
      </c>
      <c r="AK106" s="18">
        <f t="shared" si="225"/>
        <v>22.650190961319993</v>
      </c>
      <c r="AL106" s="18">
        <f t="shared" si="225"/>
        <v>4.4926209014672258</v>
      </c>
      <c r="AM106" s="18">
        <f t="shared" si="226"/>
        <v>8.8836752878605587</v>
      </c>
      <c r="AO106" s="18">
        <f t="shared" si="227"/>
        <v>10.224928169689807</v>
      </c>
      <c r="AP106" s="18">
        <f t="shared" si="228"/>
        <v>8.2496494223071259</v>
      </c>
      <c r="AQ106" s="18">
        <f t="shared" si="229"/>
        <v>13.395950523010324</v>
      </c>
      <c r="AS106" t="str">
        <f t="shared" si="258"/>
        <v>91 Elementary trades and related occupations</v>
      </c>
      <c r="AT106" s="18">
        <f t="shared" si="230"/>
        <v>-4.6186346633010693</v>
      </c>
      <c r="AU106" s="18">
        <f t="shared" si="230"/>
        <v>-1.3064076144714609</v>
      </c>
      <c r="AV106" s="18">
        <f t="shared" si="230"/>
        <v>23.18160388422308</v>
      </c>
      <c r="AW106" s="18">
        <f t="shared" si="230"/>
        <v>4.0792319350130057</v>
      </c>
      <c r="AX106" s="18">
        <f t="shared" si="231"/>
        <v>9.3430511686628535</v>
      </c>
      <c r="AZ106" s="18">
        <f t="shared" si="232"/>
        <v>10.09256845932709</v>
      </c>
      <c r="BA106" s="18">
        <f t="shared" si="233"/>
        <v>7.7811257009961832</v>
      </c>
      <c r="BB106" s="18">
        <f t="shared" si="234"/>
        <v>13.063722491109209</v>
      </c>
      <c r="BD106" t="str">
        <f t="shared" si="259"/>
        <v>91 Elementary trades and related occupations</v>
      </c>
      <c r="BE106" s="18">
        <f t="shared" si="235"/>
        <v>-0.83408285293903317</v>
      </c>
      <c r="BF106" s="18">
        <f t="shared" si="235"/>
        <v>-14.677206349671867</v>
      </c>
      <c r="BG106" s="18">
        <f t="shared" si="235"/>
        <v>13.915297520586245</v>
      </c>
      <c r="BH106" s="18">
        <f t="shared" si="235"/>
        <v>2.8302465338593263</v>
      </c>
      <c r="BI106" s="18">
        <f t="shared" si="236"/>
        <v>4.9419198393610309</v>
      </c>
      <c r="BK106" s="18">
        <f t="shared" si="237"/>
        <v>6.3999117149124096</v>
      </c>
      <c r="BL106" s="18">
        <f t="shared" si="238"/>
        <v>4.3614908580786205</v>
      </c>
      <c r="BM106" s="18">
        <f t="shared" si="239"/>
        <v>8.5704038342151012</v>
      </c>
      <c r="BO106" t="str">
        <f t="shared" si="260"/>
        <v>91 Elementary trades and related occupations</v>
      </c>
      <c r="BP106" s="18">
        <f t="shared" si="240"/>
        <v>-2.0675142386284207</v>
      </c>
      <c r="BQ106" s="18">
        <f t="shared" si="240"/>
        <v>-16.486790794028771</v>
      </c>
      <c r="BR106" s="18">
        <f t="shared" si="240"/>
        <v>13.688526747517905</v>
      </c>
      <c r="BS106" s="18">
        <f t="shared" si="240"/>
        <v>1.2279826959974871</v>
      </c>
      <c r="BT106" s="18">
        <f t="shared" si="241"/>
        <v>3.7131946051029763</v>
      </c>
      <c r="BV106" s="18">
        <f t="shared" si="242"/>
        <v>5.2218502613835538</v>
      </c>
      <c r="BW106" s="18">
        <f t="shared" si="243"/>
        <v>4.0500149876766534</v>
      </c>
      <c r="BX106" s="18">
        <f t="shared" si="244"/>
        <v>7.5021803658008812</v>
      </c>
      <c r="BZ106" t="str">
        <f t="shared" si="261"/>
        <v>91 Elementary trades and related occupations</v>
      </c>
      <c r="CA106" s="18">
        <f t="shared" si="245"/>
        <v>-4.0272486741042997</v>
      </c>
      <c r="CB106" s="18">
        <f t="shared" si="245"/>
        <v>-14.192570032604756</v>
      </c>
      <c r="CC106" s="18">
        <f t="shared" si="245"/>
        <v>9.3556656192890451</v>
      </c>
      <c r="CD106" s="18">
        <f t="shared" si="245"/>
        <v>-1.8137492372642616</v>
      </c>
      <c r="CE106" s="18">
        <f t="shared" si="246"/>
        <v>0.69661729802990013</v>
      </c>
      <c r="CG106" s="18">
        <f t="shared" si="247"/>
        <v>1.7765083275518512</v>
      </c>
      <c r="CH106" s="18">
        <f t="shared" si="248"/>
        <v>3.2823126024816185</v>
      </c>
      <c r="CI106" s="18">
        <f t="shared" si="249"/>
        <v>4.4649586444335698</v>
      </c>
      <c r="CK106" t="str">
        <f t="shared" si="262"/>
        <v>91 Elementary trades and related occupations</v>
      </c>
      <c r="CL106" s="18">
        <f t="shared" si="250"/>
        <v>-7.0172859069054905</v>
      </c>
      <c r="CM106" s="18">
        <f t="shared" si="250"/>
        <v>-5.3098370819732459</v>
      </c>
      <c r="CN106" s="18">
        <f t="shared" si="250"/>
        <v>4.4184483242245554</v>
      </c>
      <c r="CO106" s="18">
        <f t="shared" si="250"/>
        <v>-2.5947395122949746</v>
      </c>
      <c r="CP106" s="18">
        <f t="shared" si="251"/>
        <v>-0.63099353788599322</v>
      </c>
      <c r="CR106" s="18">
        <f t="shared" si="252"/>
        <v>-0.31097391908232463</v>
      </c>
      <c r="CS106" s="18">
        <f t="shared" si="253"/>
        <v>2.3176701855644133</v>
      </c>
      <c r="CT106" s="18">
        <f t="shared" si="254"/>
        <v>2.093470506765871</v>
      </c>
    </row>
    <row r="107" spans="1:98" x14ac:dyDescent="0.25">
      <c r="A107" t="str">
        <f t="shared" si="209"/>
        <v>92 Elementary administration and service occupations</v>
      </c>
      <c r="B107" s="18">
        <f t="shared" si="210"/>
        <v>6.8170096603652253</v>
      </c>
      <c r="C107" s="18">
        <f t="shared" si="210"/>
        <v>-12.133921905743927</v>
      </c>
      <c r="D107" s="18">
        <f t="shared" si="210"/>
        <v>5.250797689896558</v>
      </c>
      <c r="E107" s="18">
        <f t="shared" si="210"/>
        <v>4.9083002832739586</v>
      </c>
      <c r="F107" s="18">
        <f t="shared" si="211"/>
        <v>3.8581113097622355</v>
      </c>
      <c r="H107" s="18">
        <f t="shared" si="212"/>
        <v>5.0223420701108079</v>
      </c>
      <c r="I107" s="18">
        <f t="shared" si="213"/>
        <v>3.9651373874203921</v>
      </c>
      <c r="J107" s="18">
        <f t="shared" si="214"/>
        <v>7.30027784532985</v>
      </c>
      <c r="L107" t="str">
        <f t="shared" ref="L107" si="263">A107</f>
        <v>92 Elementary administration and service occupations</v>
      </c>
      <c r="M107" s="18">
        <f t="shared" si="215"/>
        <v>8.0405221016777375</v>
      </c>
      <c r="N107" s="18">
        <f t="shared" si="215"/>
        <v>-5.1992551772562674</v>
      </c>
      <c r="O107" s="18">
        <f t="shared" si="215"/>
        <v>6.0183651755820078</v>
      </c>
      <c r="P107" s="18">
        <f t="shared" si="215"/>
        <v>6.2284414398361632</v>
      </c>
      <c r="Q107" s="18">
        <f t="shared" si="216"/>
        <v>5.4102479927240488</v>
      </c>
      <c r="S107" s="18">
        <f t="shared" si="217"/>
        <v>6.1583698071206561</v>
      </c>
      <c r="T107" s="18">
        <f t="shared" si="218"/>
        <v>4.3660914858740796</v>
      </c>
      <c r="U107" s="18">
        <f t="shared" si="219"/>
        <v>8.3918146064102963</v>
      </c>
      <c r="W107" t="str">
        <f t="shared" ref="W107" si="264">A107</f>
        <v>92 Elementary administration and service occupations</v>
      </c>
      <c r="X107" s="18">
        <f t="shared" si="220"/>
        <v>-0.18395282067357188</v>
      </c>
      <c r="Y107" s="18">
        <f t="shared" si="220"/>
        <v>10.071433214180804</v>
      </c>
      <c r="Z107" s="18">
        <f t="shared" si="220"/>
        <v>1.414716528248916</v>
      </c>
      <c r="AA107" s="18">
        <f t="shared" si="220"/>
        <v>2.0287717385652826</v>
      </c>
      <c r="AB107" s="18">
        <f t="shared" si="221"/>
        <v>2.3205537798871356</v>
      </c>
      <c r="AD107" s="18">
        <f t="shared" si="222"/>
        <v>1.8236746609007648</v>
      </c>
      <c r="AE107" s="18">
        <f t="shared" si="223"/>
        <v>3.7817776794836444</v>
      </c>
      <c r="AF107" s="18">
        <f t="shared" si="224"/>
        <v>4.9240098074758487</v>
      </c>
      <c r="AH107" t="str">
        <f t="shared" ref="AH107" si="265">L107</f>
        <v>92 Elementary administration and service occupations</v>
      </c>
      <c r="AI107" s="18">
        <f t="shared" si="225"/>
        <v>-0.87786518846265649</v>
      </c>
      <c r="AJ107" s="18">
        <f t="shared" si="225"/>
        <v>9.8477709528661084</v>
      </c>
      <c r="AK107" s="18">
        <f t="shared" si="225"/>
        <v>0.89455357005985281</v>
      </c>
      <c r="AL107" s="18">
        <f t="shared" si="225"/>
        <v>2.6441415883647679</v>
      </c>
      <c r="AM107" s="18">
        <f t="shared" si="226"/>
        <v>2.5278784598470327</v>
      </c>
      <c r="AO107" s="18">
        <f t="shared" si="227"/>
        <v>2.0576002826909967</v>
      </c>
      <c r="AP107" s="18">
        <f t="shared" si="228"/>
        <v>3.5659880472457051</v>
      </c>
      <c r="AQ107" s="18">
        <f t="shared" si="229"/>
        <v>4.8977140380138451</v>
      </c>
      <c r="AS107" t="str">
        <f t="shared" ref="AS107" si="266">W107</f>
        <v>92 Elementary administration and service occupations</v>
      </c>
      <c r="AT107" s="18">
        <f t="shared" si="230"/>
        <v>-0.90860768653796553</v>
      </c>
      <c r="AU107" s="18">
        <f t="shared" si="230"/>
        <v>10.325951069844086</v>
      </c>
      <c r="AV107" s="18">
        <f t="shared" si="230"/>
        <v>0.52592923125787117</v>
      </c>
      <c r="AW107" s="18">
        <f t="shared" si="230"/>
        <v>2.3718319525771081</v>
      </c>
      <c r="AX107" s="18">
        <f t="shared" si="231"/>
        <v>2.2685402533743737</v>
      </c>
      <c r="AZ107" s="18">
        <f t="shared" si="232"/>
        <v>1.7527953112655981</v>
      </c>
      <c r="BA107" s="18">
        <f t="shared" si="233"/>
        <v>3.5483133029027281</v>
      </c>
      <c r="BB107" s="18">
        <f t="shared" si="234"/>
        <v>4.6764430925575473</v>
      </c>
      <c r="BD107" t="str">
        <f t="shared" ref="BD107" si="267">AH107</f>
        <v>92 Elementary administration and service occupations</v>
      </c>
      <c r="BE107" s="18">
        <f t="shared" si="235"/>
        <v>-0.62876321277752778</v>
      </c>
      <c r="BF107" s="18">
        <f t="shared" si="235"/>
        <v>-7.4778807220603927</v>
      </c>
      <c r="BG107" s="18">
        <f t="shared" si="235"/>
        <v>-2.1632347099548754</v>
      </c>
      <c r="BH107" s="18">
        <f t="shared" si="235"/>
        <v>-1.1453901143683942</v>
      </c>
      <c r="BI107" s="18">
        <f t="shared" si="236"/>
        <v>-1.8714618518508641</v>
      </c>
      <c r="BK107" s="18">
        <f t="shared" si="237"/>
        <v>-1.4858428103972865</v>
      </c>
      <c r="BL107" s="18">
        <f t="shared" si="238"/>
        <v>2.3519592677749834</v>
      </c>
      <c r="BM107" s="18">
        <f t="shared" si="239"/>
        <v>1.3129443468110402</v>
      </c>
      <c r="BO107" t="str">
        <f t="shared" ref="BO107" si="268">AS107</f>
        <v>92 Elementary administration and service occupations</v>
      </c>
      <c r="BP107" s="18">
        <f t="shared" si="240"/>
        <v>0.79262085251701198</v>
      </c>
      <c r="BQ107" s="18">
        <f t="shared" si="240"/>
        <v>-17.934747232587277</v>
      </c>
      <c r="BR107" s="18">
        <f t="shared" si="240"/>
        <v>0.12371575735989904</v>
      </c>
      <c r="BS107" s="18">
        <f t="shared" si="240"/>
        <v>-1.0992478241212522</v>
      </c>
      <c r="BT107" s="18">
        <f t="shared" si="241"/>
        <v>-1.8698408604981731</v>
      </c>
      <c r="BV107" s="18">
        <f t="shared" si="242"/>
        <v>-0.69326214077729542</v>
      </c>
      <c r="BW107" s="18">
        <f t="shared" si="243"/>
        <v>2.6801487263806045</v>
      </c>
      <c r="BX107" s="18">
        <f t="shared" si="244"/>
        <v>2.2091439740950403</v>
      </c>
      <c r="BZ107" t="str">
        <f t="shared" ref="BZ107" si="269">BD107</f>
        <v>92 Elementary administration and service occupations</v>
      </c>
      <c r="CA107" s="18">
        <f t="shared" si="245"/>
        <v>-2.3279632388399252</v>
      </c>
      <c r="CB107" s="18">
        <f t="shared" si="245"/>
        <v>-14.031895592134958</v>
      </c>
      <c r="CC107" s="18">
        <f t="shared" si="245"/>
        <v>-4.0795288790441813</v>
      </c>
      <c r="CD107" s="18">
        <f t="shared" si="245"/>
        <v>-4.4786942973099153</v>
      </c>
      <c r="CE107" s="18">
        <f t="shared" si="246"/>
        <v>-4.981969758618332</v>
      </c>
      <c r="CG107" s="18">
        <f t="shared" si="247"/>
        <v>-4.345824066207582</v>
      </c>
      <c r="CH107" s="18">
        <f t="shared" si="248"/>
        <v>1.760014151007816</v>
      </c>
      <c r="CI107" s="18">
        <f t="shared" si="249"/>
        <v>-1.3733805705236524</v>
      </c>
      <c r="CK107" t="str">
        <f t="shared" ref="CK107" si="270">BO107</f>
        <v>92 Elementary administration and service occupations</v>
      </c>
      <c r="CL107" s="18">
        <f t="shared" si="250"/>
        <v>-9.9753069481758327</v>
      </c>
      <c r="CM107" s="18">
        <f t="shared" si="250"/>
        <v>-2.2919346644670324</v>
      </c>
      <c r="CN107" s="18">
        <f t="shared" si="250"/>
        <v>-12.278935426741233</v>
      </c>
      <c r="CO107" s="18">
        <f t="shared" si="250"/>
        <v>-6.5588647394606125</v>
      </c>
      <c r="CP107" s="18">
        <f t="shared" si="251"/>
        <v>-8.1293193384094806</v>
      </c>
      <c r="CR107" s="18">
        <f t="shared" si="252"/>
        <v>-8.5058411758991532</v>
      </c>
      <c r="CS107" s="18">
        <f t="shared" si="253"/>
        <v>0.89466862730029906</v>
      </c>
      <c r="CT107" s="18">
        <f t="shared" si="254"/>
        <v>-5.8244317225011999</v>
      </c>
    </row>
    <row r="108" spans="1:98" x14ac:dyDescent="0.25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5">
      <c r="A109" s="24" t="str">
        <f>A35</f>
        <v>All occupations</v>
      </c>
      <c r="B109" s="26">
        <f>IF(AND(C$6-B$6 &lt;&gt; 0,B35&lt;&gt;0,C35&lt;&gt;0),(EXP(LN(C35/B35)/(C$6-B$6))-1)*100,0)</f>
        <v>8.321276423262546</v>
      </c>
      <c r="C109" s="26">
        <f>IF(AND(D$6-C$6 &lt;&gt; 0,C35&lt;&gt;0,D35&lt;&gt;0),(EXP(LN(D35/C35)/(D$6-C$6))-1)*100,0)</f>
        <v>-2.9461719634329753</v>
      </c>
      <c r="D109" s="26">
        <f>IF(AND(E$6-D$6 &lt;&gt; 0,D35&lt;&gt;0,E35&lt;&gt;0),(EXP(LN(E35/D35)/(E$6-D$6))-1)*100,0)</f>
        <v>5.2736651145490088</v>
      </c>
      <c r="E109" s="26">
        <f>IF(AND(F$6-E$6 &lt;&gt; 0,E35&lt;&gt;0,F35&lt;&gt;0),(EXP(LN(F35/E35)/(F$6-E$6))-1)*100,0)</f>
        <v>3.9259229997445466</v>
      </c>
      <c r="F109" s="26">
        <f>IF(AND(F$6-C$6 &lt;&gt; 0,C35&lt;&gt;0,F35&lt;&gt;0),(EXP(LN(F35/C35)/(F$6-C$6))-1)*100,0)</f>
        <v>3.9000228453071273</v>
      </c>
      <c r="H109" s="26">
        <f t="shared" ref="H109" si="271">IF($F$6-$D$6 &lt;&gt; 0,(EXP(LN(1+(H72/100))/($F$6-$D$6))-1)*100,0)</f>
        <v>4.3732422518679037</v>
      </c>
      <c r="I109" s="26">
        <f t="shared" ref="I109" si="272">IF(D35&gt;0,((1+(I35/D35))^(1/($F$6-$D$6))-1)*100,0)</f>
        <v>3.5034324085416069</v>
      </c>
      <c r="J109" s="26">
        <f t="shared" ref="J109" si="273">IF($F$6-$D$6 &lt;&gt; 0,(EXP(LN(1+(J72/100))/($F$6-$D$6))-1)*100,0)</f>
        <v>6.512988970409106</v>
      </c>
      <c r="L109" s="24" t="str">
        <f>L35</f>
        <v>All occupations</v>
      </c>
      <c r="M109" s="26">
        <f>IF(AND(N$6-M$6 &lt;&gt; 0,M35&lt;&gt;0,N35&lt;&gt;0),(EXP(LN(N35/M35)/(N$6-M$6))-1)*100,0)</f>
        <v>8.6915274444937296</v>
      </c>
      <c r="N109" s="26">
        <f>IF(AND(O$6-N$6 &lt;&gt; 0,N35&lt;&gt;0,O35&lt;&gt;0),(EXP(LN(O35/N35)/(O$6-N$6))-1)*100,0)</f>
        <v>-0.12179872392621416</v>
      </c>
      <c r="O109" s="26">
        <f>IF(AND(P$6-O$6 &lt;&gt; 0,O35&lt;&gt;0,P35&lt;&gt;0),(EXP(LN(P35/O35)/(P$6-O$6))-1)*100,0)</f>
        <v>4.8853134020049094</v>
      </c>
      <c r="P109" s="26">
        <f>IF(AND(Q$6-P$6 &lt;&gt; 0,P35&lt;&gt;0,Q35&lt;&gt;0),(EXP(LN(Q35/P35)/(Q$6-P$6))-1)*100,0)</f>
        <v>3.9128356983175294</v>
      </c>
      <c r="Q109" s="26">
        <f>IF(AND(Q$6-N$6 &lt;&gt; 0,N35&lt;&gt;0,Q35&lt;&gt;0),(EXP(LN(Q35/N35)/(Q$6-N$6))-1)*100,0)</f>
        <v>3.9581410423084051</v>
      </c>
      <c r="S109" s="26">
        <f t="shared" ref="S109" si="274">IF($F$6-$D$6 &lt;&gt; 0,(EXP(LN(1+(S72/100))/($F$6-$D$6))-1)*100,0)</f>
        <v>4.235988933338275</v>
      </c>
      <c r="T109" s="26">
        <f t="shared" ref="T109" si="275">IF(O35&gt;0,((1+(T35/O35))^(1/($F$6-$D$6))-1)*100,0)</f>
        <v>3.6047070621748167</v>
      </c>
      <c r="U109" s="26">
        <f t="shared" ref="U109" si="276">IF($F$6-$D$6 &lt;&gt; 0,(EXP(LN(1+(U72/100))/($F$6-$D$6))-1)*100,0)</f>
        <v>6.4788161916825793</v>
      </c>
      <c r="W109" s="24" t="str">
        <f>W35</f>
        <v>All occupations</v>
      </c>
      <c r="X109" s="26">
        <f>IF(AND(Y$6-X$6 &lt;&gt; 0,X35&lt;&gt;0,Y35&lt;&gt;0),(EXP(LN(Y35/X35)/(Y$6-X$6))-1)*100,0)</f>
        <v>-0.52899947469071673</v>
      </c>
      <c r="Y109" s="26">
        <f>IF(AND(Z$6-Y$6 &lt;&gt; 0,Y35&lt;&gt;0,Z35&lt;&gt;0),(EXP(LN(Z35/Y35)/(Z$6-Y$6))-1)*100,0)</f>
        <v>11.131282318648616</v>
      </c>
      <c r="Z109" s="26">
        <f>IF(AND(AA$6-Z$6 &lt;&gt; 0,Z35&lt;&gt;0,AA35&lt;&gt;0),(EXP(LN(AA35/Z35)/(AA$6-Z$6))-1)*100,0)</f>
        <v>1.3915466177255142</v>
      </c>
      <c r="AA109" s="26">
        <f>IF(AND(AB$6-AA$6 &lt;&gt; 0,AA35&lt;&gt;0,AB35&lt;&gt;0),(EXP(LN(AB35/AA35)/(AB$6-AA$6))-1)*100,0)</f>
        <v>1.4181967333491086</v>
      </c>
      <c r="AB109" s="26">
        <f>IF(AND(AB$6-Y$6 &lt;&gt; 0,Y35&lt;&gt;0,AB35&lt;&gt;0),(EXP(LN(AB35/Y35)/(AB$6-Y$6))-1)*100,0)</f>
        <v>1.991210010239497</v>
      </c>
      <c r="AD109" s="26">
        <f t="shared" ref="AD109" si="277">IF($F$6-$D$6 &lt;&gt; 0,(EXP(LN(1+(AD72/100))/($F$6-$D$6))-1)*100,0)</f>
        <v>1.4093125832530973</v>
      </c>
      <c r="AE109" s="26">
        <f t="shared" ref="AE109" si="278">IF(Z35&gt;0,((1+(AE35/Z35))^(1/($F$6-$D$6))-1)*100,0)</f>
        <v>3.2822175301435497</v>
      </c>
      <c r="AF109" s="26">
        <f t="shared" ref="AF109" si="279">IF($F$6-$D$6 &lt;&gt; 0,(EXP(LN(1+(AF72/100))/($F$6-$D$6))-1)*100,0)</f>
        <v>4.2120722793940413</v>
      </c>
      <c r="AH109" s="24" t="str">
        <f>AH35</f>
        <v>All occupations</v>
      </c>
      <c r="AI109" s="26">
        <f>IF(AND(AJ$6-AI$6 &lt;&gt; 0,AI35&lt;&gt;0,AJ35&lt;&gt;0),(EXP(LN(AJ35/AI35)/(AJ$6-AI$6))-1)*100,0)</f>
        <v>-2.1445168961973793</v>
      </c>
      <c r="AJ109" s="26">
        <f>IF(AND(AK$6-AJ$6 &lt;&gt; 0,AJ35&lt;&gt;0,AK35&lt;&gt;0),(EXP(LN(AK35/AJ35)/(AK$6-AJ$6))-1)*100,0)</f>
        <v>11.320269975336261</v>
      </c>
      <c r="AK109" s="26">
        <f>IF(AND(AL$6-AK$6 &lt;&gt; 0,AK35&lt;&gt;0,AL35&lt;&gt;0),(EXP(LN(AL35/AK35)/(AL$6-AK$6))-1)*100,0)</f>
        <v>-0.53466237248130932</v>
      </c>
      <c r="AL109" s="26">
        <f>IF(AND(AM$6-AL$6 &lt;&gt; 0,AL35&lt;&gt;0,AM35&lt;&gt;0),(EXP(LN(AM35/AL35)/(AM$6-AL$6))-1)*100,0)</f>
        <v>0.80822535924003347</v>
      </c>
      <c r="AM109" s="26">
        <f>IF(AND(AM$6-AJ$6 &lt;&gt; 0,AJ35&lt;&gt;0,AM35&lt;&gt;0),(EXP(LN(AM35/AJ35)/(AM$6-AJ$6))-1)*100,0)</f>
        <v>1.0109130900259222</v>
      </c>
      <c r="AO109" s="26">
        <f t="shared" ref="AO109" si="280">IF($F$6-$D$6 &lt;&gt; 0,(EXP(LN(1+(AO72/100))/($F$6-$D$6))-1)*100,0)</f>
        <v>0.35859361875314466</v>
      </c>
      <c r="AP109" s="26">
        <f t="shared" ref="AP109" si="281">IF(AK35&gt;0,((1+(AP35/AK35))^(1/($F$6-$D$6))-1)*100,0)</f>
        <v>2.9191888110438269</v>
      </c>
      <c r="AQ109" s="26">
        <f t="shared" ref="AQ109" si="282">IF($F$6-$D$6 &lt;&gt; 0,(EXP(LN(1+(AQ72/100))/($F$6-$D$6))-1)*100,0)</f>
        <v>3.1609750556860883</v>
      </c>
      <c r="AS109" s="24" t="str">
        <f>AS35</f>
        <v>All occupations</v>
      </c>
      <c r="AT109" s="26">
        <f>IF(AND(AU$6-AT$6 &lt;&gt; 0,AT35&lt;&gt;0,AU35&lt;&gt;0),(EXP(LN(AU35/AT35)/(AU$6-AT$6))-1)*100,0)</f>
        <v>-1.7825227102071683</v>
      </c>
      <c r="AU109" s="26">
        <f>IF(AND(AV$6-AU$6 &lt;&gt; 0,AU35&lt;&gt;0,AV35&lt;&gt;0),(EXP(LN(AV35/AU35)/(AV$6-AU$6))-1)*100,0)</f>
        <v>8.8552777365380706</v>
      </c>
      <c r="AV109" s="26">
        <f>IF(AND(AW$6-AV$6 &lt;&gt; 0,AV35&lt;&gt;0,AW35&lt;&gt;0),(EXP(LN(AW35/AV35)/(AW$6-AV$6))-1)*100,0)</f>
        <v>0.71195026147057305</v>
      </c>
      <c r="AW109" s="26">
        <f>IF(AND(AX$6-AW$6 &lt;&gt; 0,AW35&lt;&gt;0,AX35&lt;&gt;0),(EXP(LN(AX35/AW35)/(AX$6-AW$6))-1)*100,0)</f>
        <v>1.2905085058766863</v>
      </c>
      <c r="AX109" s="26">
        <f>IF(AND(AX$6-AU$6 &lt;&gt; 0,AU35&lt;&gt;0,AX35&lt;&gt;0),(EXP(LN(AX35/AU35)/(AX$6-AU$6))-1)*100,0)</f>
        <v>1.5655388922688918</v>
      </c>
      <c r="AZ109" s="26">
        <f t="shared" ref="AZ109" si="283">IF($F$6-$D$6 &lt;&gt; 0,(EXP(LN(1+(AZ72/100))/($F$6-$D$6))-1)*100,0)</f>
        <v>1.0972874048242653</v>
      </c>
      <c r="BA109" s="26">
        <f t="shared" ref="BA109" si="284">IF(AV35&gt;0,((1+(BA35/AV35))^(1/($F$6-$D$6))-1)*100,0)</f>
        <v>3.0024688113333919</v>
      </c>
      <c r="BB109" s="26">
        <f t="shared" ref="BB109" si="285">IF($F$6-$D$6 &lt;&gt; 0,(EXP(LN(1+(BB72/100))/($F$6-$D$6))-1)*100,0)</f>
        <v>3.7472024867496234</v>
      </c>
      <c r="BD109" s="24" t="str">
        <f>BD35</f>
        <v>All occupations</v>
      </c>
      <c r="BE109" s="26">
        <f>IF(AND(BF$6-BE$6 &lt;&gt; 0,BE35&lt;&gt;0,BF35&lt;&gt;0),(EXP(LN(BF35/BE35)/(BF$6-BE$6))-1)*100,0)</f>
        <v>2.0454028977315186</v>
      </c>
      <c r="BF109" s="26">
        <f>IF(AND(BG$6-BF$6 &lt;&gt; 0,BF35&lt;&gt;0,BG35&lt;&gt;0),(EXP(LN(BG35/BF35)/(BG$6-BF$6))-1)*100,0)</f>
        <v>-4.878075011497085</v>
      </c>
      <c r="BG109" s="26">
        <f>IF(AND(BH$6-BG$6 &lt;&gt; 0,BG35&lt;&gt;0,BH35&lt;&gt;0),(EXP(LN(BH35/BG35)/(BH$6-BG$6))-1)*100,0)</f>
        <v>0.90686963956727595</v>
      </c>
      <c r="BH109" s="26">
        <f>IF(AND(BI$6-BH$6 &lt;&gt; 0,BH35&lt;&gt;0,BI35&lt;&gt;0),(EXP(LN(BI35/BH35)/(BI$6-BH$6))-1)*100,0)</f>
        <v>9.4204400657149634E-2</v>
      </c>
      <c r="BI109" s="26">
        <f>IF(AND(BI$6-BF$6 &lt;&gt; 0,BF35&lt;&gt;0,BI35&lt;&gt;0),(EXP(LN(BI35/BF35)/(BI$6-BF$6))-1)*100,0)</f>
        <v>2.8406676202230585E-2</v>
      </c>
      <c r="BK109" s="26">
        <f t="shared" ref="BK109" si="286">IF($F$6-$D$6 &lt;&gt; 0,(EXP(LN(1+(BK72/100))/($F$6-$D$6))-1)*100,0)</f>
        <v>0.36436298789437327</v>
      </c>
      <c r="BL109" s="26">
        <f t="shared" ref="BL109" si="287">IF(BG35&gt;0,((1+(BL35/BG35))^(1/($F$6-$D$6))-1)*100,0)</f>
        <v>2.5857724808655558</v>
      </c>
      <c r="BM109" s="26">
        <f t="shared" ref="BM109" si="288">IF($F$6-$D$6 &lt;&gt; 0,(EXP(LN(1+(BM72/100))/($F$6-$D$6))-1)*100,0)</f>
        <v>2.8426909265016675</v>
      </c>
      <c r="BO109" s="24" t="str">
        <f>BO35</f>
        <v>All occupations</v>
      </c>
      <c r="BP109" s="26">
        <f>IF(AND(BQ$6-BP$6 &lt;&gt; 0,BP35&lt;&gt;0,BQ35&lt;&gt;0),(EXP(LN(BQ35/BP35)/(BQ$6-BP$6))-1)*100,0)</f>
        <v>0.65865767940163078</v>
      </c>
      <c r="BQ109" s="26">
        <f>IF(AND(BR$6-BQ$6 &lt;&gt; 0,BQ35&lt;&gt;0,BR35&lt;&gt;0),(EXP(LN(BR35/BQ35)/(BR$6-BQ$6))-1)*100,0)</f>
        <v>-13.685794152804476</v>
      </c>
      <c r="BR109" s="26">
        <f>IF(AND(BS$6-BR$6 &lt;&gt; 0,BR35&lt;&gt;0,BS35&lt;&gt;0),(EXP(LN(BS35/BR35)/(BS$6-BR$6))-1)*100,0)</f>
        <v>1.086316602878501</v>
      </c>
      <c r="BS109" s="26">
        <f>IF(AND(BT$6-BS$6 &lt;&gt; 0,BS35&lt;&gt;0,BT35&lt;&gt;0),(EXP(LN(BT35/BS35)/(BT$6-BS$6))-1)*100,0)</f>
        <v>-1.3404288034414513</v>
      </c>
      <c r="BT109" s="26">
        <f>IF(AND(BT$6-BQ$6 &lt;&gt; 0,BQ35&lt;&gt;0,BT35&lt;&gt;0),(EXP(LN(BT35/BQ35)/(BT$6-BQ$6))-1)*100,0)</f>
        <v>-1.4155260433701411</v>
      </c>
      <c r="BV109" s="26">
        <f t="shared" ref="BV109" si="289">IF($F$6-$D$6 &lt;&gt; 0,(EXP(LN(1+(BV72/100))/($F$6-$D$6))-1)*100,0)</f>
        <v>-0.53805683512009317</v>
      </c>
      <c r="BW109" s="26">
        <f t="shared" ref="BW109" si="290">IF(BR35&gt;0,((1+(BW35/BR35))^(1/($F$6-$D$6))-1)*100,0)</f>
        <v>2.6231893106019921</v>
      </c>
      <c r="BX109" s="26">
        <f t="shared" ref="BX109" si="291">IF($F$6-$D$6 &lt;&gt; 0,(EXP(LN(1+(BX72/100))/($F$6-$D$6))-1)*100,0)</f>
        <v>2.2533347714752017</v>
      </c>
      <c r="BZ109" s="24" t="str">
        <f>BZ35</f>
        <v>All occupations</v>
      </c>
      <c r="CA109" s="26">
        <f>IF(AND(CB$6-CA$6 &lt;&gt; 0,CA35&lt;&gt;0,CB35&lt;&gt;0),(EXP(LN(CB35/CA35)/(CB$6-CA$6))-1)*100,0)</f>
        <v>-2.9030947310330846</v>
      </c>
      <c r="CB109" s="26">
        <f>IF(AND(CC$6-CB$6 &lt;&gt; 0,CB35&lt;&gt;0,CC35&lt;&gt;0),(EXP(LN(CC35/CB35)/(CC$6-CB$6))-1)*100,0)</f>
        <v>-9.0270493727014909</v>
      </c>
      <c r="CC109" s="26">
        <f>IF(AND(CD$6-CC$6 &lt;&gt; 0,CC35&lt;&gt;0,CD35&lt;&gt;0),(EXP(LN(CD35/CC35)/(CD$6-CC$6))-1)*100,0)</f>
        <v>-2.911406305766373</v>
      </c>
      <c r="CD109" s="26">
        <f>IF(AND(CE$6-CD$6 &lt;&gt; 0,CD35&lt;&gt;0,CE35&lt;&gt;0),(EXP(LN(CE35/CD35)/(CE$6-CD$6))-1)*100,0)</f>
        <v>-4.7219840053287943</v>
      </c>
      <c r="CE109" s="26">
        <f>IF(AND(CE$6-CB$6 &lt;&gt; 0,CB35&lt;&gt;0,CE35&lt;&gt;0),(EXP(LN(CE35/CB35)/(CE$6-CB$6))-1)*100,0)</f>
        <v>-4.4363951095078065</v>
      </c>
      <c r="CG109" s="26">
        <f t="shared" ref="CG109" si="292">IF($F$6-$D$6 &lt;&gt; 0,(EXP(LN(1+(CG72/100))/($F$6-$D$6))-1)*100,0)</f>
        <v>-4.1222412041844292</v>
      </c>
      <c r="CH109" s="26">
        <f t="shared" ref="CH109" si="293">IF(CC35&gt;0,((1+(CH35/CC35))^(1/($F$6-$D$6))-1)*100,0)</f>
        <v>1.8081294259755021</v>
      </c>
      <c r="CI109" s="26">
        <f t="shared" ref="CI109" si="294">IF($F$6-$D$6 &lt;&gt; 0,(EXP(LN(1+(CI72/100))/($F$6-$D$6))-1)*100,0)</f>
        <v>-1.1539546035006398</v>
      </c>
      <c r="CK109" s="24" t="str">
        <f>CK35</f>
        <v>All occupations</v>
      </c>
      <c r="CL109" s="26">
        <f>IF(AND(CM$6-CL$6 &lt;&gt; 0,CL35&lt;&gt;0,CM35&lt;&gt;0),(EXP(LN(CM35/CL35)/(CM$6-CL$6))-1)*100,0)</f>
        <v>-5.7367926221307268</v>
      </c>
      <c r="CM109" s="26">
        <f>IF(AND(CN$6-CM$6 &lt;&gt; 0,CM35&lt;&gt;0,CN35&lt;&gt;0),(EXP(LN(CN35/CM35)/(CN$6-CM$6))-1)*100,0)</f>
        <v>-1.7888401820056687</v>
      </c>
      <c r="CN109" s="26">
        <f>IF(AND(CO$6-CN$6 &lt;&gt; 0,CN35&lt;&gt;0,CO35&lt;&gt;0),(EXP(LN(CO35/CN35)/(CO$6-CN$6))-1)*100,0)</f>
        <v>-8.9326896675862457</v>
      </c>
      <c r="CO109" s="26">
        <f>IF(AND(CP$6-CO$6 &lt;&gt; 0,CO35&lt;&gt;0,CP35&lt;&gt;0),(EXP(LN(CP35/CO35)/(CP$6-CO$6))-1)*100,0)</f>
        <v>-4.819776887887528</v>
      </c>
      <c r="CP109" s="26">
        <f>IF(AND(CP$6-CM$6 &lt;&gt; 0,CM35&lt;&gt;0,CP35&lt;&gt;0),(EXP(LN(CP35/CM35)/(CP$6-CM$6))-1)*100,0)</f>
        <v>-5.9405281351234684</v>
      </c>
      <c r="CR109" s="26">
        <f t="shared" ref="CR109" si="295">IF($F$6-$D$6 &lt;&gt; 0,(EXP(LN(1+(CR72/100))/($F$6-$D$6))-1)*100,0)</f>
        <v>-6.2109833796336726</v>
      </c>
      <c r="CS109" s="26">
        <f t="shared" ref="CS109" si="296">IF(CN35&gt;0,((1+(CS35/CN35))^(1/($F$6-$D$6))-1)*100,0)</f>
        <v>1.2022982894636547</v>
      </c>
      <c r="CT109" s="26">
        <f t="shared" ref="CT109" si="297">IF($F$6-$D$6 &lt;&gt; 0,(EXP(LN(1+(CT72/100))/($F$6-$D$6))-1)*100,0)</f>
        <v>-3.5826444078035258</v>
      </c>
    </row>
    <row r="112" spans="1:98" ht="47.25" customHeight="1" x14ac:dyDescent="0.25">
      <c r="A112" s="382" t="str">
        <f>CONCATENATE(A$1," (Continued)")</f>
        <v>Basic Table 2  Employment Change by Occupation and Replacement Demand, RQF8 Doctorate, 2015-2035, Black Country (Continued)</v>
      </c>
      <c r="B112" s="382"/>
      <c r="C112" s="382"/>
      <c r="D112" s="382"/>
      <c r="E112" s="382"/>
      <c r="F112" s="382"/>
      <c r="G112" s="382"/>
      <c r="H112" s="382"/>
      <c r="I112" s="382"/>
      <c r="J112" s="382"/>
      <c r="L112" s="382" t="str">
        <f>CONCATENATE(L$1," (Continued)")</f>
        <v>Basic Table 2.1  Employment Change by Occupation and Replacement Demand, RQF7 Other higher degree, 2015-2035, Black Country (Continued)</v>
      </c>
      <c r="M112" s="382"/>
      <c r="N112" s="382"/>
      <c r="O112" s="382"/>
      <c r="P112" s="382"/>
      <c r="Q112" s="382"/>
      <c r="R112" s="382"/>
      <c r="S112" s="382"/>
      <c r="T112" s="382"/>
      <c r="U112" s="382"/>
      <c r="W112" s="382" t="str">
        <f>CONCATENATE(W$1," (Continued)")</f>
        <v>Basic Table 2.2  Employment Change by Occupation and Replacement Demand, RQF6 First degree, 2015-2035, Black Country (Continued)</v>
      </c>
      <c r="X112" s="382"/>
      <c r="Y112" s="382"/>
      <c r="Z112" s="382"/>
      <c r="AA112" s="382"/>
      <c r="AB112" s="382"/>
      <c r="AC112" s="382"/>
      <c r="AD112" s="382"/>
      <c r="AE112" s="382"/>
      <c r="AF112" s="382"/>
      <c r="AH112" s="382" t="str">
        <f>CONCATENATE(AH$1," (Continued)")</f>
        <v>Basic Table 2.3  Employment Change by Occupation and Replacement Demand, RQF5 Foundation degree;Nursing;Teaching, 2015-2035, Black Country (Continued)</v>
      </c>
      <c r="AI112" s="382"/>
      <c r="AJ112" s="382"/>
      <c r="AK112" s="382"/>
      <c r="AL112" s="382"/>
      <c r="AM112" s="382"/>
      <c r="AN112" s="382"/>
      <c r="AO112" s="382"/>
      <c r="AP112" s="382"/>
      <c r="AQ112" s="382"/>
      <c r="AS112" s="382" t="str">
        <f>CONCATENATE(AS$1," (Continued)")</f>
        <v>Basic Table 2.4  Employment Change by Occupation and Replacement Demand, RQF4 HE below degree level, 2015-2035, Black Country (Continued)</v>
      </c>
      <c r="AT112" s="382"/>
      <c r="AU112" s="382"/>
      <c r="AV112" s="382"/>
      <c r="AW112" s="382"/>
      <c r="AX112" s="382"/>
      <c r="AY112" s="382"/>
      <c r="AZ112" s="382"/>
      <c r="BA112" s="382"/>
      <c r="BB112" s="382"/>
      <c r="BD112" s="382" t="str">
        <f>CONCATENATE(BD$1," (Continued)")</f>
        <v>Basic Table 2.5  Employment Change by Occupation and Replacement Demand, RQF3 A level &amp; equivalent, 2015-2035, Black Country (Continued)</v>
      </c>
      <c r="BE112" s="382"/>
      <c r="BF112" s="382"/>
      <c r="BG112" s="382"/>
      <c r="BH112" s="382"/>
      <c r="BI112" s="382"/>
      <c r="BJ112" s="382"/>
      <c r="BK112" s="382"/>
      <c r="BL112" s="382"/>
      <c r="BM112" s="382"/>
      <c r="BO112" s="382" t="str">
        <f>CONCATENATE(BO$1," (Continued)")</f>
        <v>Basic Table 2.6  Employment Change by Occupation and Replacement Demand, RQF2 GCSE(A-C) &amp; equivalent, 2015-2035, Black Country (Continued)</v>
      </c>
      <c r="BP112" s="382"/>
      <c r="BQ112" s="382"/>
      <c r="BR112" s="382"/>
      <c r="BS112" s="382"/>
      <c r="BT112" s="382"/>
      <c r="BU112" s="382"/>
      <c r="BV112" s="382"/>
      <c r="BW112" s="382"/>
      <c r="BX112" s="382"/>
      <c r="BZ112" s="382" t="str">
        <f>CONCATENATE(BZ$1," (Continued)")</f>
        <v>Basic Table 2.7  Employment Change by Occupation and Replacement Demand, RQF1 GCSE(below grade C) &amp; equivalent, 2015-2035, Black Country (Continued)</v>
      </c>
      <c r="CA112" s="382"/>
      <c r="CB112" s="382"/>
      <c r="CC112" s="382"/>
      <c r="CD112" s="382"/>
      <c r="CE112" s="382"/>
      <c r="CF112" s="382"/>
      <c r="CG112" s="382"/>
      <c r="CH112" s="382"/>
      <c r="CI112" s="382"/>
      <c r="CK112" s="382" t="str">
        <f>CONCATENATE(CK$1," (Continued)")</f>
        <v>Basic Table 2.8  Employment Change by Occupation and Replacement Demand, No Qualification, 2015-2035, Black Country (Continued)</v>
      </c>
      <c r="CL112" s="382"/>
      <c r="CM112" s="382"/>
      <c r="CN112" s="382"/>
      <c r="CO112" s="382"/>
      <c r="CP112" s="382"/>
      <c r="CQ112" s="382"/>
      <c r="CR112" s="382"/>
      <c r="CS112" s="382"/>
      <c r="CT112" s="382"/>
    </row>
    <row r="114" spans="1:94" x14ac:dyDescent="0.25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5">
      <c r="A119" t="str">
        <f t="shared" ref="A119:A144" si="298">A8</f>
        <v>11 Corporate managers and directors</v>
      </c>
      <c r="B119" s="27">
        <f t="shared" ref="B119:E144" si="299">C8-B8</f>
        <v>0.10557979951347796</v>
      </c>
      <c r="C119" s="27">
        <f t="shared" si="299"/>
        <v>-3.2624716284110733E-2</v>
      </c>
      <c r="D119" s="27">
        <f t="shared" si="299"/>
        <v>6.6793132176247161E-2</v>
      </c>
      <c r="E119" s="27">
        <f t="shared" si="299"/>
        <v>0.2563920262151973</v>
      </c>
      <c r="F119" s="27">
        <f t="shared" ref="F119:F144" si="300">F8-D8</f>
        <v>0.32318515839144446</v>
      </c>
      <c r="L119" t="str">
        <f>A119</f>
        <v>11 Corporate managers and directors</v>
      </c>
      <c r="M119" s="27">
        <f t="shared" ref="M119:P144" si="301">N8-M8</f>
        <v>1.2802283487220114</v>
      </c>
      <c r="N119" s="27">
        <f t="shared" si="301"/>
        <v>-0.13671616540668596</v>
      </c>
      <c r="O119" s="27">
        <f t="shared" si="301"/>
        <v>0.48796280981196993</v>
      </c>
      <c r="P119" s="27">
        <f t="shared" si="301"/>
        <v>2.1041546942409211</v>
      </c>
      <c r="Q119" s="27">
        <f t="shared" ref="Q119:Q144" si="302">Q8-O8</f>
        <v>2.592117504052891</v>
      </c>
      <c r="W119" t="str">
        <f>A119</f>
        <v>11 Corporate managers and directors</v>
      </c>
      <c r="X119" s="27">
        <f t="shared" ref="X119:AA144" si="303">Y8-X8</f>
        <v>0.43905030354186003</v>
      </c>
      <c r="Y119" s="27">
        <f t="shared" si="303"/>
        <v>0.64164382902131223</v>
      </c>
      <c r="Z119" s="27">
        <f t="shared" si="303"/>
        <v>-0.64550834597499929</v>
      </c>
      <c r="AA119" s="27">
        <f t="shared" si="303"/>
        <v>1.1429914534006578</v>
      </c>
      <c r="AB119" s="27">
        <f t="shared" ref="AB119:AB144" si="304">AB8-Z8</f>
        <v>0.49748310742565849</v>
      </c>
      <c r="AH119" t="str">
        <f>L119</f>
        <v>11 Corporate managers and directors</v>
      </c>
      <c r="AI119" s="27">
        <f t="shared" ref="AI119:AL144" si="305">AJ8-AI8</f>
        <v>0.10970204997746791</v>
      </c>
      <c r="AJ119" s="27">
        <f t="shared" si="305"/>
        <v>0.18780083949024995</v>
      </c>
      <c r="AK119" s="27">
        <f t="shared" si="305"/>
        <v>-0.21035800020705508</v>
      </c>
      <c r="AL119" s="27">
        <f t="shared" si="305"/>
        <v>0.15834480542508356</v>
      </c>
      <c r="AM119" s="27">
        <f t="shared" ref="AM119:AM144" si="306">AM8-AK8</f>
        <v>-5.2013194781971528E-2</v>
      </c>
      <c r="AS119" t="str">
        <f>W119</f>
        <v>11 Corporate managers and directors</v>
      </c>
      <c r="AT119" s="27">
        <f t="shared" ref="AT119:AW144" si="307">AU8-AT8</f>
        <v>-7.294321801373016E-3</v>
      </c>
      <c r="AU119" s="27">
        <f t="shared" si="307"/>
        <v>0.15925263573077286</v>
      </c>
      <c r="AV119" s="27">
        <f t="shared" si="307"/>
        <v>-0.38615881495026949</v>
      </c>
      <c r="AW119" s="27">
        <f t="shared" si="307"/>
        <v>0.13982583048286434</v>
      </c>
      <c r="AX119" s="27">
        <f t="shared" ref="AX119:AX144" si="308">AX8-AV8</f>
        <v>-0.24633298446740515</v>
      </c>
      <c r="BD119" t="str">
        <f>AH119</f>
        <v>11 Corporate managers and directors</v>
      </c>
      <c r="BE119" s="27">
        <f t="shared" ref="BE119:BH144" si="309">BF8-BE8</f>
        <v>1.1417011903533698</v>
      </c>
      <c r="BF119" s="27">
        <f t="shared" si="309"/>
        <v>0.16951130756965327</v>
      </c>
      <c r="BG119" s="27">
        <f t="shared" si="309"/>
        <v>-0.71334179444956369</v>
      </c>
      <c r="BH119" s="27">
        <f t="shared" si="309"/>
        <v>0.45910106840858678</v>
      </c>
      <c r="BI119" s="27">
        <f t="shared" ref="BI119:BI144" si="310">BI8-BG8</f>
        <v>-0.25424072604097692</v>
      </c>
      <c r="BO119" t="str">
        <f>AS119</f>
        <v>11 Corporate managers and directors</v>
      </c>
      <c r="BP119" s="27">
        <f t="shared" ref="BP119:BS144" si="311">BQ8-BP8</f>
        <v>0.58639228795888521</v>
      </c>
      <c r="BQ119" s="27">
        <f t="shared" si="311"/>
        <v>-0.35742155186254099</v>
      </c>
      <c r="BR119" s="27">
        <f t="shared" si="311"/>
        <v>-0.6389958804542113</v>
      </c>
      <c r="BS119" s="27">
        <f t="shared" si="311"/>
        <v>-0.5509244621533278</v>
      </c>
      <c r="BT119" s="27">
        <f t="shared" ref="BT119:BT144" si="312">BT8-BR8</f>
        <v>-1.1899203426075391</v>
      </c>
      <c r="BZ119" t="str">
        <f>BD119</f>
        <v>11 Corporate managers and directors</v>
      </c>
      <c r="CA119" s="68">
        <f t="shared" ref="CA119:CD144" si="313">CB8-CA8</f>
        <v>0.11340560302642011</v>
      </c>
      <c r="CB119" s="68">
        <f t="shared" si="313"/>
        <v>0.14807322874808637</v>
      </c>
      <c r="CC119" s="68">
        <f t="shared" si="313"/>
        <v>-0.91896667602769311</v>
      </c>
      <c r="CD119" s="68">
        <f t="shared" si="313"/>
        <v>-0.83004599628010522</v>
      </c>
      <c r="CE119" s="68">
        <f t="shared" ref="CE119:CE144" si="314">CE8-CC8</f>
        <v>-1.7490126723077983</v>
      </c>
      <c r="CK119" t="str">
        <f>BO119</f>
        <v>11 Corporate managers and directors</v>
      </c>
      <c r="CL119" s="68">
        <f t="shared" ref="CL119:CO144" si="315">CM8-CL8</f>
        <v>2.1230087474215953E-2</v>
      </c>
      <c r="CM119" s="68">
        <f t="shared" si="315"/>
        <v>0.10704896226386373</v>
      </c>
      <c r="CN119" s="68">
        <f t="shared" si="315"/>
        <v>-0.42654517753628751</v>
      </c>
      <c r="CO119" s="68">
        <f t="shared" si="315"/>
        <v>-0.12709751470664454</v>
      </c>
      <c r="CP119" s="68">
        <f t="shared" ref="CP119:CP144" si="316">CP8-CN8</f>
        <v>-0.55364269224293206</v>
      </c>
    </row>
    <row r="120" spans="1:94" x14ac:dyDescent="0.25">
      <c r="A120" t="str">
        <f t="shared" si="298"/>
        <v>12 Other managers and proprietors</v>
      </c>
      <c r="B120" s="27">
        <f t="shared" si="299"/>
        <v>3.553181071269132E-2</v>
      </c>
      <c r="C120" s="27">
        <f t="shared" si="299"/>
        <v>-1.5767081704949254E-2</v>
      </c>
      <c r="D120" s="27">
        <f t="shared" si="299"/>
        <v>4.5905963356284801E-2</v>
      </c>
      <c r="E120" s="27">
        <f t="shared" si="299"/>
        <v>0.12044701701131311</v>
      </c>
      <c r="F120" s="27">
        <f t="shared" si="300"/>
        <v>0.16635298036759791</v>
      </c>
      <c r="L120" t="str">
        <f t="shared" ref="L120:L143" si="317">A120</f>
        <v>12 Other managers and proprietors</v>
      </c>
      <c r="M120" s="27">
        <f t="shared" si="301"/>
        <v>0.33191406098452847</v>
      </c>
      <c r="N120" s="27">
        <f t="shared" si="301"/>
        <v>2.5256401542077311E-2</v>
      </c>
      <c r="O120" s="27">
        <f t="shared" si="301"/>
        <v>0.37220007181774362</v>
      </c>
      <c r="P120" s="27">
        <f t="shared" si="301"/>
        <v>1.1069317619917447</v>
      </c>
      <c r="Q120" s="27">
        <f t="shared" si="302"/>
        <v>1.4791318338094883</v>
      </c>
      <c r="W120" t="str">
        <f t="shared" ref="W120:W143" si="318">A120</f>
        <v>12 Other managers and proprietors</v>
      </c>
      <c r="X120" s="27">
        <f t="shared" si="303"/>
        <v>-8.138945884281501E-2</v>
      </c>
      <c r="Y120" s="27">
        <f t="shared" si="303"/>
        <v>0.36638681779579052</v>
      </c>
      <c r="Z120" s="27">
        <f t="shared" si="303"/>
        <v>0.20422844348186198</v>
      </c>
      <c r="AA120" s="27">
        <f t="shared" si="303"/>
        <v>0.67556340057832509</v>
      </c>
      <c r="AB120" s="27">
        <f t="shared" si="304"/>
        <v>0.87979184406018707</v>
      </c>
      <c r="AH120" t="str">
        <f t="shared" ref="AH120:AH143" si="319">L120</f>
        <v>12 Other managers and proprietors</v>
      </c>
      <c r="AI120" s="27">
        <f t="shared" si="305"/>
        <v>-2.1382896735918755E-2</v>
      </c>
      <c r="AJ120" s="27">
        <f t="shared" si="305"/>
        <v>0.13403748011885674</v>
      </c>
      <c r="AK120" s="27">
        <f t="shared" si="305"/>
        <v>-1.5676964660164661E-2</v>
      </c>
      <c r="AL120" s="27">
        <f t="shared" si="305"/>
        <v>0.17921666892146648</v>
      </c>
      <c r="AM120" s="27">
        <f t="shared" si="306"/>
        <v>0.16353970426130182</v>
      </c>
      <c r="AS120" t="str">
        <f t="shared" ref="AS120:AS143" si="320">W120</f>
        <v>12 Other managers and proprietors</v>
      </c>
      <c r="AT120" s="27">
        <f t="shared" si="307"/>
        <v>-4.7451996736132318E-2</v>
      </c>
      <c r="AU120" s="27">
        <f t="shared" si="307"/>
        <v>0.11149528328660863</v>
      </c>
      <c r="AV120" s="27">
        <f t="shared" si="307"/>
        <v>5.6652340194442097E-2</v>
      </c>
      <c r="AW120" s="27">
        <f t="shared" si="307"/>
        <v>0.16782122135509436</v>
      </c>
      <c r="AX120" s="27">
        <f t="shared" si="308"/>
        <v>0.22447356154953646</v>
      </c>
      <c r="BD120" t="str">
        <f t="shared" ref="BD120:BD143" si="321">AH120</f>
        <v>12 Other managers and proprietors</v>
      </c>
      <c r="BE120" s="27">
        <f t="shared" si="309"/>
        <v>7.4187258460011396E-2</v>
      </c>
      <c r="BF120" s="27">
        <f t="shared" si="309"/>
        <v>-3.0043261599859594E-2</v>
      </c>
      <c r="BG120" s="27">
        <f t="shared" si="309"/>
        <v>1.9628387746922993E-2</v>
      </c>
      <c r="BH120" s="27">
        <f t="shared" si="309"/>
        <v>0.13718868873541634</v>
      </c>
      <c r="BI120" s="27">
        <f t="shared" si="310"/>
        <v>0.15681707648233933</v>
      </c>
      <c r="BO120" t="str">
        <f t="shared" ref="BO120:BO143" si="322">AS120</f>
        <v>12 Other managers and proprietors</v>
      </c>
      <c r="BP120" s="27">
        <f t="shared" si="311"/>
        <v>6.7352811738250029E-2</v>
      </c>
      <c r="BQ120" s="27">
        <f t="shared" si="311"/>
        <v>-4.9120531293735059E-2</v>
      </c>
      <c r="BR120" s="27">
        <f t="shared" si="311"/>
        <v>0.12897700847855065</v>
      </c>
      <c r="BS120" s="27">
        <f t="shared" si="311"/>
        <v>-0.15813494791326521</v>
      </c>
      <c r="BT120" s="27">
        <f t="shared" si="312"/>
        <v>-2.9157939434714564E-2</v>
      </c>
      <c r="BZ120" t="str">
        <f t="shared" ref="BZ120:BZ143" si="323">BD120</f>
        <v>12 Other managers and proprietors</v>
      </c>
      <c r="CA120" s="68">
        <f t="shared" si="313"/>
        <v>-0.10271499495017267</v>
      </c>
      <c r="CB120" s="68">
        <f t="shared" si="313"/>
        <v>8.9287772188975101E-3</v>
      </c>
      <c r="CC120" s="68">
        <f t="shared" si="313"/>
        <v>-0.17974532166972645</v>
      </c>
      <c r="CD120" s="68">
        <f t="shared" si="313"/>
        <v>-0.41069577085327813</v>
      </c>
      <c r="CE120" s="68">
        <f t="shared" si="314"/>
        <v>-0.59044109252300458</v>
      </c>
      <c r="CK120" t="str">
        <f t="shared" ref="CK120:CK143" si="324">BO120</f>
        <v>12 Other managers and proprietors</v>
      </c>
      <c r="CL120" s="68">
        <f t="shared" si="315"/>
        <v>-9.3614549819893478E-2</v>
      </c>
      <c r="CM120" s="68">
        <f t="shared" si="315"/>
        <v>1.7477228164330949E-2</v>
      </c>
      <c r="CN120" s="68">
        <f t="shared" si="315"/>
        <v>-0.21059442256662164</v>
      </c>
      <c r="CO120" s="68">
        <f t="shared" si="315"/>
        <v>-0.18172490926917018</v>
      </c>
      <c r="CP120" s="68">
        <f t="shared" si="316"/>
        <v>-0.39231933183579182</v>
      </c>
    </row>
    <row r="121" spans="1:94" x14ac:dyDescent="0.25">
      <c r="A121" t="str">
        <f t="shared" si="298"/>
        <v>21 Science, research, engineering and technology professionals</v>
      </c>
      <c r="B121" s="27">
        <f t="shared" si="299"/>
        <v>0.32289951459360022</v>
      </c>
      <c r="C121" s="27">
        <f t="shared" si="299"/>
        <v>-0.1351934335188425</v>
      </c>
      <c r="D121" s="27">
        <f t="shared" si="299"/>
        <v>0.54084359675754712</v>
      </c>
      <c r="E121" s="27">
        <f t="shared" si="299"/>
        <v>0.79367194125538987</v>
      </c>
      <c r="F121" s="27">
        <f t="shared" si="300"/>
        <v>1.334515538012937</v>
      </c>
      <c r="L121" t="str">
        <f t="shared" si="317"/>
        <v>21 Science, research, engineering and technology professionals</v>
      </c>
      <c r="M121" s="27">
        <f t="shared" si="301"/>
        <v>1.219121247644225</v>
      </c>
      <c r="N121" s="27">
        <f t="shared" si="301"/>
        <v>-0.26024874831824363</v>
      </c>
      <c r="O121" s="27">
        <f t="shared" si="301"/>
        <v>2.2844552669602081</v>
      </c>
      <c r="P121" s="27">
        <f t="shared" si="301"/>
        <v>3.17600566545073</v>
      </c>
      <c r="Q121" s="27">
        <f t="shared" si="302"/>
        <v>5.4604609324109381</v>
      </c>
      <c r="W121" t="str">
        <f t="shared" si="318"/>
        <v>21 Science, research, engineering and technology professionals</v>
      </c>
      <c r="X121" s="27">
        <f t="shared" si="303"/>
        <v>-0.39603624408780735</v>
      </c>
      <c r="Y121" s="27">
        <f t="shared" si="303"/>
        <v>0.71439303841775992</v>
      </c>
      <c r="Z121" s="27">
        <f t="shared" si="303"/>
        <v>1.3559673237361078</v>
      </c>
      <c r="AA121" s="27">
        <f t="shared" si="303"/>
        <v>0.67142522405991123</v>
      </c>
      <c r="AB121" s="27">
        <f t="shared" si="304"/>
        <v>2.0273925477960191</v>
      </c>
      <c r="AH121" t="str">
        <f t="shared" si="319"/>
        <v>21 Science, research, engineering and technology professionals</v>
      </c>
      <c r="AI121" s="27">
        <f t="shared" si="305"/>
        <v>-7.9275923023756079E-2</v>
      </c>
      <c r="AJ121" s="27">
        <f t="shared" si="305"/>
        <v>0.11283182932085201</v>
      </c>
      <c r="AK121" s="27">
        <f t="shared" si="305"/>
        <v>0.1227356970560638</v>
      </c>
      <c r="AL121" s="27">
        <f t="shared" si="305"/>
        <v>8.4947984445489233E-2</v>
      </c>
      <c r="AM121" s="27">
        <f t="shared" si="306"/>
        <v>0.20768368150155303</v>
      </c>
      <c r="AS121" t="str">
        <f t="shared" si="320"/>
        <v>21 Science, research, engineering and technology professionals</v>
      </c>
      <c r="AT121" s="27">
        <f t="shared" si="307"/>
        <v>-0.1595985853696571</v>
      </c>
      <c r="AU121" s="27">
        <f t="shared" si="307"/>
        <v>0.21171390228049569</v>
      </c>
      <c r="AV121" s="27">
        <f t="shared" si="307"/>
        <v>0.18124322938157533</v>
      </c>
      <c r="AW121" s="27">
        <f t="shared" si="307"/>
        <v>-6.1722050215502477E-3</v>
      </c>
      <c r="AX121" s="27">
        <f t="shared" si="308"/>
        <v>0.17507102436002508</v>
      </c>
      <c r="BD121" t="str">
        <f t="shared" si="321"/>
        <v>21 Science, research, engineering and technology professionals</v>
      </c>
      <c r="BE121" s="27">
        <f t="shared" si="309"/>
        <v>0.54894878717084694</v>
      </c>
      <c r="BF121" s="27">
        <f t="shared" si="309"/>
        <v>0.26497855293526795</v>
      </c>
      <c r="BG121" s="27">
        <f t="shared" si="309"/>
        <v>0.68609092592634546</v>
      </c>
      <c r="BH121" s="27">
        <f t="shared" si="309"/>
        <v>0.2899290136855095</v>
      </c>
      <c r="BI121" s="27">
        <f t="shared" si="310"/>
        <v>0.97601993961185496</v>
      </c>
      <c r="BO121" t="str">
        <f t="shared" si="322"/>
        <v>21 Science, research, engineering and technology professionals</v>
      </c>
      <c r="BP121" s="27">
        <f t="shared" si="311"/>
        <v>0.30654771669605996</v>
      </c>
      <c r="BQ121" s="27">
        <f t="shared" si="311"/>
        <v>1.914390255004772E-2</v>
      </c>
      <c r="BR121" s="27">
        <f t="shared" si="311"/>
        <v>0.52068491594812416</v>
      </c>
      <c r="BS121" s="27">
        <f t="shared" si="311"/>
        <v>-0.28341486310052</v>
      </c>
      <c r="BT121" s="27">
        <f t="shared" si="312"/>
        <v>0.23727005284760416</v>
      </c>
      <c r="BZ121" t="str">
        <f t="shared" si="323"/>
        <v>21 Science, research, engineering and technology professionals</v>
      </c>
      <c r="CA121" s="68">
        <f t="shared" si="313"/>
        <v>3.0793042960671313E-2</v>
      </c>
      <c r="CB121" s="68">
        <f t="shared" si="313"/>
        <v>0.14131867712248924</v>
      </c>
      <c r="CC121" s="68">
        <f t="shared" si="313"/>
        <v>2.9760514046674347E-2</v>
      </c>
      <c r="CD121" s="68">
        <f t="shared" si="313"/>
        <v>-0.49866215229078525</v>
      </c>
      <c r="CE121" s="68">
        <f t="shared" si="314"/>
        <v>-0.46890163824411091</v>
      </c>
      <c r="CK121" t="str">
        <f t="shared" si="324"/>
        <v>21 Science, research, engineering and technology professionals</v>
      </c>
      <c r="CL121" s="68">
        <f t="shared" si="315"/>
        <v>3.6475598587038138E-2</v>
      </c>
      <c r="CM121" s="68">
        <f t="shared" si="315"/>
        <v>8.2772049736257736E-2</v>
      </c>
      <c r="CN121" s="68">
        <f t="shared" si="315"/>
        <v>-6.4581092954052233E-2</v>
      </c>
      <c r="CO121" s="68">
        <f t="shared" si="315"/>
        <v>-9.8935336827382259E-2</v>
      </c>
      <c r="CP121" s="68">
        <f t="shared" si="316"/>
        <v>-0.16351642978143449</v>
      </c>
    </row>
    <row r="122" spans="1:94" x14ac:dyDescent="0.25">
      <c r="A122" t="str">
        <f t="shared" si="298"/>
        <v>22 Health professionals</v>
      </c>
      <c r="B122" s="27">
        <f t="shared" si="299"/>
        <v>0.74742531073175078</v>
      </c>
      <c r="C122" s="27">
        <f t="shared" si="299"/>
        <v>-4.6201065124353846E-2</v>
      </c>
      <c r="D122" s="27">
        <f t="shared" si="299"/>
        <v>0.54677201632761463</v>
      </c>
      <c r="E122" s="27">
        <f t="shared" si="299"/>
        <v>1.1207471480957354</v>
      </c>
      <c r="F122" s="27">
        <f t="shared" si="300"/>
        <v>1.66751916442335</v>
      </c>
      <c r="L122" t="str">
        <f t="shared" si="317"/>
        <v>22 Health professionals</v>
      </c>
      <c r="M122" s="27">
        <f t="shared" si="301"/>
        <v>2.2137710826727224</v>
      </c>
      <c r="N122" s="27">
        <f t="shared" si="301"/>
        <v>-5.6501072042320466E-2</v>
      </c>
      <c r="O122" s="27">
        <f t="shared" si="301"/>
        <v>1.0104296195957607</v>
      </c>
      <c r="P122" s="27">
        <f t="shared" si="301"/>
        <v>2.670235429414169</v>
      </c>
      <c r="Q122" s="27">
        <f t="shared" si="302"/>
        <v>3.6806650490099297</v>
      </c>
      <c r="W122" t="str">
        <f t="shared" si="318"/>
        <v>22 Health professionals</v>
      </c>
      <c r="X122" s="27">
        <f t="shared" si="303"/>
        <v>1.5625089699106489</v>
      </c>
      <c r="Y122" s="27">
        <f t="shared" si="303"/>
        <v>0.56654552512386935</v>
      </c>
      <c r="Z122" s="27">
        <f t="shared" si="303"/>
        <v>-0.13427725662346113</v>
      </c>
      <c r="AA122" s="27">
        <f t="shared" si="303"/>
        <v>0.32294627059064851</v>
      </c>
      <c r="AB122" s="27">
        <f t="shared" si="304"/>
        <v>0.18866901396718738</v>
      </c>
      <c r="AH122" t="str">
        <f t="shared" si="319"/>
        <v>22 Health professionals</v>
      </c>
      <c r="AI122" s="27">
        <f t="shared" si="305"/>
        <v>-0.62089566766684356</v>
      </c>
      <c r="AJ122" s="27">
        <f t="shared" si="305"/>
        <v>-7.6001689841989073E-2</v>
      </c>
      <c r="AK122" s="27">
        <f t="shared" si="305"/>
        <v>-1.5874362001514495</v>
      </c>
      <c r="AL122" s="27">
        <f t="shared" si="305"/>
        <v>-1.1351378795538289</v>
      </c>
      <c r="AM122" s="27">
        <f t="shared" si="306"/>
        <v>-2.7225740797052786</v>
      </c>
      <c r="AS122" t="str">
        <f t="shared" si="320"/>
        <v>22 Health professionals</v>
      </c>
      <c r="AT122" s="27">
        <f t="shared" si="307"/>
        <v>5.8121554567916345E-2</v>
      </c>
      <c r="AU122" s="27">
        <f t="shared" si="307"/>
        <v>7.851169175941175E-2</v>
      </c>
      <c r="AV122" s="27">
        <f t="shared" si="307"/>
        <v>-1.7946449906192097E-3</v>
      </c>
      <c r="AW122" s="27">
        <f t="shared" si="307"/>
        <v>4.2931462569045564E-2</v>
      </c>
      <c r="AX122" s="27">
        <f t="shared" si="308"/>
        <v>4.1136817578426355E-2</v>
      </c>
      <c r="BD122" t="str">
        <f t="shared" si="321"/>
        <v>22 Health professionals</v>
      </c>
      <c r="BE122" s="27">
        <f t="shared" si="309"/>
        <v>0.89074415952075947</v>
      </c>
      <c r="BF122" s="27">
        <f t="shared" si="309"/>
        <v>-0.26211284071076957</v>
      </c>
      <c r="BG122" s="27">
        <f t="shared" si="309"/>
        <v>9.4311420920781153E-2</v>
      </c>
      <c r="BH122" s="27">
        <f t="shared" si="309"/>
        <v>-0.16881541837943503</v>
      </c>
      <c r="BI122" s="27">
        <f t="shared" si="310"/>
        <v>-7.4503997458653881E-2</v>
      </c>
      <c r="BO122" t="str">
        <f t="shared" si="322"/>
        <v>22 Health professionals</v>
      </c>
      <c r="BP122" s="27">
        <f t="shared" si="311"/>
        <v>0.52281127169846409</v>
      </c>
      <c r="BQ122" s="27">
        <f t="shared" si="311"/>
        <v>-0.40567893278773948</v>
      </c>
      <c r="BR122" s="27">
        <f t="shared" si="311"/>
        <v>2.1111406636375563E-2</v>
      </c>
      <c r="BS122" s="27">
        <f t="shared" si="311"/>
        <v>-0.39349637586674757</v>
      </c>
      <c r="BT122" s="27">
        <f t="shared" si="312"/>
        <v>-0.37238496923037201</v>
      </c>
      <c r="BZ122" t="str">
        <f t="shared" si="323"/>
        <v>22 Health professionals</v>
      </c>
      <c r="CA122" s="68">
        <f t="shared" si="313"/>
        <v>0.23412535417423519</v>
      </c>
      <c r="CB122" s="68">
        <f t="shared" si="313"/>
        <v>-0.29538528665698149</v>
      </c>
      <c r="CC122" s="68">
        <f t="shared" si="313"/>
        <v>-0.17832558210758753</v>
      </c>
      <c r="CD122" s="68">
        <f t="shared" si="313"/>
        <v>-0.39351042317921509</v>
      </c>
      <c r="CE122" s="68">
        <f t="shared" si="314"/>
        <v>-0.57183600528680256</v>
      </c>
      <c r="CK122" t="str">
        <f t="shared" si="324"/>
        <v>22 Health professionals</v>
      </c>
      <c r="CL122" s="68">
        <f t="shared" si="315"/>
        <v>3.2418721693608127E-2</v>
      </c>
      <c r="CM122" s="68">
        <f t="shared" si="315"/>
        <v>6.6324803200210863E-2</v>
      </c>
      <c r="CN122" s="68">
        <f t="shared" si="315"/>
        <v>-0.11196015906849055</v>
      </c>
      <c r="CO122" s="68">
        <f t="shared" si="315"/>
        <v>-3.0411566430301851E-2</v>
      </c>
      <c r="CP122" s="68">
        <f t="shared" si="316"/>
        <v>-0.1423717254987924</v>
      </c>
    </row>
    <row r="123" spans="1:94" x14ac:dyDescent="0.25">
      <c r="A123" t="str">
        <f t="shared" si="298"/>
        <v>23 Teaching and other educational professionals</v>
      </c>
      <c r="B123" s="27">
        <f t="shared" si="299"/>
        <v>0.38881403827347949</v>
      </c>
      <c r="C123" s="27">
        <f t="shared" si="299"/>
        <v>6.2879991962846438E-2</v>
      </c>
      <c r="D123" s="27">
        <f t="shared" si="299"/>
        <v>0.29549550345665465</v>
      </c>
      <c r="E123" s="27">
        <f t="shared" si="299"/>
        <v>0.58352743898257708</v>
      </c>
      <c r="F123" s="27">
        <f t="shared" si="300"/>
        <v>0.87902294243923174</v>
      </c>
      <c r="L123" t="str">
        <f t="shared" si="317"/>
        <v>23 Teaching and other educational professionals</v>
      </c>
      <c r="M123" s="27">
        <f t="shared" si="301"/>
        <v>2.6164978770313727</v>
      </c>
      <c r="N123" s="27">
        <f t="shared" si="301"/>
        <v>0.49632601972778367</v>
      </c>
      <c r="O123" s="27">
        <f t="shared" si="301"/>
        <v>1.5493631013465112</v>
      </c>
      <c r="P123" s="27">
        <f t="shared" si="301"/>
        <v>3.2639824434401188</v>
      </c>
      <c r="Q123" s="27">
        <f t="shared" si="302"/>
        <v>4.81334554478663</v>
      </c>
      <c r="W123" t="str">
        <f t="shared" si="318"/>
        <v>23 Teaching and other educational professionals</v>
      </c>
      <c r="X123" s="27">
        <f t="shared" si="303"/>
        <v>-1.2921325383295681</v>
      </c>
      <c r="Y123" s="27">
        <f t="shared" si="303"/>
        <v>0.62768412929722039</v>
      </c>
      <c r="Z123" s="27">
        <f t="shared" si="303"/>
        <v>-1.3208965895733975</v>
      </c>
      <c r="AA123" s="27">
        <f t="shared" si="303"/>
        <v>-1.283432809874947</v>
      </c>
      <c r="AB123" s="27">
        <f t="shared" si="304"/>
        <v>-2.6043293994483445</v>
      </c>
      <c r="AH123" t="str">
        <f t="shared" si="319"/>
        <v>23 Teaching and other educational professionals</v>
      </c>
      <c r="AI123" s="27">
        <f t="shared" si="305"/>
        <v>-0.45467886905371829</v>
      </c>
      <c r="AJ123" s="27">
        <f t="shared" si="305"/>
        <v>-8.0411933848039685E-3</v>
      </c>
      <c r="AK123" s="27">
        <f t="shared" si="305"/>
        <v>-0.20408321366177076</v>
      </c>
      <c r="AL123" s="27">
        <f t="shared" si="305"/>
        <v>-2.7611687299317067E-3</v>
      </c>
      <c r="AM123" s="27">
        <f t="shared" si="306"/>
        <v>-0.20684438239170247</v>
      </c>
      <c r="AS123" t="str">
        <f t="shared" si="320"/>
        <v>23 Teaching and other educational professionals</v>
      </c>
      <c r="AT123" s="27">
        <f t="shared" si="307"/>
        <v>-4.508421268676957E-2</v>
      </c>
      <c r="AU123" s="27">
        <f t="shared" si="307"/>
        <v>2.5225336824249017E-2</v>
      </c>
      <c r="AV123" s="27">
        <f t="shared" si="307"/>
        <v>-4.9433649976776461E-2</v>
      </c>
      <c r="AW123" s="27">
        <f t="shared" si="307"/>
        <v>-2.8707224904944054E-2</v>
      </c>
      <c r="AX123" s="27">
        <f t="shared" si="308"/>
        <v>-7.8140874881720515E-2</v>
      </c>
      <c r="BD123" t="str">
        <f t="shared" si="321"/>
        <v>23 Teaching and other educational professionals</v>
      </c>
      <c r="BE123" s="27">
        <f t="shared" si="309"/>
        <v>2.0926791195398753E-2</v>
      </c>
      <c r="BF123" s="27">
        <f t="shared" si="309"/>
        <v>7.0088690593415826E-2</v>
      </c>
      <c r="BG123" s="27">
        <f t="shared" si="309"/>
        <v>-8.7485687842541959E-2</v>
      </c>
      <c r="BH123" s="27">
        <f t="shared" si="309"/>
        <v>4.9394053725170251E-3</v>
      </c>
      <c r="BI123" s="27">
        <f t="shared" si="310"/>
        <v>-8.2546282470024934E-2</v>
      </c>
      <c r="BO123" t="str">
        <f t="shared" si="322"/>
        <v>23 Teaching and other educational professionals</v>
      </c>
      <c r="BP123" s="27">
        <f t="shared" si="311"/>
        <v>-2.2828104317612619E-3</v>
      </c>
      <c r="BQ123" s="27">
        <f t="shared" si="311"/>
        <v>-7.5321331093075816E-2</v>
      </c>
      <c r="BR123" s="27">
        <f t="shared" si="311"/>
        <v>-7.3258890773824747E-2</v>
      </c>
      <c r="BS123" s="27">
        <f t="shared" si="311"/>
        <v>-0.1524950163864246</v>
      </c>
      <c r="BT123" s="27">
        <f t="shared" si="312"/>
        <v>-0.22575390716024935</v>
      </c>
      <c r="BZ123" t="str">
        <f t="shared" si="323"/>
        <v>23 Teaching and other educational professionals</v>
      </c>
      <c r="CA123" s="68">
        <f t="shared" si="313"/>
        <v>-1.5040280265789407E-2</v>
      </c>
      <c r="CB123" s="68">
        <f t="shared" si="313"/>
        <v>3.3310942483935624E-3</v>
      </c>
      <c r="CC123" s="68">
        <f t="shared" si="313"/>
        <v>-0.10011615982149619</v>
      </c>
      <c r="CD123" s="68">
        <f t="shared" si="313"/>
        <v>-0.16111462491616599</v>
      </c>
      <c r="CE123" s="68">
        <f t="shared" si="314"/>
        <v>-0.26123078473766215</v>
      </c>
      <c r="CK123" t="str">
        <f t="shared" si="324"/>
        <v>23 Teaching and other educational professionals</v>
      </c>
      <c r="CL123" s="68">
        <f t="shared" si="315"/>
        <v>8.2030937566417716E-3</v>
      </c>
      <c r="CM123" s="68">
        <f t="shared" si="315"/>
        <v>5.8847250171998461E-2</v>
      </c>
      <c r="CN123" s="68">
        <f t="shared" si="315"/>
        <v>-6.6509638445579083E-2</v>
      </c>
      <c r="CO123" s="68">
        <f t="shared" si="315"/>
        <v>-2.8274772518243341E-2</v>
      </c>
      <c r="CP123" s="68">
        <f t="shared" si="316"/>
        <v>-9.4784410963822424E-2</v>
      </c>
    </row>
    <row r="124" spans="1:94" x14ac:dyDescent="0.25">
      <c r="A124" t="str">
        <f t="shared" si="298"/>
        <v>24 Business, media and public service professionals</v>
      </c>
      <c r="B124" s="27">
        <f t="shared" si="299"/>
        <v>0.12781826345296093</v>
      </c>
      <c r="C124" s="27">
        <f t="shared" si="299"/>
        <v>7.1001160458013524E-3</v>
      </c>
      <c r="D124" s="27">
        <f t="shared" si="299"/>
        <v>0.14266061513998363</v>
      </c>
      <c r="E124" s="27">
        <f t="shared" si="299"/>
        <v>0.32792720336063297</v>
      </c>
      <c r="F124" s="27">
        <f t="shared" si="300"/>
        <v>0.47058781850061659</v>
      </c>
      <c r="L124" t="str">
        <f t="shared" si="317"/>
        <v>24 Business, media and public service professionals</v>
      </c>
      <c r="M124" s="27">
        <f t="shared" si="301"/>
        <v>1.7706885959511673</v>
      </c>
      <c r="N124" s="27">
        <f t="shared" si="301"/>
        <v>2.641952615434473E-2</v>
      </c>
      <c r="O124" s="27">
        <f t="shared" si="301"/>
        <v>1.3083066435286863</v>
      </c>
      <c r="P124" s="27">
        <f t="shared" si="301"/>
        <v>2.7417887972007868</v>
      </c>
      <c r="Q124" s="27">
        <f t="shared" si="302"/>
        <v>4.0500954407294731</v>
      </c>
      <c r="W124" t="str">
        <f t="shared" si="318"/>
        <v>24 Business, media and public service professionals</v>
      </c>
      <c r="X124" s="27">
        <f t="shared" si="303"/>
        <v>-5.0126751548660309E-2</v>
      </c>
      <c r="Y124" s="27">
        <f t="shared" si="303"/>
        <v>1.4873864923142843</v>
      </c>
      <c r="Z124" s="27">
        <f t="shared" si="303"/>
        <v>7.043682299815579E-2</v>
      </c>
      <c r="AA124" s="27">
        <f t="shared" si="303"/>
        <v>0.80124782794450233</v>
      </c>
      <c r="AB124" s="27">
        <f t="shared" si="304"/>
        <v>0.87168465094265812</v>
      </c>
      <c r="AH124" t="str">
        <f t="shared" si="319"/>
        <v>24 Business, media and public service professionals</v>
      </c>
      <c r="AI124" s="27">
        <f t="shared" si="305"/>
        <v>-9.4564834378098483E-2</v>
      </c>
      <c r="AJ124" s="27">
        <f t="shared" si="305"/>
        <v>0.17839833624080659</v>
      </c>
      <c r="AK124" s="27">
        <f t="shared" si="305"/>
        <v>-0.12130471999936565</v>
      </c>
      <c r="AL124" s="27">
        <f t="shared" si="305"/>
        <v>2.0422101233127155E-2</v>
      </c>
      <c r="AM124" s="27">
        <f t="shared" si="306"/>
        <v>-0.1008826187662385</v>
      </c>
      <c r="AS124" t="str">
        <f t="shared" si="320"/>
        <v>24 Business, media and public service professionals</v>
      </c>
      <c r="AT124" s="27">
        <f t="shared" si="307"/>
        <v>-7.7642044229649265E-2</v>
      </c>
      <c r="AU124" s="27">
        <f t="shared" si="307"/>
        <v>0.24580214451902993</v>
      </c>
      <c r="AV124" s="27">
        <f t="shared" si="307"/>
        <v>-1.1657244732412586E-2</v>
      </c>
      <c r="AW124" s="27">
        <f t="shared" si="307"/>
        <v>0.12753151593647183</v>
      </c>
      <c r="AX124" s="27">
        <f t="shared" si="308"/>
        <v>0.11587427120405924</v>
      </c>
      <c r="BD124" t="str">
        <f t="shared" si="321"/>
        <v>24 Business, media and public service professionals</v>
      </c>
      <c r="BE124" s="27">
        <f t="shared" si="309"/>
        <v>0.68963535457982461</v>
      </c>
      <c r="BF124" s="27">
        <f t="shared" si="309"/>
        <v>0.39954223685708623</v>
      </c>
      <c r="BG124" s="27">
        <f t="shared" si="309"/>
        <v>0.24504893010968409</v>
      </c>
      <c r="BH124" s="27">
        <f t="shared" si="309"/>
        <v>0.41521587264179871</v>
      </c>
      <c r="BI124" s="27">
        <f t="shared" si="310"/>
        <v>0.6602648027514828</v>
      </c>
      <c r="BO124" t="str">
        <f t="shared" si="322"/>
        <v>24 Business, media and public service professionals</v>
      </c>
      <c r="BP124" s="27">
        <f t="shared" si="311"/>
        <v>0.21391904508051995</v>
      </c>
      <c r="BQ124" s="27">
        <f t="shared" si="311"/>
        <v>-4.8220332728873938E-2</v>
      </c>
      <c r="BR124" s="27">
        <f t="shared" si="311"/>
        <v>-3.7561589269481832E-2</v>
      </c>
      <c r="BS124" s="27">
        <f t="shared" si="311"/>
        <v>-0.37305283352874241</v>
      </c>
      <c r="BT124" s="27">
        <f t="shared" si="312"/>
        <v>-0.41061442279822424</v>
      </c>
      <c r="BZ124" t="str">
        <f t="shared" si="323"/>
        <v>24 Business, media and public service professionals</v>
      </c>
      <c r="CA124" s="68">
        <f t="shared" si="313"/>
        <v>5.8028998637586593E-2</v>
      </c>
      <c r="CB124" s="68">
        <f t="shared" si="313"/>
        <v>9.011872975177182E-2</v>
      </c>
      <c r="CC124" s="68">
        <f t="shared" si="313"/>
        <v>-0.25374837206162759</v>
      </c>
      <c r="CD124" s="68">
        <f t="shared" si="313"/>
        <v>-0.53229021269139876</v>
      </c>
      <c r="CE124" s="68">
        <f t="shared" si="314"/>
        <v>-0.78603858475302635</v>
      </c>
      <c r="CK124" t="str">
        <f t="shared" si="324"/>
        <v>24 Business, media and public service professionals</v>
      </c>
      <c r="CL124" s="68">
        <f t="shared" si="315"/>
        <v>1.238327525513605E-2</v>
      </c>
      <c r="CM124" s="68">
        <f t="shared" si="315"/>
        <v>0.1148785492159009</v>
      </c>
      <c r="CN124" s="68">
        <f t="shared" si="315"/>
        <v>-0.18273204357930251</v>
      </c>
      <c r="CO124" s="68">
        <f t="shared" si="315"/>
        <v>-0.11190841685603636</v>
      </c>
      <c r="CP124" s="68">
        <f t="shared" si="316"/>
        <v>-0.29464046043533887</v>
      </c>
    </row>
    <row r="125" spans="1:94" x14ac:dyDescent="0.25">
      <c r="A125" t="str">
        <f t="shared" si="298"/>
        <v>31 Science, engineering and technology associate professionals</v>
      </c>
      <c r="B125" s="27">
        <f t="shared" si="299"/>
        <v>3.1010642247252238E-2</v>
      </c>
      <c r="C125" s="27">
        <f t="shared" si="299"/>
        <v>-7.1764087405057353E-3</v>
      </c>
      <c r="D125" s="27">
        <f t="shared" si="299"/>
        <v>3.3826249555593685E-2</v>
      </c>
      <c r="E125" s="27">
        <f t="shared" si="299"/>
        <v>0.11037029199699655</v>
      </c>
      <c r="F125" s="27">
        <f t="shared" si="300"/>
        <v>0.14419654155259023</v>
      </c>
      <c r="L125" t="str">
        <f t="shared" si="317"/>
        <v>31 Science, engineering and technology associate professionals</v>
      </c>
      <c r="M125" s="27">
        <f t="shared" si="301"/>
        <v>0.26037285251480069</v>
      </c>
      <c r="N125" s="27">
        <f t="shared" si="301"/>
        <v>-4.5798322522685675E-2</v>
      </c>
      <c r="O125" s="27">
        <f t="shared" si="301"/>
        <v>0.11681405436137338</v>
      </c>
      <c r="P125" s="27">
        <f t="shared" si="301"/>
        <v>0.42031973984657478</v>
      </c>
      <c r="Q125" s="27">
        <f t="shared" si="302"/>
        <v>0.53713379420794816</v>
      </c>
      <c r="W125" t="str">
        <f t="shared" si="318"/>
        <v>31 Science, engineering and technology associate professionals</v>
      </c>
      <c r="X125" s="27">
        <f t="shared" si="303"/>
        <v>-4.9016400456460829E-2</v>
      </c>
      <c r="Y125" s="27">
        <f t="shared" si="303"/>
        <v>0.18108195818435591</v>
      </c>
      <c r="Z125" s="27">
        <f t="shared" si="303"/>
        <v>-9.2394956346335544E-2</v>
      </c>
      <c r="AA125" s="27">
        <f t="shared" si="303"/>
        <v>0.18576849863071598</v>
      </c>
      <c r="AB125" s="27">
        <f t="shared" si="304"/>
        <v>9.337354228438044E-2</v>
      </c>
      <c r="AH125" t="str">
        <f t="shared" si="319"/>
        <v>31 Science, engineering and technology associate professionals</v>
      </c>
      <c r="AI125" s="27">
        <f t="shared" si="305"/>
        <v>1.5161411762061761E-2</v>
      </c>
      <c r="AJ125" s="27">
        <f t="shared" si="305"/>
        <v>5.8099091958030813E-2</v>
      </c>
      <c r="AK125" s="27">
        <f t="shared" si="305"/>
        <v>9.4581725867481925E-4</v>
      </c>
      <c r="AL125" s="27">
        <f t="shared" si="305"/>
        <v>0.11040807323235985</v>
      </c>
      <c r="AM125" s="27">
        <f t="shared" si="306"/>
        <v>0.11135389049103467</v>
      </c>
      <c r="AS125" t="str">
        <f t="shared" si="320"/>
        <v>31 Science, engineering and technology associate professionals</v>
      </c>
      <c r="AT125" s="27">
        <f t="shared" si="307"/>
        <v>-5.5905939342377642E-2</v>
      </c>
      <c r="AU125" s="27">
        <f t="shared" si="307"/>
        <v>6.9638635084504186E-2</v>
      </c>
      <c r="AV125" s="27">
        <f t="shared" si="307"/>
        <v>-0.14753685274807249</v>
      </c>
      <c r="AW125" s="27">
        <f t="shared" si="307"/>
        <v>-1.6912534930936585E-2</v>
      </c>
      <c r="AX125" s="27">
        <f t="shared" si="308"/>
        <v>-0.16444938767900907</v>
      </c>
      <c r="BD125" t="str">
        <f t="shared" si="321"/>
        <v>31 Science, engineering and technology associate professionals</v>
      </c>
      <c r="BE125" s="27">
        <f t="shared" si="309"/>
        <v>1.3826828234726918E-2</v>
      </c>
      <c r="BF125" s="27">
        <f t="shared" si="309"/>
        <v>0.12438588780916704</v>
      </c>
      <c r="BG125" s="27">
        <f t="shared" si="309"/>
        <v>-0.24283457978850653</v>
      </c>
      <c r="BH125" s="27">
        <f t="shared" si="309"/>
        <v>-0.18589052977570342</v>
      </c>
      <c r="BI125" s="27">
        <f t="shared" si="310"/>
        <v>-0.42872510956420995</v>
      </c>
      <c r="BO125" t="str">
        <f t="shared" si="322"/>
        <v>31 Science, engineering and technology associate professionals</v>
      </c>
      <c r="BP125" s="27">
        <f t="shared" si="311"/>
        <v>0.16850709284396892</v>
      </c>
      <c r="BQ125" s="27">
        <f t="shared" si="311"/>
        <v>2.8752483159619979E-2</v>
      </c>
      <c r="BR125" s="27">
        <f t="shared" si="311"/>
        <v>-6.7452308603186628E-2</v>
      </c>
      <c r="BS125" s="27">
        <f t="shared" si="311"/>
        <v>-5.0699592946249039E-2</v>
      </c>
      <c r="BT125" s="27">
        <f t="shared" si="312"/>
        <v>-0.11815190154943567</v>
      </c>
      <c r="BZ125" t="str">
        <f t="shared" si="323"/>
        <v>31 Science, engineering and technology associate professionals</v>
      </c>
      <c r="CA125" s="68">
        <f t="shared" si="313"/>
        <v>3.5363148472717376E-2</v>
      </c>
      <c r="CB125" s="68">
        <f t="shared" si="313"/>
        <v>0.14675325288136476</v>
      </c>
      <c r="CC125" s="68">
        <f t="shared" si="313"/>
        <v>-0.22938756396683491</v>
      </c>
      <c r="CD125" s="68">
        <f t="shared" si="313"/>
        <v>-0.19071185715249728</v>
      </c>
      <c r="CE125" s="68">
        <f t="shared" si="314"/>
        <v>-0.42009942111933218</v>
      </c>
      <c r="CK125" t="str">
        <f t="shared" si="324"/>
        <v>31 Science, engineering and technology associate professionals</v>
      </c>
      <c r="CL125" s="68">
        <f t="shared" si="315"/>
        <v>1.8864340260352136E-2</v>
      </c>
      <c r="CM125" s="68">
        <f t="shared" si="315"/>
        <v>7.8346442646675785E-2</v>
      </c>
      <c r="CN125" s="68">
        <f t="shared" si="315"/>
        <v>-6.9264944335208856E-2</v>
      </c>
      <c r="CO125" s="68">
        <f t="shared" si="315"/>
        <v>3.1048303693711421E-2</v>
      </c>
      <c r="CP125" s="68">
        <f t="shared" si="316"/>
        <v>-3.8216640641497435E-2</v>
      </c>
    </row>
    <row r="126" spans="1:94" x14ac:dyDescent="0.25">
      <c r="A126" t="str">
        <f t="shared" si="298"/>
        <v>32 Health and social care associate professionals</v>
      </c>
      <c r="B126" s="27">
        <f t="shared" si="299"/>
        <v>1.5158956908103718E-2</v>
      </c>
      <c r="C126" s="27">
        <f t="shared" si="299"/>
        <v>-4.5862855894201401E-3</v>
      </c>
      <c r="D126" s="27">
        <f t="shared" si="299"/>
        <v>4.5057967225686772E-2</v>
      </c>
      <c r="E126" s="27">
        <f t="shared" si="299"/>
        <v>9.6124800582378073E-2</v>
      </c>
      <c r="F126" s="27">
        <f t="shared" si="300"/>
        <v>0.14118276780806485</v>
      </c>
      <c r="L126" t="str">
        <f t="shared" si="317"/>
        <v>32 Health and social care associate professionals</v>
      </c>
      <c r="M126" s="27">
        <f t="shared" si="301"/>
        <v>0.50257254591037481</v>
      </c>
      <c r="N126" s="27">
        <f t="shared" si="301"/>
        <v>2.7248514974962834E-2</v>
      </c>
      <c r="O126" s="27">
        <f t="shared" si="301"/>
        <v>1.3518091933657754</v>
      </c>
      <c r="P126" s="27">
        <f t="shared" si="301"/>
        <v>2.3464685551604001</v>
      </c>
      <c r="Q126" s="27">
        <f t="shared" si="302"/>
        <v>3.6982777485261753</v>
      </c>
      <c r="W126" t="str">
        <f t="shared" si="318"/>
        <v>32 Health and social care associate professionals</v>
      </c>
      <c r="X126" s="27">
        <f t="shared" si="303"/>
        <v>0.5704043742445184</v>
      </c>
      <c r="Y126" s="27">
        <f t="shared" si="303"/>
        <v>0.34491486546158789</v>
      </c>
      <c r="Z126" s="27">
        <f t="shared" si="303"/>
        <v>2.5061283986972556</v>
      </c>
      <c r="AA126" s="27">
        <f t="shared" si="303"/>
        <v>1.747833949550988</v>
      </c>
      <c r="AB126" s="27">
        <f t="shared" si="304"/>
        <v>4.253962348248244</v>
      </c>
      <c r="AH126" t="str">
        <f t="shared" si="319"/>
        <v>32 Health and social care associate professionals</v>
      </c>
      <c r="AI126" s="27">
        <f t="shared" si="305"/>
        <v>-0.12855962824275791</v>
      </c>
      <c r="AJ126" s="27">
        <f t="shared" si="305"/>
        <v>9.1231966017959021E-2</v>
      </c>
      <c r="AK126" s="27">
        <f t="shared" si="305"/>
        <v>0.23581868299811193</v>
      </c>
      <c r="AL126" s="27">
        <f t="shared" si="305"/>
        <v>-0.75811520416160016</v>
      </c>
      <c r="AM126" s="27">
        <f t="shared" si="306"/>
        <v>-0.52229652116348824</v>
      </c>
      <c r="AS126" t="str">
        <f t="shared" si="320"/>
        <v>32 Health and social care associate professionals</v>
      </c>
      <c r="AT126" s="27">
        <f t="shared" si="307"/>
        <v>3.587977354625993E-2</v>
      </c>
      <c r="AU126" s="27">
        <f t="shared" si="307"/>
        <v>6.9920148050161612E-2</v>
      </c>
      <c r="AV126" s="27">
        <f t="shared" si="307"/>
        <v>0.22353573982434172</v>
      </c>
      <c r="AW126" s="27">
        <f t="shared" si="307"/>
        <v>0.13085592582064276</v>
      </c>
      <c r="AX126" s="27">
        <f t="shared" si="308"/>
        <v>0.35439166564498448</v>
      </c>
      <c r="BD126" t="str">
        <f t="shared" si="321"/>
        <v>32 Health and social care associate professionals</v>
      </c>
      <c r="BE126" s="27">
        <f t="shared" si="309"/>
        <v>0.58919060742985829</v>
      </c>
      <c r="BF126" s="27">
        <f t="shared" si="309"/>
        <v>-0.1135250139149464</v>
      </c>
      <c r="BG126" s="27">
        <f t="shared" si="309"/>
        <v>1.3558694852099304</v>
      </c>
      <c r="BH126" s="27">
        <f t="shared" si="309"/>
        <v>0.37198290616187002</v>
      </c>
      <c r="BI126" s="27">
        <f t="shared" si="310"/>
        <v>1.7278523913718005</v>
      </c>
      <c r="BO126" t="str">
        <f t="shared" si="322"/>
        <v>32 Health and social care associate professionals</v>
      </c>
      <c r="BP126" s="27">
        <f t="shared" si="311"/>
        <v>0.32991225695326643</v>
      </c>
      <c r="BQ126" s="27">
        <f t="shared" si="311"/>
        <v>-0.29490578084783392</v>
      </c>
      <c r="BR126" s="27">
        <f t="shared" si="311"/>
        <v>0.86385373228947149</v>
      </c>
      <c r="BS126" s="27">
        <f t="shared" si="311"/>
        <v>-0.31590632772790506</v>
      </c>
      <c r="BT126" s="27">
        <f t="shared" si="312"/>
        <v>0.54794740456156643</v>
      </c>
      <c r="BZ126" t="str">
        <f t="shared" si="323"/>
        <v>32 Health and social care associate professionals</v>
      </c>
      <c r="CA126" s="68">
        <f t="shared" si="313"/>
        <v>6.5244018781045465E-3</v>
      </c>
      <c r="CB126" s="68">
        <f t="shared" si="313"/>
        <v>-9.3825693989955994E-2</v>
      </c>
      <c r="CC126" s="68">
        <f t="shared" si="313"/>
        <v>9.1443822255254381E-2</v>
      </c>
      <c r="CD126" s="68">
        <f t="shared" si="313"/>
        <v>-0.23151674312297998</v>
      </c>
      <c r="CE126" s="68">
        <f t="shared" si="314"/>
        <v>-0.1400729208677256</v>
      </c>
      <c r="CK126" t="str">
        <f t="shared" si="324"/>
        <v>32 Health and social care associate professionals</v>
      </c>
      <c r="CL126" s="68">
        <f t="shared" si="315"/>
        <v>2.7567238169293601E-3</v>
      </c>
      <c r="CM126" s="68">
        <f t="shared" si="315"/>
        <v>1.8681214867230497E-2</v>
      </c>
      <c r="CN126" s="68">
        <f t="shared" si="315"/>
        <v>4.7483708250590784E-3</v>
      </c>
      <c r="CO126" s="68">
        <f t="shared" si="315"/>
        <v>-1.2055387414284718E-2</v>
      </c>
      <c r="CP126" s="68">
        <f t="shared" si="316"/>
        <v>-7.30701658922564E-3</v>
      </c>
    </row>
    <row r="127" spans="1:94" x14ac:dyDescent="0.25">
      <c r="A127" t="str">
        <f t="shared" si="298"/>
        <v>33 Protective service occupations</v>
      </c>
      <c r="B127" s="27">
        <f t="shared" si="299"/>
        <v>8.2797415362754027E-3</v>
      </c>
      <c r="C127" s="27">
        <f t="shared" si="299"/>
        <v>-2.4912337841820446E-3</v>
      </c>
      <c r="D127" s="27">
        <f t="shared" si="299"/>
        <v>5.2596634046908342E-3</v>
      </c>
      <c r="E127" s="27">
        <f t="shared" si="299"/>
        <v>2.0256358175355038E-2</v>
      </c>
      <c r="F127" s="27">
        <f t="shared" si="300"/>
        <v>2.5516021580045872E-2</v>
      </c>
      <c r="L127" t="str">
        <f t="shared" si="317"/>
        <v>33 Protective service occupations</v>
      </c>
      <c r="M127" s="27">
        <f t="shared" si="301"/>
        <v>7.7560642962659437E-2</v>
      </c>
      <c r="N127" s="27">
        <f t="shared" si="301"/>
        <v>-2.2454814075840934E-2</v>
      </c>
      <c r="O127" s="27">
        <f t="shared" si="301"/>
        <v>2.750633931568125E-2</v>
      </c>
      <c r="P127" s="27">
        <f t="shared" si="301"/>
        <v>0.18430649507585911</v>
      </c>
      <c r="Q127" s="27">
        <f t="shared" si="302"/>
        <v>0.21181283439154036</v>
      </c>
      <c r="W127" t="str">
        <f t="shared" si="318"/>
        <v>33 Protective service occupations</v>
      </c>
      <c r="X127" s="27">
        <f t="shared" si="303"/>
        <v>1.4875309670562276E-3</v>
      </c>
      <c r="Y127" s="27">
        <f t="shared" si="303"/>
        <v>0.16677253625052024</v>
      </c>
      <c r="Z127" s="27">
        <f t="shared" si="303"/>
        <v>-9.8833541172495432E-2</v>
      </c>
      <c r="AA127" s="27">
        <f t="shared" si="303"/>
        <v>0.39549013049603254</v>
      </c>
      <c r="AB127" s="27">
        <f t="shared" si="304"/>
        <v>0.29665658932353711</v>
      </c>
      <c r="AH127" t="str">
        <f t="shared" si="319"/>
        <v>33 Protective service occupations</v>
      </c>
      <c r="AI127" s="27">
        <f t="shared" si="305"/>
        <v>-6.7567430333435041E-3</v>
      </c>
      <c r="AJ127" s="27">
        <f t="shared" si="305"/>
        <v>4.4911880794468728E-2</v>
      </c>
      <c r="AK127" s="27">
        <f t="shared" si="305"/>
        <v>-2.1483553747204898E-2</v>
      </c>
      <c r="AL127" s="27">
        <f t="shared" si="305"/>
        <v>0.11398377188683312</v>
      </c>
      <c r="AM127" s="27">
        <f t="shared" si="306"/>
        <v>9.2500218139628221E-2</v>
      </c>
      <c r="AS127" t="str">
        <f t="shared" si="320"/>
        <v>33 Protective service occupations</v>
      </c>
      <c r="AT127" s="27">
        <f t="shared" si="307"/>
        <v>-2.8933950839570149E-2</v>
      </c>
      <c r="AU127" s="27">
        <f t="shared" si="307"/>
        <v>3.029134673359804E-2</v>
      </c>
      <c r="AV127" s="27">
        <f t="shared" si="307"/>
        <v>-4.9399109702951666E-2</v>
      </c>
      <c r="AW127" s="27">
        <f t="shared" si="307"/>
        <v>3.8116241034011927E-2</v>
      </c>
      <c r="AX127" s="27">
        <f t="shared" si="308"/>
        <v>-1.1282868668939738E-2</v>
      </c>
      <c r="BD127" t="str">
        <f t="shared" si="321"/>
        <v>33 Protective service occupations</v>
      </c>
      <c r="BE127" s="27">
        <f t="shared" si="309"/>
        <v>-2.0421717352167024E-2</v>
      </c>
      <c r="BF127" s="27">
        <f t="shared" si="309"/>
        <v>4.5014262618580325E-2</v>
      </c>
      <c r="BG127" s="27">
        <f t="shared" si="309"/>
        <v>-0.13842065008747773</v>
      </c>
      <c r="BH127" s="27">
        <f t="shared" si="309"/>
        <v>-3.8043204065003056E-2</v>
      </c>
      <c r="BI127" s="27">
        <f t="shared" si="310"/>
        <v>-0.17646385415248078</v>
      </c>
      <c r="BO127" t="str">
        <f t="shared" si="322"/>
        <v>33 Protective service occupations</v>
      </c>
      <c r="BP127" s="27">
        <f t="shared" si="311"/>
        <v>3.7351080032880013E-2</v>
      </c>
      <c r="BQ127" s="27">
        <f t="shared" si="311"/>
        <v>-3.2212066717069776E-2</v>
      </c>
      <c r="BR127" s="27">
        <f t="shared" si="311"/>
        <v>-0.16631678463486543</v>
      </c>
      <c r="BS127" s="27">
        <f t="shared" si="311"/>
        <v>-0.1558322202363922</v>
      </c>
      <c r="BT127" s="27">
        <f t="shared" si="312"/>
        <v>-0.32214900487125764</v>
      </c>
      <c r="BZ127" t="str">
        <f t="shared" si="323"/>
        <v>33 Protective service occupations</v>
      </c>
      <c r="CA127" s="68">
        <f t="shared" si="313"/>
        <v>-4.8531458214025158E-2</v>
      </c>
      <c r="CB127" s="68">
        <f t="shared" si="313"/>
        <v>1.7028677476679466E-2</v>
      </c>
      <c r="CC127" s="68">
        <f t="shared" si="313"/>
        <v>-0.1486126802425855</v>
      </c>
      <c r="CD127" s="68">
        <f t="shared" si="313"/>
        <v>-0.14320957781843974</v>
      </c>
      <c r="CE127" s="68">
        <f t="shared" si="314"/>
        <v>-0.29182225806102524</v>
      </c>
      <c r="CK127" t="str">
        <f t="shared" si="324"/>
        <v>33 Protective service occupations</v>
      </c>
      <c r="CL127" s="68">
        <f t="shared" si="315"/>
        <v>-3.7449830895715713E-2</v>
      </c>
      <c r="CM127" s="68">
        <f t="shared" si="315"/>
        <v>1.3452462526090003E-2</v>
      </c>
      <c r="CN127" s="68">
        <f t="shared" si="315"/>
        <v>-3.8859969655386878E-2</v>
      </c>
      <c r="CO127" s="68">
        <f t="shared" si="315"/>
        <v>-2.1304011951253921E-2</v>
      </c>
      <c r="CP127" s="68">
        <f t="shared" si="316"/>
        <v>-6.0163981606640798E-2</v>
      </c>
    </row>
    <row r="128" spans="1:94" x14ac:dyDescent="0.25">
      <c r="A128" t="str">
        <f t="shared" si="298"/>
        <v>34 Culture, media and sports occupations</v>
      </c>
      <c r="B128" s="27">
        <f t="shared" si="299"/>
        <v>2.2662242561650781E-2</v>
      </c>
      <c r="C128" s="27">
        <f t="shared" si="299"/>
        <v>1.7233354742279827E-3</v>
      </c>
      <c r="D128" s="27">
        <f t="shared" si="299"/>
        <v>1.2741245792855294E-2</v>
      </c>
      <c r="E128" s="27">
        <f t="shared" si="299"/>
        <v>3.8426409250247553E-2</v>
      </c>
      <c r="F128" s="27">
        <f t="shared" si="300"/>
        <v>5.1167655043102847E-2</v>
      </c>
      <c r="L128" t="str">
        <f t="shared" si="317"/>
        <v>34 Culture, media and sports occupations</v>
      </c>
      <c r="M128" s="27">
        <f t="shared" si="301"/>
        <v>0.35049533448220349</v>
      </c>
      <c r="N128" s="27">
        <f t="shared" si="301"/>
        <v>-3.8439556165472677E-3</v>
      </c>
      <c r="O128" s="27">
        <f t="shared" si="301"/>
        <v>2.4160507990493407E-2</v>
      </c>
      <c r="P128" s="27">
        <f t="shared" si="301"/>
        <v>0.45768047995170402</v>
      </c>
      <c r="Q128" s="27">
        <f t="shared" si="302"/>
        <v>0.48184098794219743</v>
      </c>
      <c r="W128" t="str">
        <f t="shared" si="318"/>
        <v>34 Culture, media and sports occupations</v>
      </c>
      <c r="X128" s="27">
        <f t="shared" si="303"/>
        <v>-0.19393580997126225</v>
      </c>
      <c r="Y128" s="27">
        <f t="shared" si="303"/>
        <v>0.14465429918085526</v>
      </c>
      <c r="Z128" s="27">
        <f t="shared" si="303"/>
        <v>-0.39005514192151214</v>
      </c>
      <c r="AA128" s="27">
        <f t="shared" si="303"/>
        <v>0.18606515609326868</v>
      </c>
      <c r="AB128" s="27">
        <f t="shared" si="304"/>
        <v>-0.20398998582824346</v>
      </c>
      <c r="AH128" t="str">
        <f t="shared" si="319"/>
        <v>34 Culture, media and sports occupations</v>
      </c>
      <c r="AI128" s="27">
        <f t="shared" si="305"/>
        <v>-7.4978782444692693E-2</v>
      </c>
      <c r="AJ128" s="27">
        <f t="shared" si="305"/>
        <v>7.1290605262548878E-2</v>
      </c>
      <c r="AK128" s="27">
        <f t="shared" si="305"/>
        <v>-4.4382395719147372E-2</v>
      </c>
      <c r="AL128" s="27">
        <f t="shared" si="305"/>
        <v>0.10433618533688727</v>
      </c>
      <c r="AM128" s="27">
        <f t="shared" si="306"/>
        <v>5.9953789617739894E-2</v>
      </c>
      <c r="AS128" t="str">
        <f t="shared" si="320"/>
        <v>34 Culture, media and sports occupations</v>
      </c>
      <c r="AT128" s="27">
        <f t="shared" si="307"/>
        <v>-5.2715563891945316E-2</v>
      </c>
      <c r="AU128" s="27">
        <f t="shared" si="307"/>
        <v>2.2787397297930556E-2</v>
      </c>
      <c r="AV128" s="27">
        <f t="shared" si="307"/>
        <v>-8.2429707399411911E-2</v>
      </c>
      <c r="AW128" s="27">
        <f t="shared" si="307"/>
        <v>1.1770756364664181E-2</v>
      </c>
      <c r="AX128" s="27">
        <f t="shared" si="308"/>
        <v>-7.065895103474773E-2</v>
      </c>
      <c r="BD128" t="str">
        <f t="shared" si="321"/>
        <v>34 Culture, media and sports occupations</v>
      </c>
      <c r="BE128" s="27">
        <f t="shared" si="309"/>
        <v>4.3522185360805876E-2</v>
      </c>
      <c r="BF128" s="27">
        <f t="shared" si="309"/>
        <v>4.3880986001726185E-2</v>
      </c>
      <c r="BG128" s="27">
        <f t="shared" si="309"/>
        <v>-0.18622240841184645</v>
      </c>
      <c r="BH128" s="27">
        <f t="shared" si="309"/>
        <v>0.11986731012719587</v>
      </c>
      <c r="BI128" s="27">
        <f t="shared" si="310"/>
        <v>-6.6355098284650582E-2</v>
      </c>
      <c r="BO128" t="str">
        <f t="shared" si="322"/>
        <v>34 Culture, media and sports occupations</v>
      </c>
      <c r="BP128" s="27">
        <f t="shared" si="311"/>
        <v>-4.9257423336121708E-2</v>
      </c>
      <c r="BQ128" s="27">
        <f t="shared" si="311"/>
        <v>-7.1654045430568969E-2</v>
      </c>
      <c r="BR128" s="27">
        <f t="shared" si="311"/>
        <v>-0.12780181677114405</v>
      </c>
      <c r="BS128" s="27">
        <f t="shared" si="311"/>
        <v>-0.13074013458347072</v>
      </c>
      <c r="BT128" s="27">
        <f t="shared" si="312"/>
        <v>-0.25854195135461477</v>
      </c>
      <c r="BZ128" t="str">
        <f t="shared" si="323"/>
        <v>34 Culture, media and sports occupations</v>
      </c>
      <c r="CA128" s="68">
        <f t="shared" si="313"/>
        <v>-8.5205912532176631E-2</v>
      </c>
      <c r="CB128" s="68">
        <f t="shared" si="313"/>
        <v>-8.4289180418705145E-3</v>
      </c>
      <c r="CC128" s="68">
        <f t="shared" si="313"/>
        <v>-0.16913966882088199</v>
      </c>
      <c r="CD128" s="68">
        <f t="shared" si="313"/>
        <v>-0.13578157917335715</v>
      </c>
      <c r="CE128" s="68">
        <f t="shared" si="314"/>
        <v>-0.30492124799423914</v>
      </c>
      <c r="CK128" t="str">
        <f t="shared" si="324"/>
        <v>34 Culture, media and sports occupations</v>
      </c>
      <c r="CL128" s="68">
        <f t="shared" si="315"/>
        <v>-1.6871659541622563E-2</v>
      </c>
      <c r="CM128" s="68">
        <f t="shared" si="315"/>
        <v>2.4482011778818424E-2</v>
      </c>
      <c r="CN128" s="68">
        <f t="shared" si="315"/>
        <v>-0.10869866498657768</v>
      </c>
      <c r="CO128" s="68">
        <f t="shared" si="315"/>
        <v>-3.355328387006859E-2</v>
      </c>
      <c r="CP128" s="68">
        <f t="shared" si="316"/>
        <v>-0.14225194885664627</v>
      </c>
    </row>
    <row r="129" spans="1:94" x14ac:dyDescent="0.25">
      <c r="A129" t="str">
        <f t="shared" si="298"/>
        <v>35 Business and public service associate professionals</v>
      </c>
      <c r="B129" s="27">
        <f t="shared" si="299"/>
        <v>7.799537026395742E-2</v>
      </c>
      <c r="C129" s="27">
        <f t="shared" si="299"/>
        <v>-1.8230690921005599E-2</v>
      </c>
      <c r="D129" s="27">
        <f t="shared" si="299"/>
        <v>0.10145265718127211</v>
      </c>
      <c r="E129" s="27">
        <f t="shared" si="299"/>
        <v>0.26331664025863699</v>
      </c>
      <c r="F129" s="27">
        <f t="shared" si="300"/>
        <v>0.3647692974399091</v>
      </c>
      <c r="L129" t="str">
        <f t="shared" si="317"/>
        <v>35 Business and public service associate professionals</v>
      </c>
      <c r="M129" s="27">
        <f t="shared" si="301"/>
        <v>0.84658524883142672</v>
      </c>
      <c r="N129" s="27">
        <f t="shared" si="301"/>
        <v>-7.9953570174569055E-2</v>
      </c>
      <c r="O129" s="27">
        <f t="shared" si="301"/>
        <v>0.87583574539264086</v>
      </c>
      <c r="P129" s="27">
        <f t="shared" si="301"/>
        <v>2.0022705037408919</v>
      </c>
      <c r="Q129" s="27">
        <f t="shared" si="302"/>
        <v>2.8781062491335327</v>
      </c>
      <c r="W129" t="str">
        <f t="shared" si="318"/>
        <v>35 Business and public service associate professionals</v>
      </c>
      <c r="X129" s="27">
        <f t="shared" si="303"/>
        <v>-0.5715674665077497</v>
      </c>
      <c r="Y129" s="27">
        <f t="shared" si="303"/>
        <v>0.71137426112397595</v>
      </c>
      <c r="Z129" s="27">
        <f t="shared" si="303"/>
        <v>6.4664721555926619E-2</v>
      </c>
      <c r="AA129" s="27">
        <f t="shared" si="303"/>
        <v>0.47393122192180304</v>
      </c>
      <c r="AB129" s="27">
        <f t="shared" si="304"/>
        <v>0.53859594347772966</v>
      </c>
      <c r="AH129" t="str">
        <f t="shared" si="319"/>
        <v>35 Business and public service associate professionals</v>
      </c>
      <c r="AI129" s="27">
        <f t="shared" si="305"/>
        <v>-5.0605687575623559E-2</v>
      </c>
      <c r="AJ129" s="27">
        <f t="shared" si="305"/>
        <v>0.29929274360583258</v>
      </c>
      <c r="AK129" s="27">
        <f t="shared" si="305"/>
        <v>3.6850541575688567E-2</v>
      </c>
      <c r="AL129" s="27">
        <f t="shared" si="305"/>
        <v>0.24253435951794877</v>
      </c>
      <c r="AM129" s="27">
        <f t="shared" si="306"/>
        <v>0.27938490109363734</v>
      </c>
      <c r="AS129" t="str">
        <f t="shared" si="320"/>
        <v>35 Business and public service associate professionals</v>
      </c>
      <c r="AT129" s="27">
        <f t="shared" si="307"/>
        <v>-0.16737714393569081</v>
      </c>
      <c r="AU129" s="27">
        <f t="shared" si="307"/>
        <v>0.20236881709170573</v>
      </c>
      <c r="AV129" s="27">
        <f t="shared" si="307"/>
        <v>1.1480410364498983E-2</v>
      </c>
      <c r="AW129" s="27">
        <f t="shared" si="307"/>
        <v>0.20858807671423696</v>
      </c>
      <c r="AX129" s="27">
        <f t="shared" si="308"/>
        <v>0.22006848707873594</v>
      </c>
      <c r="BD129" t="str">
        <f t="shared" si="321"/>
        <v>35 Business and public service associate professionals</v>
      </c>
      <c r="BE129" s="27">
        <f t="shared" si="309"/>
        <v>0.36913317405687351</v>
      </c>
      <c r="BF129" s="27">
        <f t="shared" si="309"/>
        <v>9.1721626370699916E-2</v>
      </c>
      <c r="BG129" s="27">
        <f t="shared" si="309"/>
        <v>-8.4024975414700442E-2</v>
      </c>
      <c r="BH129" s="27">
        <f t="shared" si="309"/>
        <v>-9.2020226258882509E-2</v>
      </c>
      <c r="BI129" s="27">
        <f t="shared" si="310"/>
        <v>-0.17604520167358295</v>
      </c>
      <c r="BO129" t="str">
        <f t="shared" si="322"/>
        <v>35 Business and public service associate professionals</v>
      </c>
      <c r="BP129" s="27">
        <f t="shared" si="311"/>
        <v>7.8468781761459994E-2</v>
      </c>
      <c r="BQ129" s="27">
        <f t="shared" si="311"/>
        <v>-0.36150093308452824</v>
      </c>
      <c r="BR129" s="27">
        <f t="shared" si="311"/>
        <v>-7.2786341117878628E-2</v>
      </c>
      <c r="BS129" s="27">
        <f t="shared" si="311"/>
        <v>-0.6315147889104491</v>
      </c>
      <c r="BT129" s="27">
        <f t="shared" si="312"/>
        <v>-0.70430113002832773</v>
      </c>
      <c r="BZ129" t="str">
        <f t="shared" si="323"/>
        <v>35 Business and public service associate professionals</v>
      </c>
      <c r="CA129" s="68">
        <f t="shared" si="313"/>
        <v>-0.2300214521934314</v>
      </c>
      <c r="CB129" s="68">
        <f t="shared" si="313"/>
        <v>-3.9827062265103574E-2</v>
      </c>
      <c r="CC129" s="68">
        <f t="shared" si="313"/>
        <v>-0.50577587080219244</v>
      </c>
      <c r="CD129" s="68">
        <f t="shared" si="313"/>
        <v>-0.82827004517897818</v>
      </c>
      <c r="CE129" s="68">
        <f t="shared" si="314"/>
        <v>-1.3340459159811706</v>
      </c>
      <c r="CK129" t="str">
        <f t="shared" si="324"/>
        <v>35 Business and public service associate professionals</v>
      </c>
      <c r="CL129" s="68">
        <f t="shared" si="315"/>
        <v>-5.1938051476637104E-2</v>
      </c>
      <c r="CM129" s="68">
        <f t="shared" si="315"/>
        <v>0.12953306378973151</v>
      </c>
      <c r="CN129" s="68">
        <f t="shared" si="315"/>
        <v>-0.36424010312862565</v>
      </c>
      <c r="CO129" s="68">
        <f t="shared" si="315"/>
        <v>-8.915000651048044E-2</v>
      </c>
      <c r="CP129" s="68">
        <f t="shared" si="316"/>
        <v>-0.45339010963910609</v>
      </c>
    </row>
    <row r="130" spans="1:94" x14ac:dyDescent="0.25">
      <c r="A130" t="str">
        <f t="shared" si="298"/>
        <v>41 Administrative occupations</v>
      </c>
      <c r="B130" s="27">
        <f t="shared" si="299"/>
        <v>4.734048858787071E-2</v>
      </c>
      <c r="C130" s="27">
        <f t="shared" si="299"/>
        <v>1.3098205015092679E-2</v>
      </c>
      <c r="D130" s="27">
        <f t="shared" si="299"/>
        <v>0.10551372566612999</v>
      </c>
      <c r="E130" s="27">
        <f t="shared" si="299"/>
        <v>0.26108490168738613</v>
      </c>
      <c r="F130" s="27">
        <f t="shared" si="300"/>
        <v>0.36659862735351612</v>
      </c>
      <c r="L130" t="str">
        <f t="shared" si="317"/>
        <v>41 Administrative occupations</v>
      </c>
      <c r="M130" s="27">
        <f t="shared" si="301"/>
        <v>0.59376018753069859</v>
      </c>
      <c r="N130" s="27">
        <f t="shared" si="301"/>
        <v>0.23654358141946341</v>
      </c>
      <c r="O130" s="27">
        <f t="shared" si="301"/>
        <v>1.0356281279937765</v>
      </c>
      <c r="P130" s="27">
        <f t="shared" si="301"/>
        <v>1.9022873245307137</v>
      </c>
      <c r="Q130" s="27">
        <f t="shared" si="302"/>
        <v>2.9379154525244902</v>
      </c>
      <c r="W130" t="str">
        <f t="shared" si="318"/>
        <v>41 Administrative occupations</v>
      </c>
      <c r="X130" s="27">
        <f t="shared" si="303"/>
        <v>-0.85419035833643253</v>
      </c>
      <c r="Y130" s="27">
        <f t="shared" si="303"/>
        <v>1.5676082515556358</v>
      </c>
      <c r="Z130" s="27">
        <f t="shared" si="303"/>
        <v>1.3551908828731989</v>
      </c>
      <c r="AA130" s="27">
        <f t="shared" si="303"/>
        <v>2.1114285310612484</v>
      </c>
      <c r="AB130" s="27">
        <f t="shared" si="304"/>
        <v>3.4666194139344473</v>
      </c>
      <c r="AH130" t="str">
        <f t="shared" si="319"/>
        <v>41 Administrative occupations</v>
      </c>
      <c r="AI130" s="27">
        <f t="shared" si="305"/>
        <v>-0.15926523851266872</v>
      </c>
      <c r="AJ130" s="27">
        <f t="shared" si="305"/>
        <v>0.62211523761012444</v>
      </c>
      <c r="AK130" s="27">
        <f t="shared" si="305"/>
        <v>0.37483131567146932</v>
      </c>
      <c r="AL130" s="27">
        <f t="shared" si="305"/>
        <v>0.79119775154378003</v>
      </c>
      <c r="AM130" s="27">
        <f t="shared" si="306"/>
        <v>1.1660290672152493</v>
      </c>
      <c r="AS130" t="str">
        <f t="shared" si="320"/>
        <v>41 Administrative occupations</v>
      </c>
      <c r="AT130" s="27">
        <f t="shared" si="307"/>
        <v>-0.39879852334745225</v>
      </c>
      <c r="AU130" s="27">
        <f t="shared" si="307"/>
        <v>0.59391564987352652</v>
      </c>
      <c r="AV130" s="27">
        <f t="shared" si="307"/>
        <v>0.17521064973077793</v>
      </c>
      <c r="AW130" s="27">
        <f t="shared" si="307"/>
        <v>0.52429430469235649</v>
      </c>
      <c r="AX130" s="27">
        <f t="shared" si="308"/>
        <v>0.69950495442313443</v>
      </c>
      <c r="BD130" t="str">
        <f t="shared" si="321"/>
        <v>41 Administrative occupations</v>
      </c>
      <c r="BE130" s="27">
        <f t="shared" si="309"/>
        <v>-0.28382552036027597</v>
      </c>
      <c r="BF130" s="27">
        <f t="shared" si="309"/>
        <v>0.20438605071387173</v>
      </c>
      <c r="BG130" s="27">
        <f t="shared" si="309"/>
        <v>0.24582836571896216</v>
      </c>
      <c r="BH130" s="27">
        <f t="shared" si="309"/>
        <v>-0.86244412304261964</v>
      </c>
      <c r="BI130" s="27">
        <f t="shared" si="310"/>
        <v>-0.61661575732365748</v>
      </c>
      <c r="BO130" t="str">
        <f t="shared" si="322"/>
        <v>41 Administrative occupations</v>
      </c>
      <c r="BP130" s="27">
        <f t="shared" si="311"/>
        <v>-0.90081778999578965</v>
      </c>
      <c r="BQ130" s="27">
        <f t="shared" si="311"/>
        <v>-0.96528481193577953</v>
      </c>
      <c r="BR130" s="27">
        <f t="shared" si="311"/>
        <v>0.3345609948759396</v>
      </c>
      <c r="BS130" s="27">
        <f t="shared" si="311"/>
        <v>-2.8044110369740984</v>
      </c>
      <c r="BT130" s="27">
        <f t="shared" si="312"/>
        <v>-2.4698500420981588</v>
      </c>
      <c r="BZ130" t="str">
        <f t="shared" si="323"/>
        <v>41 Administrative occupations</v>
      </c>
      <c r="CA130" s="68">
        <f t="shared" si="313"/>
        <v>-1.3050996289788843</v>
      </c>
      <c r="CB130" s="68">
        <f t="shared" si="313"/>
        <v>-0.51584112122794057</v>
      </c>
      <c r="CC130" s="68">
        <f t="shared" si="313"/>
        <v>-1.259218456862909</v>
      </c>
      <c r="CD130" s="68">
        <f t="shared" si="313"/>
        <v>-2.3375872483353803</v>
      </c>
      <c r="CE130" s="68">
        <f t="shared" si="314"/>
        <v>-3.5968057051982893</v>
      </c>
      <c r="CK130" t="str">
        <f t="shared" si="324"/>
        <v>41 Administrative occupations</v>
      </c>
      <c r="CL130" s="68">
        <f t="shared" si="315"/>
        <v>-0.71235122699881104</v>
      </c>
      <c r="CM130" s="68">
        <f t="shared" si="315"/>
        <v>0.27637412047897736</v>
      </c>
      <c r="CN130" s="68">
        <f t="shared" si="315"/>
        <v>-0.63126722023945536</v>
      </c>
      <c r="CO130" s="68">
        <f t="shared" si="315"/>
        <v>-0.40038915911017281</v>
      </c>
      <c r="CP130" s="68">
        <f t="shared" si="316"/>
        <v>-1.0316563793496281</v>
      </c>
    </row>
    <row r="131" spans="1:94" x14ac:dyDescent="0.25">
      <c r="A131" t="str">
        <f t="shared" si="298"/>
        <v>42 Secretarial and related occupations</v>
      </c>
      <c r="B131" s="27">
        <f t="shared" si="299"/>
        <v>1.5274054761722881E-3</v>
      </c>
      <c r="C131" s="27">
        <f t="shared" si="299"/>
        <v>3.1098155388489222E-3</v>
      </c>
      <c r="D131" s="27">
        <f t="shared" si="299"/>
        <v>9.5581823003663274E-3</v>
      </c>
      <c r="E131" s="27">
        <f t="shared" si="299"/>
        <v>1.6898762297745458E-2</v>
      </c>
      <c r="F131" s="27">
        <f t="shared" si="300"/>
        <v>2.6456944598111785E-2</v>
      </c>
      <c r="L131" t="str">
        <f t="shared" si="317"/>
        <v>42 Secretarial and related occupations</v>
      </c>
      <c r="M131" s="27">
        <f t="shared" si="301"/>
        <v>7.786664850193864E-2</v>
      </c>
      <c r="N131" s="27">
        <f t="shared" si="301"/>
        <v>6.2128765028816535E-2</v>
      </c>
      <c r="O131" s="27">
        <f t="shared" si="301"/>
        <v>0.12838128017270578</v>
      </c>
      <c r="P131" s="27">
        <f t="shared" si="301"/>
        <v>-0.10900225206031972</v>
      </c>
      <c r="Q131" s="27">
        <f t="shared" si="302"/>
        <v>1.9379028112386065E-2</v>
      </c>
      <c r="W131" t="str">
        <f t="shared" si="318"/>
        <v>42 Secretarial and related occupations</v>
      </c>
      <c r="X131" s="27">
        <f t="shared" si="303"/>
        <v>-0.17805478375503059</v>
      </c>
      <c r="Y131" s="27">
        <f t="shared" si="303"/>
        <v>0.23259741620576646</v>
      </c>
      <c r="Z131" s="27">
        <f t="shared" si="303"/>
        <v>0.26926822197084066</v>
      </c>
      <c r="AA131" s="27">
        <f t="shared" si="303"/>
        <v>0.3828101368303054</v>
      </c>
      <c r="AB131" s="27">
        <f t="shared" si="304"/>
        <v>0.65207835880114606</v>
      </c>
      <c r="AH131" t="str">
        <f t="shared" si="319"/>
        <v>42 Secretarial and related occupations</v>
      </c>
      <c r="AI131" s="27">
        <f t="shared" si="305"/>
        <v>-7.6977539657756666E-2</v>
      </c>
      <c r="AJ131" s="27">
        <f t="shared" si="305"/>
        <v>0.14340410103190038</v>
      </c>
      <c r="AK131" s="27">
        <f t="shared" si="305"/>
        <v>2.862978132062477E-2</v>
      </c>
      <c r="AL131" s="27">
        <f t="shared" si="305"/>
        <v>-1.9455215270081427E-2</v>
      </c>
      <c r="AM131" s="27">
        <f t="shared" si="306"/>
        <v>9.1745660505433424E-3</v>
      </c>
      <c r="AS131" t="str">
        <f t="shared" si="320"/>
        <v>42 Secretarial and related occupations</v>
      </c>
      <c r="AT131" s="27">
        <f t="shared" si="307"/>
        <v>-0.10200624132701669</v>
      </c>
      <c r="AU131" s="27">
        <f t="shared" si="307"/>
        <v>0.11082693426888762</v>
      </c>
      <c r="AV131" s="27">
        <f t="shared" si="307"/>
        <v>2.2757974714937457E-2</v>
      </c>
      <c r="AW131" s="27">
        <f t="shared" si="307"/>
        <v>1.5143204831781665E-2</v>
      </c>
      <c r="AX131" s="27">
        <f t="shared" si="308"/>
        <v>3.7901179546719121E-2</v>
      </c>
      <c r="BD131" t="str">
        <f t="shared" si="321"/>
        <v>42 Secretarial and related occupations</v>
      </c>
      <c r="BE131" s="27">
        <f t="shared" si="309"/>
        <v>-0.14675014573015255</v>
      </c>
      <c r="BF131" s="27">
        <f t="shared" si="309"/>
        <v>-0.10730927901079723</v>
      </c>
      <c r="BG131" s="27">
        <f t="shared" si="309"/>
        <v>-4.9630097101462933E-2</v>
      </c>
      <c r="BH131" s="27">
        <f t="shared" si="309"/>
        <v>-1.2017943344354367</v>
      </c>
      <c r="BI131" s="27">
        <f t="shared" si="310"/>
        <v>-1.2514244315368996</v>
      </c>
      <c r="BO131" t="str">
        <f t="shared" si="322"/>
        <v>42 Secretarial and related occupations</v>
      </c>
      <c r="BP131" s="27">
        <f t="shared" si="311"/>
        <v>-0.52997964981017498</v>
      </c>
      <c r="BQ131" s="27">
        <f t="shared" si="311"/>
        <v>-0.39075812651778596</v>
      </c>
      <c r="BR131" s="27">
        <f t="shared" si="311"/>
        <v>-0.51425629720913268</v>
      </c>
      <c r="BS131" s="27">
        <f t="shared" si="311"/>
        <v>-1.1479643209054438</v>
      </c>
      <c r="BT131" s="27">
        <f t="shared" si="312"/>
        <v>-1.6622206181145764</v>
      </c>
      <c r="BZ131" t="str">
        <f t="shared" si="323"/>
        <v>42 Secretarial and related occupations</v>
      </c>
      <c r="CA131" s="68">
        <f t="shared" si="313"/>
        <v>-0.35682936629022333</v>
      </c>
      <c r="CB131" s="68">
        <f t="shared" si="313"/>
        <v>-0.35773086405262555</v>
      </c>
      <c r="CC131" s="68">
        <f t="shared" si="313"/>
        <v>-0.46322417009681183</v>
      </c>
      <c r="CD131" s="68">
        <f t="shared" si="313"/>
        <v>-0.98806530451163588</v>
      </c>
      <c r="CE131" s="68">
        <f t="shared" si="314"/>
        <v>-1.4512894746084477</v>
      </c>
      <c r="CK131" t="str">
        <f t="shared" si="324"/>
        <v>42 Secretarial and related occupations</v>
      </c>
      <c r="CL131" s="68">
        <f t="shared" si="315"/>
        <v>-0.19348653761338319</v>
      </c>
      <c r="CM131" s="68">
        <f t="shared" si="315"/>
        <v>8.9201441972074025E-2</v>
      </c>
      <c r="CN131" s="68">
        <f t="shared" si="315"/>
        <v>-0.1434686139887168</v>
      </c>
      <c r="CO131" s="68">
        <f t="shared" si="315"/>
        <v>-0.1094559575387401</v>
      </c>
      <c r="CP131" s="68">
        <f t="shared" si="316"/>
        <v>-0.2529245715274569</v>
      </c>
    </row>
    <row r="132" spans="1:94" x14ac:dyDescent="0.25">
      <c r="A132" t="str">
        <f t="shared" si="298"/>
        <v>51 Skilled agricultural and related trades</v>
      </c>
      <c r="B132" s="27">
        <f t="shared" si="299"/>
        <v>2.1393357637355288E-3</v>
      </c>
      <c r="C132" s="27">
        <f t="shared" si="299"/>
        <v>-2.0892873058673163E-3</v>
      </c>
      <c r="D132" s="27">
        <f t="shared" si="299"/>
        <v>1.6097070942547361E-3</v>
      </c>
      <c r="E132" s="27">
        <f t="shared" si="299"/>
        <v>7.6230343038878792E-3</v>
      </c>
      <c r="F132" s="27">
        <f t="shared" si="300"/>
        <v>9.2327413981426153E-3</v>
      </c>
      <c r="L132" t="str">
        <f t="shared" si="317"/>
        <v>51 Skilled agricultural and related trades</v>
      </c>
      <c r="M132" s="27">
        <f t="shared" si="301"/>
        <v>3.9939998065995769E-4</v>
      </c>
      <c r="N132" s="27">
        <f t="shared" si="301"/>
        <v>-9.0601421050280559E-3</v>
      </c>
      <c r="O132" s="27">
        <f t="shared" si="301"/>
        <v>9.4357900791622179E-3</v>
      </c>
      <c r="P132" s="27">
        <f t="shared" si="301"/>
        <v>2.1609843302458229E-2</v>
      </c>
      <c r="Q132" s="27">
        <f t="shared" si="302"/>
        <v>3.1045633381620447E-2</v>
      </c>
      <c r="W132" t="str">
        <f t="shared" si="318"/>
        <v>51 Skilled agricultural and related trades</v>
      </c>
      <c r="X132" s="27">
        <f t="shared" si="303"/>
        <v>-0.12927700513327905</v>
      </c>
      <c r="Y132" s="27">
        <f t="shared" si="303"/>
        <v>-2.6769259143747892E-2</v>
      </c>
      <c r="Z132" s="27">
        <f t="shared" si="303"/>
        <v>3.6540205104163226E-2</v>
      </c>
      <c r="AA132" s="27">
        <f t="shared" si="303"/>
        <v>0.13096133519646802</v>
      </c>
      <c r="AB132" s="27">
        <f t="shared" si="304"/>
        <v>0.16750154030063125</v>
      </c>
      <c r="AH132" t="str">
        <f t="shared" si="319"/>
        <v>51 Skilled agricultural and related trades</v>
      </c>
      <c r="AI132" s="27">
        <f t="shared" si="305"/>
        <v>-2.2797900105136576E-2</v>
      </c>
      <c r="AJ132" s="27">
        <f t="shared" si="305"/>
        <v>-2.1204741591589665E-2</v>
      </c>
      <c r="AK132" s="27">
        <f t="shared" si="305"/>
        <v>2.224759465188908E-2</v>
      </c>
      <c r="AL132" s="27">
        <f t="shared" si="305"/>
        <v>5.4851900302058526E-2</v>
      </c>
      <c r="AM132" s="27">
        <f t="shared" si="306"/>
        <v>7.7099494953947606E-2</v>
      </c>
      <c r="AS132" t="str">
        <f t="shared" si="320"/>
        <v>51 Skilled agricultural and related trades</v>
      </c>
      <c r="AT132" s="27">
        <f t="shared" si="307"/>
        <v>-4.6157679564065357E-2</v>
      </c>
      <c r="AU132" s="27">
        <f t="shared" si="307"/>
        <v>-3.4087490926369868E-2</v>
      </c>
      <c r="AV132" s="27">
        <f t="shared" si="307"/>
        <v>3.576492496632766E-2</v>
      </c>
      <c r="AW132" s="27">
        <f t="shared" si="307"/>
        <v>0.15492174048390828</v>
      </c>
      <c r="AX132" s="27">
        <f t="shared" si="308"/>
        <v>0.19068666545023594</v>
      </c>
      <c r="BD132" t="str">
        <f t="shared" si="321"/>
        <v>51 Skilled agricultural and related trades</v>
      </c>
      <c r="BE132" s="27">
        <f t="shared" si="309"/>
        <v>-1.5865283798381369E-2</v>
      </c>
      <c r="BF132" s="27">
        <f t="shared" si="309"/>
        <v>-0.12638097692658595</v>
      </c>
      <c r="BG132" s="27">
        <f t="shared" si="309"/>
        <v>8.3681328599448102E-3</v>
      </c>
      <c r="BH132" s="27">
        <f t="shared" si="309"/>
        <v>4.7794146522124492E-2</v>
      </c>
      <c r="BI132" s="27">
        <f t="shared" si="310"/>
        <v>5.6162279382069302E-2</v>
      </c>
      <c r="BO132" t="str">
        <f t="shared" si="322"/>
        <v>51 Skilled agricultural and related trades</v>
      </c>
      <c r="BP132" s="27">
        <f t="shared" si="311"/>
        <v>-6.2517306927102556E-2</v>
      </c>
      <c r="BQ132" s="27">
        <f t="shared" si="311"/>
        <v>-0.25769995025611836</v>
      </c>
      <c r="BR132" s="27">
        <f t="shared" si="311"/>
        <v>4.6972113159089446E-3</v>
      </c>
      <c r="BS132" s="27">
        <f t="shared" si="311"/>
        <v>-4.615630375495916E-2</v>
      </c>
      <c r="BT132" s="27">
        <f t="shared" si="312"/>
        <v>-4.1459092439050216E-2</v>
      </c>
      <c r="BZ132" t="str">
        <f t="shared" si="323"/>
        <v>51 Skilled agricultural and related trades</v>
      </c>
      <c r="CA132" s="68">
        <f t="shared" si="313"/>
        <v>-0.11250050196974948</v>
      </c>
      <c r="CB132" s="68">
        <f t="shared" si="313"/>
        <v>-6.5214312544092934E-3</v>
      </c>
      <c r="CC132" s="68">
        <f t="shared" si="313"/>
        <v>-3.3317581058991186E-2</v>
      </c>
      <c r="CD132" s="68">
        <f t="shared" si="313"/>
        <v>0.12152296099633331</v>
      </c>
      <c r="CE132" s="68">
        <f t="shared" si="314"/>
        <v>8.8205379937342121E-2</v>
      </c>
      <c r="CK132" t="str">
        <f t="shared" si="324"/>
        <v>51 Skilled agricultural and related trades</v>
      </c>
      <c r="CL132" s="68">
        <f t="shared" si="315"/>
        <v>-0.13814767298611663</v>
      </c>
      <c r="CM132" s="68">
        <f t="shared" si="315"/>
        <v>-0.12963291160838697</v>
      </c>
      <c r="CN132" s="68">
        <f t="shared" si="315"/>
        <v>-0.1001607896458363</v>
      </c>
      <c r="CO132" s="68">
        <f t="shared" si="315"/>
        <v>-0.13644178731801729</v>
      </c>
      <c r="CP132" s="68">
        <f t="shared" si="316"/>
        <v>-0.23660257696385359</v>
      </c>
    </row>
    <row r="133" spans="1:94" x14ac:dyDescent="0.25">
      <c r="A133" t="str">
        <f t="shared" si="298"/>
        <v>52 Skilled metal, electrical and electronic trades</v>
      </c>
      <c r="B133" s="27">
        <f t="shared" si="299"/>
        <v>-2.1972915386269404E-3</v>
      </c>
      <c r="C133" s="27">
        <f t="shared" si="299"/>
        <v>-3.9027531444214489E-3</v>
      </c>
      <c r="D133" s="27">
        <f t="shared" si="299"/>
        <v>2.8158485092456432E-3</v>
      </c>
      <c r="E133" s="27">
        <f t="shared" si="299"/>
        <v>6.4294316469871403E-3</v>
      </c>
      <c r="F133" s="27">
        <f t="shared" si="300"/>
        <v>9.2452801562327835E-3</v>
      </c>
      <c r="L133" t="str">
        <f t="shared" si="317"/>
        <v>52 Skilled metal, electrical and electronic trades</v>
      </c>
      <c r="M133" s="27">
        <f t="shared" si="301"/>
        <v>0.10998602482801983</v>
      </c>
      <c r="N133" s="27">
        <f t="shared" si="301"/>
        <v>-0.16597731267207255</v>
      </c>
      <c r="O133" s="27">
        <f t="shared" si="301"/>
        <v>0.20024302264726118</v>
      </c>
      <c r="P133" s="27">
        <f t="shared" si="301"/>
        <v>0.33800219055252712</v>
      </c>
      <c r="Q133" s="27">
        <f t="shared" si="302"/>
        <v>0.53824521319978835</v>
      </c>
      <c r="W133" t="str">
        <f t="shared" si="318"/>
        <v>52 Skilled metal, electrical and electronic trades</v>
      </c>
      <c r="X133" s="27">
        <f t="shared" si="303"/>
        <v>-9.3625811409825177E-2</v>
      </c>
      <c r="Y133" s="27">
        <f t="shared" si="303"/>
        <v>-0.26375390040745716</v>
      </c>
      <c r="Z133" s="27">
        <f t="shared" si="303"/>
        <v>0.174695870820331</v>
      </c>
      <c r="AA133" s="27">
        <f t="shared" si="303"/>
        <v>0.23620749874622993</v>
      </c>
      <c r="AB133" s="27">
        <f t="shared" si="304"/>
        <v>0.41090336956656093</v>
      </c>
      <c r="AH133" t="str">
        <f t="shared" si="319"/>
        <v>52 Skilled metal, electrical and electronic trades</v>
      </c>
      <c r="AI133" s="27">
        <f t="shared" si="305"/>
        <v>-5.9695340019323362E-2</v>
      </c>
      <c r="AJ133" s="27">
        <f t="shared" si="305"/>
        <v>-7.5426655625240091E-2</v>
      </c>
      <c r="AK133" s="27">
        <f t="shared" si="305"/>
        <v>3.5587845267206653E-2</v>
      </c>
      <c r="AL133" s="27">
        <f t="shared" si="305"/>
        <v>8.3529260632260849E-2</v>
      </c>
      <c r="AM133" s="27">
        <f t="shared" si="306"/>
        <v>0.1191171058994675</v>
      </c>
      <c r="AS133" t="str">
        <f t="shared" si="320"/>
        <v>52 Skilled metal, electrical and electronic trades</v>
      </c>
      <c r="AT133" s="27">
        <f t="shared" si="307"/>
        <v>-0.26903158239364533</v>
      </c>
      <c r="AU133" s="27">
        <f t="shared" si="307"/>
        <v>-0.28698641793224211</v>
      </c>
      <c r="AV133" s="27">
        <f t="shared" si="307"/>
        <v>5.7352450191538118E-2</v>
      </c>
      <c r="AW133" s="27">
        <f t="shared" si="307"/>
        <v>0.18622535829332887</v>
      </c>
      <c r="AX133" s="27">
        <f t="shared" si="308"/>
        <v>0.24357780848486699</v>
      </c>
      <c r="BD133" t="str">
        <f t="shared" si="321"/>
        <v>52 Skilled metal, electrical and electronic trades</v>
      </c>
      <c r="BE133" s="27">
        <f t="shared" si="309"/>
        <v>0.74643112931881639</v>
      </c>
      <c r="BF133" s="27">
        <f t="shared" si="309"/>
        <v>-2.0345266249656824</v>
      </c>
      <c r="BG133" s="27">
        <f t="shared" si="309"/>
        <v>2.0271266226407292E-2</v>
      </c>
      <c r="BH133" s="27">
        <f t="shared" si="309"/>
        <v>-0.37883935618673448</v>
      </c>
      <c r="BI133" s="27">
        <f t="shared" si="310"/>
        <v>-0.35856808996032719</v>
      </c>
      <c r="BO133" t="str">
        <f t="shared" si="322"/>
        <v>52 Skilled metal, electrical and electronic trades</v>
      </c>
      <c r="BP133" s="27">
        <f t="shared" si="311"/>
        <v>0.12351471843437167</v>
      </c>
      <c r="BQ133" s="27">
        <f t="shared" si="311"/>
        <v>-1.4548464081343315</v>
      </c>
      <c r="BR133" s="27">
        <f t="shared" si="311"/>
        <v>5.5018129284060358E-2</v>
      </c>
      <c r="BS133" s="27">
        <f t="shared" si="311"/>
        <v>-0.82325024982742345</v>
      </c>
      <c r="BT133" s="27">
        <f t="shared" si="312"/>
        <v>-0.7682321205433631</v>
      </c>
      <c r="BZ133" t="str">
        <f t="shared" si="323"/>
        <v>52 Skilled metal, electrical and electronic trades</v>
      </c>
      <c r="CA133" s="68">
        <f t="shared" si="313"/>
        <v>-0.46424971182705255</v>
      </c>
      <c r="CB133" s="68">
        <f t="shared" si="313"/>
        <v>-0.42277949054317476</v>
      </c>
      <c r="CC133" s="68">
        <f t="shared" si="313"/>
        <v>-0.53484008509118564</v>
      </c>
      <c r="CD133" s="68">
        <f t="shared" si="313"/>
        <v>-1.0672929312097315</v>
      </c>
      <c r="CE133" s="68">
        <f t="shared" si="314"/>
        <v>-1.6021330163009171</v>
      </c>
      <c r="CK133" t="str">
        <f t="shared" si="324"/>
        <v>52 Skilled metal, electrical and electronic trades</v>
      </c>
      <c r="CL133" s="68">
        <f t="shared" si="315"/>
        <v>-0.37017278545116117</v>
      </c>
      <c r="CM133" s="68">
        <f t="shared" si="315"/>
        <v>-0.39861134118873776</v>
      </c>
      <c r="CN133" s="68">
        <f t="shared" si="315"/>
        <v>-0.62402232865079343</v>
      </c>
      <c r="CO133" s="68">
        <f t="shared" si="315"/>
        <v>-0.36382516187176728</v>
      </c>
      <c r="CP133" s="68">
        <f t="shared" si="316"/>
        <v>-0.98784749052256071</v>
      </c>
    </row>
    <row r="134" spans="1:94" x14ac:dyDescent="0.25">
      <c r="A134" t="str">
        <f t="shared" si="298"/>
        <v>53 Skilled construction and building trades</v>
      </c>
      <c r="B134" s="27">
        <f t="shared" si="299"/>
        <v>-1.0249948806155748E-3</v>
      </c>
      <c r="C134" s="27">
        <f t="shared" si="299"/>
        <v>-2.1735185776298343E-3</v>
      </c>
      <c r="D134" s="27">
        <f t="shared" si="299"/>
        <v>1.3999472987119501E-3</v>
      </c>
      <c r="E134" s="27">
        <f t="shared" si="299"/>
        <v>1.8273392709360851E-4</v>
      </c>
      <c r="F134" s="27">
        <f t="shared" si="300"/>
        <v>1.5826812258055586E-3</v>
      </c>
      <c r="L134" t="str">
        <f t="shared" si="317"/>
        <v>53 Skilled construction and building trades</v>
      </c>
      <c r="M134" s="27">
        <f t="shared" si="301"/>
        <v>3.9097986049978745E-2</v>
      </c>
      <c r="N134" s="27">
        <f t="shared" si="301"/>
        <v>-5.7496241096228029E-2</v>
      </c>
      <c r="O134" s="27">
        <f t="shared" si="301"/>
        <v>5.0339432787784993E-2</v>
      </c>
      <c r="P134" s="27">
        <f t="shared" si="301"/>
        <v>8.1330720922378141E-2</v>
      </c>
      <c r="Q134" s="27">
        <f t="shared" si="302"/>
        <v>0.13167015371016313</v>
      </c>
      <c r="W134" t="str">
        <f t="shared" si="318"/>
        <v>53 Skilled construction and building trades</v>
      </c>
      <c r="X134" s="27">
        <f t="shared" si="303"/>
        <v>-5.6550596037760803E-2</v>
      </c>
      <c r="Y134" s="27">
        <f t="shared" si="303"/>
        <v>-0.1168759039370012</v>
      </c>
      <c r="Z134" s="27">
        <f t="shared" si="303"/>
        <v>7.030639821025364E-2</v>
      </c>
      <c r="AA134" s="27">
        <f t="shared" si="303"/>
        <v>5.6919313551130335E-2</v>
      </c>
      <c r="AB134" s="27">
        <f t="shared" si="304"/>
        <v>0.12722571176138397</v>
      </c>
      <c r="AH134" t="str">
        <f t="shared" si="319"/>
        <v>53 Skilled construction and building trades</v>
      </c>
      <c r="AI134" s="27">
        <f t="shared" si="305"/>
        <v>2.9178574705269633E-2</v>
      </c>
      <c r="AJ134" s="27">
        <f t="shared" si="305"/>
        <v>-5.0870453029310148E-2</v>
      </c>
      <c r="AK134" s="27">
        <f t="shared" si="305"/>
        <v>5.4722261218026036E-2</v>
      </c>
      <c r="AL134" s="27">
        <f t="shared" si="305"/>
        <v>6.2929052400285512E-2</v>
      </c>
      <c r="AM134" s="27">
        <f t="shared" si="306"/>
        <v>0.11765131361831155</v>
      </c>
      <c r="AS134" t="str">
        <f t="shared" si="320"/>
        <v>53 Skilled construction and building trades</v>
      </c>
      <c r="AT134" s="27">
        <f t="shared" si="307"/>
        <v>5.902690175518932E-2</v>
      </c>
      <c r="AU134" s="27">
        <f t="shared" si="307"/>
        <v>-8.6902417742945604E-2</v>
      </c>
      <c r="AV134" s="27">
        <f t="shared" si="307"/>
        <v>6.2562586414424692E-2</v>
      </c>
      <c r="AW134" s="27">
        <f t="shared" si="307"/>
        <v>1.5942665116711607E-2</v>
      </c>
      <c r="AX134" s="27">
        <f t="shared" si="308"/>
        <v>7.85052515311363E-2</v>
      </c>
      <c r="BD134" t="str">
        <f t="shared" si="321"/>
        <v>53 Skilled construction and building trades</v>
      </c>
      <c r="BE134" s="27">
        <f t="shared" si="309"/>
        <v>1.0489178390600484</v>
      </c>
      <c r="BF134" s="27">
        <f t="shared" si="309"/>
        <v>-1.2190936656380433</v>
      </c>
      <c r="BG134" s="27">
        <f t="shared" si="309"/>
        <v>-4.9242625530703243E-2</v>
      </c>
      <c r="BH134" s="27">
        <f t="shared" si="309"/>
        <v>-0.65895399050885839</v>
      </c>
      <c r="BI134" s="27">
        <f t="shared" si="310"/>
        <v>-0.70819661603956163</v>
      </c>
      <c r="BO134" t="str">
        <f t="shared" si="322"/>
        <v>53 Skilled construction and building trades</v>
      </c>
      <c r="BP134" s="27">
        <f t="shared" si="311"/>
        <v>1.4829373652288433</v>
      </c>
      <c r="BQ134" s="27">
        <f t="shared" si="311"/>
        <v>-1.4646181960273905</v>
      </c>
      <c r="BR134" s="27">
        <f t="shared" si="311"/>
        <v>0.55560736944549749</v>
      </c>
      <c r="BS134" s="27">
        <f t="shared" si="311"/>
        <v>-0.43575344339453981</v>
      </c>
      <c r="BT134" s="27">
        <f t="shared" si="312"/>
        <v>0.11985392605095768</v>
      </c>
      <c r="BZ134" t="str">
        <f t="shared" si="323"/>
        <v>53 Skilled construction and building trades</v>
      </c>
      <c r="CA134" s="68">
        <f t="shared" si="313"/>
        <v>-2.5126820088763324E-3</v>
      </c>
      <c r="CB134" s="68">
        <f t="shared" si="313"/>
        <v>-0.41046418326935274</v>
      </c>
      <c r="CC134" s="68">
        <f t="shared" si="313"/>
        <v>-0.41097951820249934</v>
      </c>
      <c r="CD134" s="68">
        <f t="shared" si="313"/>
        <v>-0.71462703208442035</v>
      </c>
      <c r="CE134" s="68">
        <f t="shared" si="314"/>
        <v>-1.1256065502869197</v>
      </c>
      <c r="CK134" t="str">
        <f t="shared" si="324"/>
        <v>53 Skilled construction and building trades</v>
      </c>
      <c r="CL134" s="68">
        <f t="shared" si="315"/>
        <v>6.4855995300455493E-2</v>
      </c>
      <c r="CM134" s="68">
        <f t="shared" si="315"/>
        <v>-0.45758897609740878</v>
      </c>
      <c r="CN134" s="68">
        <f t="shared" si="315"/>
        <v>-0.99501873993036916</v>
      </c>
      <c r="CO134" s="68">
        <f t="shared" si="315"/>
        <v>-0.81955930671021993</v>
      </c>
      <c r="CP134" s="68">
        <f t="shared" si="316"/>
        <v>-1.8145780466405892</v>
      </c>
    </row>
    <row r="135" spans="1:94" x14ac:dyDescent="0.25">
      <c r="A135" t="str">
        <f t="shared" si="298"/>
        <v>54 Textiles, printing and other skilled trades</v>
      </c>
      <c r="B135" s="27">
        <f t="shared" si="299"/>
        <v>1.7990939193150007E-4</v>
      </c>
      <c r="C135" s="27">
        <f t="shared" si="299"/>
        <v>-4.1955511705241491E-3</v>
      </c>
      <c r="D135" s="27">
        <f t="shared" si="299"/>
        <v>1.1714111326503934E-2</v>
      </c>
      <c r="E135" s="27">
        <f t="shared" si="299"/>
        <v>1.2953991872178557E-2</v>
      </c>
      <c r="F135" s="27">
        <f t="shared" si="300"/>
        <v>2.4668103198682491E-2</v>
      </c>
      <c r="L135" t="str">
        <f t="shared" si="317"/>
        <v>54 Textiles, printing and other skilled trades</v>
      </c>
      <c r="M135" s="27">
        <f t="shared" si="301"/>
        <v>6.1269823186562627E-2</v>
      </c>
      <c r="N135" s="27">
        <f t="shared" si="301"/>
        <v>1.708871970245962E-2</v>
      </c>
      <c r="O135" s="27">
        <f t="shared" si="301"/>
        <v>9.0324817156293757E-2</v>
      </c>
      <c r="P135" s="27">
        <f t="shared" si="301"/>
        <v>0.22521855904332794</v>
      </c>
      <c r="Q135" s="27">
        <f t="shared" si="302"/>
        <v>0.31554337619962169</v>
      </c>
      <c r="W135" t="str">
        <f t="shared" si="318"/>
        <v>54 Textiles, printing and other skilled trades</v>
      </c>
      <c r="X135" s="27">
        <f t="shared" si="303"/>
        <v>-0.10808029532953434</v>
      </c>
      <c r="Y135" s="27">
        <f t="shared" si="303"/>
        <v>6.3306335496683297E-2</v>
      </c>
      <c r="Z135" s="27">
        <f t="shared" si="303"/>
        <v>0.13666732348160893</v>
      </c>
      <c r="AA135" s="27">
        <f t="shared" si="303"/>
        <v>0.20302381782024659</v>
      </c>
      <c r="AB135" s="27">
        <f t="shared" si="304"/>
        <v>0.33969114130185551</v>
      </c>
      <c r="AH135" t="str">
        <f t="shared" si="319"/>
        <v>54 Textiles, printing and other skilled trades</v>
      </c>
      <c r="AI135" s="27">
        <f t="shared" si="305"/>
        <v>-5.9881138475598061E-2</v>
      </c>
      <c r="AJ135" s="27">
        <f t="shared" si="305"/>
        <v>4.7591456247854436E-2</v>
      </c>
      <c r="AK135" s="27">
        <f t="shared" si="305"/>
        <v>1.2484755023649041E-2</v>
      </c>
      <c r="AL135" s="27">
        <f t="shared" si="305"/>
        <v>5.2763699434260625E-2</v>
      </c>
      <c r="AM135" s="27">
        <f t="shared" si="306"/>
        <v>6.5248454457909666E-2</v>
      </c>
      <c r="AS135" t="str">
        <f t="shared" si="320"/>
        <v>54 Textiles, printing and other skilled trades</v>
      </c>
      <c r="AT135" s="27">
        <f t="shared" si="307"/>
        <v>-6.7976468775324372E-2</v>
      </c>
      <c r="AU135" s="27">
        <f t="shared" si="307"/>
        <v>4.114929628824221E-2</v>
      </c>
      <c r="AV135" s="27">
        <f t="shared" si="307"/>
        <v>2.9760502618056017E-2</v>
      </c>
      <c r="AW135" s="27">
        <f t="shared" si="307"/>
        <v>5.5038081000805816E-2</v>
      </c>
      <c r="AX135" s="27">
        <f t="shared" si="308"/>
        <v>8.4798583618861834E-2</v>
      </c>
      <c r="BD135" t="str">
        <f t="shared" si="321"/>
        <v>54 Textiles, printing and other skilled trades</v>
      </c>
      <c r="BE135" s="27">
        <f t="shared" si="309"/>
        <v>-2.1846360048247249E-2</v>
      </c>
      <c r="BF135" s="27">
        <f t="shared" si="309"/>
        <v>-0.13177352607671367</v>
      </c>
      <c r="BG135" s="27">
        <f t="shared" si="309"/>
        <v>0.33993010717057937</v>
      </c>
      <c r="BH135" s="27">
        <f t="shared" si="309"/>
        <v>5.2394195220776929E-2</v>
      </c>
      <c r="BI135" s="27">
        <f t="shared" si="310"/>
        <v>0.39232430239135629</v>
      </c>
      <c r="BO135" t="str">
        <f t="shared" si="322"/>
        <v>54 Textiles, printing and other skilled trades</v>
      </c>
      <c r="BP135" s="27">
        <f t="shared" si="311"/>
        <v>-0.29255452469986443</v>
      </c>
      <c r="BQ135" s="27">
        <f t="shared" si="311"/>
        <v>-0.16179238120976747</v>
      </c>
      <c r="BR135" s="27">
        <f t="shared" si="311"/>
        <v>8.7791986720786586E-2</v>
      </c>
      <c r="BS135" s="27">
        <f t="shared" si="311"/>
        <v>-0.21698200294729597</v>
      </c>
      <c r="BT135" s="27">
        <f t="shared" si="312"/>
        <v>-0.12919001622650939</v>
      </c>
      <c r="BZ135" t="str">
        <f t="shared" si="323"/>
        <v>54 Textiles, printing and other skilled trades</v>
      </c>
      <c r="CA135" s="68">
        <f t="shared" si="313"/>
        <v>-0.35369726177738126</v>
      </c>
      <c r="CB135" s="68">
        <f t="shared" si="313"/>
        <v>-5.2519346651109355E-2</v>
      </c>
      <c r="CC135" s="68">
        <f t="shared" si="313"/>
        <v>-0.11036129807276329</v>
      </c>
      <c r="CD135" s="68">
        <f t="shared" si="313"/>
        <v>-0.58148743888422461</v>
      </c>
      <c r="CE135" s="68">
        <f t="shared" si="314"/>
        <v>-0.6918487369569879</v>
      </c>
      <c r="CK135" t="str">
        <f t="shared" si="324"/>
        <v>54 Textiles, printing and other skilled trades</v>
      </c>
      <c r="CL135" s="68">
        <f t="shared" si="315"/>
        <v>-0.38041190510890432</v>
      </c>
      <c r="CM135" s="68">
        <f t="shared" si="315"/>
        <v>6.4442049903984833E-2</v>
      </c>
      <c r="CN135" s="68">
        <f t="shared" si="315"/>
        <v>-0.5090839336732067</v>
      </c>
      <c r="CO135" s="68">
        <f t="shared" si="315"/>
        <v>-0.23636259592250525</v>
      </c>
      <c r="CP135" s="68">
        <f t="shared" si="316"/>
        <v>-0.745446529595712</v>
      </c>
    </row>
    <row r="136" spans="1:94" x14ac:dyDescent="0.25">
      <c r="A136" t="str">
        <f t="shared" si="298"/>
        <v>61 Caring personal service occupations</v>
      </c>
      <c r="B136" s="27">
        <f t="shared" si="299"/>
        <v>8.0017597645837164E-3</v>
      </c>
      <c r="C136" s="27">
        <f t="shared" si="299"/>
        <v>-8.0447615203184386E-5</v>
      </c>
      <c r="D136" s="27">
        <f t="shared" si="299"/>
        <v>1.025911600134706E-2</v>
      </c>
      <c r="E136" s="27">
        <f t="shared" si="299"/>
        <v>2.9405432917370716E-2</v>
      </c>
      <c r="F136" s="27">
        <f t="shared" si="300"/>
        <v>3.9664548918717776E-2</v>
      </c>
      <c r="L136" t="str">
        <f t="shared" si="317"/>
        <v>61 Caring personal service occupations</v>
      </c>
      <c r="M136" s="27">
        <f t="shared" si="301"/>
        <v>0.53058090070714958</v>
      </c>
      <c r="N136" s="27">
        <f t="shared" si="301"/>
        <v>5.7384277010836593E-2</v>
      </c>
      <c r="O136" s="27">
        <f t="shared" si="301"/>
        <v>0.73488124699244661</v>
      </c>
      <c r="P136" s="27">
        <f t="shared" si="301"/>
        <v>2.1622396343953696</v>
      </c>
      <c r="Q136" s="27">
        <f t="shared" si="302"/>
        <v>2.8971208813878162</v>
      </c>
      <c r="W136" t="str">
        <f t="shared" si="318"/>
        <v>61 Caring personal service occupations</v>
      </c>
      <c r="X136" s="27">
        <f t="shared" si="303"/>
        <v>0.18949155487742342</v>
      </c>
      <c r="Y136" s="27">
        <f t="shared" si="303"/>
        <v>0.7322674796480042</v>
      </c>
      <c r="Z136" s="27">
        <f t="shared" si="303"/>
        <v>0.76108960509330803</v>
      </c>
      <c r="AA136" s="27">
        <f t="shared" si="303"/>
        <v>1.7446890283095504</v>
      </c>
      <c r="AB136" s="27">
        <f t="shared" si="304"/>
        <v>2.5057786334028584</v>
      </c>
      <c r="AH136" t="str">
        <f t="shared" si="319"/>
        <v>61 Caring personal service occupations</v>
      </c>
      <c r="AI136" s="27">
        <f t="shared" si="305"/>
        <v>-0.26172949716489491</v>
      </c>
      <c r="AJ136" s="27">
        <f t="shared" si="305"/>
        <v>0.67206172886975724</v>
      </c>
      <c r="AK136" s="27">
        <f t="shared" si="305"/>
        <v>-0.19490292838497059</v>
      </c>
      <c r="AL136" s="27">
        <f t="shared" si="305"/>
        <v>0.42636474678255798</v>
      </c>
      <c r="AM136" s="27">
        <f t="shared" si="306"/>
        <v>0.23146181839758739</v>
      </c>
      <c r="AS136" t="str">
        <f t="shared" si="320"/>
        <v>61 Caring personal service occupations</v>
      </c>
      <c r="AT136" s="27">
        <f t="shared" si="307"/>
        <v>3.822986328848188E-2</v>
      </c>
      <c r="AU136" s="27">
        <f t="shared" si="307"/>
        <v>0.34585312950541391</v>
      </c>
      <c r="AV136" s="27">
        <f t="shared" si="307"/>
        <v>-3.8964618945065865E-2</v>
      </c>
      <c r="AW136" s="27">
        <f t="shared" si="307"/>
        <v>0.35551286834533879</v>
      </c>
      <c r="AX136" s="27">
        <f t="shared" si="308"/>
        <v>0.31654824940027293</v>
      </c>
      <c r="BD136" t="str">
        <f t="shared" si="321"/>
        <v>61 Caring personal service occupations</v>
      </c>
      <c r="BE136" s="27">
        <f t="shared" si="309"/>
        <v>2.6648396620315076</v>
      </c>
      <c r="BF136" s="27">
        <f t="shared" si="309"/>
        <v>-0.75839420874518915</v>
      </c>
      <c r="BG136" s="27">
        <f t="shared" si="309"/>
        <v>0.92024752011927369</v>
      </c>
      <c r="BH136" s="27">
        <f t="shared" si="309"/>
        <v>1.2009424618773501</v>
      </c>
      <c r="BI136" s="27">
        <f t="shared" si="310"/>
        <v>2.1211899819966238</v>
      </c>
      <c r="BO136" t="str">
        <f t="shared" si="322"/>
        <v>61 Caring personal service occupations</v>
      </c>
      <c r="BP136" s="27">
        <f t="shared" si="311"/>
        <v>0.86136723486244016</v>
      </c>
      <c r="BQ136" s="27">
        <f t="shared" si="311"/>
        <v>-2.108458106455549</v>
      </c>
      <c r="BR136" s="27">
        <f t="shared" si="311"/>
        <v>0.12503689842173316</v>
      </c>
      <c r="BS136" s="27">
        <f t="shared" si="311"/>
        <v>-1.8666330238946696</v>
      </c>
      <c r="BT136" s="27">
        <f t="shared" si="312"/>
        <v>-1.7415961254729364</v>
      </c>
      <c r="BZ136" t="str">
        <f t="shared" si="323"/>
        <v>61 Caring personal service occupations</v>
      </c>
      <c r="CA136" s="68">
        <f t="shared" si="313"/>
        <v>-1.3546429329866918</v>
      </c>
      <c r="CB136" s="68">
        <f t="shared" si="313"/>
        <v>-0.32664641133219141</v>
      </c>
      <c r="CC136" s="68">
        <f t="shared" si="313"/>
        <v>-0.44133398725955875</v>
      </c>
      <c r="CD136" s="68">
        <f t="shared" si="313"/>
        <v>-0.28580105681477852</v>
      </c>
      <c r="CE136" s="68">
        <f t="shared" si="314"/>
        <v>-0.72713504407433727</v>
      </c>
      <c r="CK136" t="str">
        <f t="shared" si="324"/>
        <v>61 Caring personal service occupations</v>
      </c>
      <c r="CL136" s="68">
        <f t="shared" si="315"/>
        <v>-0.16349549287131038</v>
      </c>
      <c r="CM136" s="68">
        <f t="shared" si="315"/>
        <v>3.3157164970410435E-2</v>
      </c>
      <c r="CN136" s="68">
        <f t="shared" si="315"/>
        <v>-0.11009558747348713</v>
      </c>
      <c r="CO136" s="68">
        <f t="shared" si="315"/>
        <v>-0.11051645192734655</v>
      </c>
      <c r="CP136" s="68">
        <f t="shared" si="316"/>
        <v>-0.22061203940083368</v>
      </c>
    </row>
    <row r="137" spans="1:94" x14ac:dyDescent="0.25">
      <c r="A137" t="str">
        <f t="shared" si="298"/>
        <v>62 Leisure, travel and related personal service occupations</v>
      </c>
      <c r="B137" s="27">
        <f t="shared" si="299"/>
        <v>7.1385751013128603E-3</v>
      </c>
      <c r="C137" s="27">
        <f t="shared" si="299"/>
        <v>1.0781677305704979E-3</v>
      </c>
      <c r="D137" s="27">
        <f t="shared" si="299"/>
        <v>6.7560853776072981E-3</v>
      </c>
      <c r="E137" s="27">
        <f t="shared" si="299"/>
        <v>1.7636278518566917E-2</v>
      </c>
      <c r="F137" s="27">
        <f t="shared" si="300"/>
        <v>2.4392363896174215E-2</v>
      </c>
      <c r="L137" t="str">
        <f t="shared" si="317"/>
        <v>62 Leisure, travel and related personal service occupations</v>
      </c>
      <c r="M137" s="27">
        <f t="shared" si="301"/>
        <v>3.8180607371532754E-2</v>
      </c>
      <c r="N137" s="27">
        <f t="shared" si="301"/>
        <v>-8.4299066138690537E-4</v>
      </c>
      <c r="O137" s="27">
        <f t="shared" si="301"/>
        <v>3.2748931279703242E-2</v>
      </c>
      <c r="P137" s="27">
        <f t="shared" si="301"/>
        <v>0.19715363271083819</v>
      </c>
      <c r="Q137" s="27">
        <f t="shared" si="302"/>
        <v>0.22990256399054143</v>
      </c>
      <c r="W137" t="str">
        <f t="shared" si="318"/>
        <v>62 Leisure, travel and related personal service occupations</v>
      </c>
      <c r="X137" s="27">
        <f t="shared" si="303"/>
        <v>-1.2902748403200159E-2</v>
      </c>
      <c r="Y137" s="27">
        <f t="shared" si="303"/>
        <v>5.1540010468275499E-2</v>
      </c>
      <c r="Z137" s="27">
        <f t="shared" si="303"/>
        <v>0.13025727924058828</v>
      </c>
      <c r="AA137" s="27">
        <f t="shared" si="303"/>
        <v>0.42101247752504078</v>
      </c>
      <c r="AB137" s="27">
        <f t="shared" si="304"/>
        <v>0.55126975676562906</v>
      </c>
      <c r="AH137" t="str">
        <f t="shared" si="319"/>
        <v>62 Leisure, travel and related personal service occupations</v>
      </c>
      <c r="AI137" s="27">
        <f t="shared" si="305"/>
        <v>-2.8584738483114935E-2</v>
      </c>
      <c r="AJ137" s="27">
        <f t="shared" si="305"/>
        <v>4.7430607852962381E-2</v>
      </c>
      <c r="AK137" s="27">
        <f t="shared" si="305"/>
        <v>1.7426126576067569E-2</v>
      </c>
      <c r="AL137" s="27">
        <f t="shared" si="305"/>
        <v>0.20915258754497101</v>
      </c>
      <c r="AM137" s="27">
        <f t="shared" si="306"/>
        <v>0.22657871412103858</v>
      </c>
      <c r="AS137" t="str">
        <f t="shared" si="320"/>
        <v>62 Leisure, travel and related personal service occupations</v>
      </c>
      <c r="AT137" s="27">
        <f t="shared" si="307"/>
        <v>-5.0396684957026761E-2</v>
      </c>
      <c r="AU137" s="27">
        <f t="shared" si="307"/>
        <v>7.4626758902232249E-2</v>
      </c>
      <c r="AV137" s="27">
        <f t="shared" si="307"/>
        <v>3.2563960868146391E-2</v>
      </c>
      <c r="AW137" s="27">
        <f t="shared" si="307"/>
        <v>0.26529008247691177</v>
      </c>
      <c r="AX137" s="27">
        <f t="shared" si="308"/>
        <v>0.29785404334505816</v>
      </c>
      <c r="BD137" t="str">
        <f t="shared" si="321"/>
        <v>62 Leisure, travel and related personal service occupations</v>
      </c>
      <c r="BE137" s="27">
        <f t="shared" si="309"/>
        <v>-0.36496974301619733</v>
      </c>
      <c r="BF137" s="27">
        <f t="shared" si="309"/>
        <v>-0.23875959395621926</v>
      </c>
      <c r="BG137" s="27">
        <f t="shared" si="309"/>
        <v>-0.17260210162522682</v>
      </c>
      <c r="BH137" s="27">
        <f t="shared" si="309"/>
        <v>-0.18029085369142406</v>
      </c>
      <c r="BI137" s="27">
        <f t="shared" si="310"/>
        <v>-0.35289295531665088</v>
      </c>
      <c r="BO137" t="str">
        <f t="shared" si="322"/>
        <v>62 Leisure, travel and related personal service occupations</v>
      </c>
      <c r="BP137" s="27">
        <f t="shared" si="311"/>
        <v>-0.42254506690161886</v>
      </c>
      <c r="BQ137" s="27">
        <f t="shared" si="311"/>
        <v>-0.54347850636969497</v>
      </c>
      <c r="BR137" s="27">
        <f t="shared" si="311"/>
        <v>-0.16992022087013137</v>
      </c>
      <c r="BS137" s="27">
        <f t="shared" si="311"/>
        <v>-0.40351244116874918</v>
      </c>
      <c r="BT137" s="27">
        <f t="shared" si="312"/>
        <v>-0.57343266203888055</v>
      </c>
      <c r="BZ137" t="str">
        <f t="shared" si="323"/>
        <v>62 Leisure, travel and related personal service occupations</v>
      </c>
      <c r="CA137" s="68">
        <f t="shared" si="313"/>
        <v>-0.30105192281165749</v>
      </c>
      <c r="CB137" s="68">
        <f t="shared" si="313"/>
        <v>-0.25190034785881577</v>
      </c>
      <c r="CC137" s="68">
        <f t="shared" si="313"/>
        <v>-0.22642312049200153</v>
      </c>
      <c r="CD137" s="68">
        <f t="shared" si="313"/>
        <v>-0.43020191612882341</v>
      </c>
      <c r="CE137" s="68">
        <f t="shared" si="314"/>
        <v>-0.65662503662082494</v>
      </c>
      <c r="CK137" t="str">
        <f t="shared" si="324"/>
        <v>62 Leisure, travel and related personal service occupations</v>
      </c>
      <c r="CL137" s="68">
        <f t="shared" si="315"/>
        <v>-0.31878587095861466</v>
      </c>
      <c r="CM137" s="68">
        <f t="shared" si="315"/>
        <v>1.3935891127545674E-2</v>
      </c>
      <c r="CN137" s="68">
        <f t="shared" si="315"/>
        <v>-0.35139438220956626</v>
      </c>
      <c r="CO137" s="68">
        <f t="shared" si="315"/>
        <v>-0.16444960737074937</v>
      </c>
      <c r="CP137" s="68">
        <f t="shared" si="316"/>
        <v>-0.51584398958031563</v>
      </c>
    </row>
    <row r="138" spans="1:94" x14ac:dyDescent="0.25">
      <c r="A138" t="str">
        <f t="shared" si="298"/>
        <v>63 Community and civil enforcement occupations</v>
      </c>
      <c r="B138" s="27">
        <f t="shared" si="299"/>
        <v>6.3158904836685707E-4</v>
      </c>
      <c r="C138" s="27">
        <f t="shared" si="299"/>
        <v>-4.1121833303197101E-4</v>
      </c>
      <c r="D138" s="27">
        <f t="shared" si="299"/>
        <v>6.8506667808843611E-4</v>
      </c>
      <c r="E138" s="27">
        <f t="shared" si="299"/>
        <v>1.1048698510439945E-3</v>
      </c>
      <c r="F138" s="27">
        <f t="shared" si="300"/>
        <v>1.7899365291324306E-3</v>
      </c>
      <c r="L138" t="str">
        <f t="shared" si="317"/>
        <v>63 Community and civil enforcement occupations</v>
      </c>
      <c r="M138" s="27">
        <f t="shared" si="301"/>
        <v>2.7341668867081788E-3</v>
      </c>
      <c r="N138" s="27">
        <f t="shared" si="301"/>
        <v>-2.0731181342386121E-4</v>
      </c>
      <c r="O138" s="27">
        <f t="shared" si="301"/>
        <v>1.870475233089787E-3</v>
      </c>
      <c r="P138" s="27">
        <f t="shared" si="301"/>
        <v>1.1360817051261872E-2</v>
      </c>
      <c r="Q138" s="27">
        <f t="shared" si="302"/>
        <v>1.3231292284351659E-2</v>
      </c>
      <c r="W138" t="str">
        <f t="shared" si="318"/>
        <v>63 Community and civil enforcement occupations</v>
      </c>
      <c r="X138" s="27">
        <f t="shared" si="303"/>
        <v>-4.0185610301354119E-3</v>
      </c>
      <c r="Y138" s="27">
        <f t="shared" si="303"/>
        <v>8.1631198934735416E-3</v>
      </c>
      <c r="Z138" s="27">
        <f t="shared" si="303"/>
        <v>3.8483474347710683E-3</v>
      </c>
      <c r="AA138" s="27">
        <f t="shared" si="303"/>
        <v>1.9554078642584488E-2</v>
      </c>
      <c r="AB138" s="27">
        <f t="shared" si="304"/>
        <v>2.3402426077355556E-2</v>
      </c>
      <c r="AH138" t="str">
        <f t="shared" si="319"/>
        <v>63 Community and civil enforcement occupations</v>
      </c>
      <c r="AI138" s="27">
        <f t="shared" si="305"/>
        <v>-3.1399639650660366E-3</v>
      </c>
      <c r="AJ138" s="27">
        <f t="shared" si="305"/>
        <v>4.8015362405662079E-3</v>
      </c>
      <c r="AK138" s="27">
        <f t="shared" si="305"/>
        <v>-3.1835089485617828E-3</v>
      </c>
      <c r="AL138" s="27">
        <f t="shared" si="305"/>
        <v>5.2075038137558427E-3</v>
      </c>
      <c r="AM138" s="27">
        <f t="shared" si="306"/>
        <v>2.0239948651940599E-3</v>
      </c>
      <c r="AS138" t="str">
        <f t="shared" si="320"/>
        <v>63 Community and civil enforcement occupations</v>
      </c>
      <c r="AT138" s="27">
        <f t="shared" si="307"/>
        <v>-3.2736513843136597E-3</v>
      </c>
      <c r="AU138" s="27">
        <f t="shared" si="307"/>
        <v>4.1452964449032355E-3</v>
      </c>
      <c r="AV138" s="27">
        <f t="shared" si="307"/>
        <v>-3.8802304243547789E-3</v>
      </c>
      <c r="AW138" s="27">
        <f t="shared" si="307"/>
        <v>1.4173121297321213E-3</v>
      </c>
      <c r="AX138" s="27">
        <f t="shared" si="308"/>
        <v>-2.4629182946226576E-3</v>
      </c>
      <c r="BD138" t="str">
        <f t="shared" si="321"/>
        <v>63 Community and civil enforcement occupations</v>
      </c>
      <c r="BE138" s="27">
        <f t="shared" si="309"/>
        <v>-1.917782730084009E-2</v>
      </c>
      <c r="BF138" s="27">
        <f t="shared" si="309"/>
        <v>1.9051113366343651E-2</v>
      </c>
      <c r="BG138" s="27">
        <f t="shared" si="309"/>
        <v>-2.2737383522666452E-2</v>
      </c>
      <c r="BH138" s="27">
        <f t="shared" si="309"/>
        <v>8.6283551801164954E-3</v>
      </c>
      <c r="BI138" s="27">
        <f t="shared" si="310"/>
        <v>-1.4109028342549956E-2</v>
      </c>
      <c r="BO138" t="str">
        <f t="shared" si="322"/>
        <v>63 Community and civil enforcement occupations</v>
      </c>
      <c r="BP138" s="27">
        <f t="shared" si="311"/>
        <v>-1.3616979174027641E-2</v>
      </c>
      <c r="BQ138" s="27">
        <f t="shared" si="311"/>
        <v>1.4248412988479467E-2</v>
      </c>
      <c r="BR138" s="27">
        <f t="shared" si="311"/>
        <v>-2.5183564759499538E-2</v>
      </c>
      <c r="BS138" s="27">
        <f t="shared" si="311"/>
        <v>4.9194576555024044E-3</v>
      </c>
      <c r="BT138" s="27">
        <f t="shared" si="312"/>
        <v>-2.0264107103997134E-2</v>
      </c>
      <c r="BZ138" t="str">
        <f t="shared" si="323"/>
        <v>63 Community and civil enforcement occupations</v>
      </c>
      <c r="CA138" s="68">
        <f t="shared" si="313"/>
        <v>-1.8773780751053459E-2</v>
      </c>
      <c r="CB138" s="68">
        <f t="shared" si="313"/>
        <v>1.6938094583601349E-2</v>
      </c>
      <c r="CC138" s="68">
        <f t="shared" si="313"/>
        <v>-2.9157952584144234E-2</v>
      </c>
      <c r="CD138" s="68">
        <f t="shared" si="313"/>
        <v>-1.1824888687910158E-2</v>
      </c>
      <c r="CE138" s="68">
        <f t="shared" si="314"/>
        <v>-4.0982841272054392E-2</v>
      </c>
      <c r="CK138" t="str">
        <f t="shared" si="324"/>
        <v>63 Community and civil enforcement occupations</v>
      </c>
      <c r="CL138" s="68">
        <f t="shared" si="315"/>
        <v>-2.057256902828962E-2</v>
      </c>
      <c r="CM138" s="68">
        <f t="shared" si="315"/>
        <v>1.2742268233782841E-2</v>
      </c>
      <c r="CN138" s="68">
        <f t="shared" si="315"/>
        <v>-2.8314400526751514E-2</v>
      </c>
      <c r="CO138" s="68">
        <f t="shared" si="315"/>
        <v>-6.203152720876467E-3</v>
      </c>
      <c r="CP138" s="68">
        <f t="shared" si="316"/>
        <v>-3.451755324762798E-2</v>
      </c>
    </row>
    <row r="139" spans="1:94" x14ac:dyDescent="0.25">
      <c r="A139" t="str">
        <f t="shared" si="298"/>
        <v>71 Sales occupations</v>
      </c>
      <c r="B139" s="27">
        <f t="shared" si="299"/>
        <v>7.1441172281257043E-3</v>
      </c>
      <c r="C139" s="27">
        <f t="shared" si="299"/>
        <v>-6.9938278059342995E-3</v>
      </c>
      <c r="D139" s="27">
        <f t="shared" si="299"/>
        <v>1.2919602647534424E-2</v>
      </c>
      <c r="E139" s="27">
        <f t="shared" si="299"/>
        <v>3.0626927364638651E-2</v>
      </c>
      <c r="F139" s="27">
        <f t="shared" si="300"/>
        <v>4.3546530012173075E-2</v>
      </c>
      <c r="L139" t="str">
        <f t="shared" si="317"/>
        <v>71 Sales occupations</v>
      </c>
      <c r="M139" s="27">
        <f t="shared" si="301"/>
        <v>0.19660637341663378</v>
      </c>
      <c r="N139" s="27">
        <f t="shared" si="301"/>
        <v>-4.1869255287164675E-3</v>
      </c>
      <c r="O139" s="27">
        <f t="shared" si="301"/>
        <v>0.37664173208494123</v>
      </c>
      <c r="P139" s="27">
        <f t="shared" si="301"/>
        <v>1.0202439173584961</v>
      </c>
      <c r="Q139" s="27">
        <f t="shared" si="302"/>
        <v>1.3968856494434374</v>
      </c>
      <c r="W139" t="str">
        <f t="shared" si="318"/>
        <v>71 Sales occupations</v>
      </c>
      <c r="X139" s="27">
        <f t="shared" si="303"/>
        <v>-0.35509253607295976</v>
      </c>
      <c r="Y139" s="27">
        <f t="shared" si="303"/>
        <v>0.51222479943235344</v>
      </c>
      <c r="Z139" s="27">
        <f t="shared" si="303"/>
        <v>0.43676855141845206</v>
      </c>
      <c r="AA139" s="27">
        <f t="shared" si="303"/>
        <v>1.3423954128407489</v>
      </c>
      <c r="AB139" s="27">
        <f t="shared" si="304"/>
        <v>1.779163964259201</v>
      </c>
      <c r="AH139" t="str">
        <f t="shared" si="319"/>
        <v>71 Sales occupations</v>
      </c>
      <c r="AI139" s="27">
        <f t="shared" si="305"/>
        <v>-0.14606607042261577</v>
      </c>
      <c r="AJ139" s="27">
        <f t="shared" si="305"/>
        <v>0.20612099762828628</v>
      </c>
      <c r="AK139" s="27">
        <f t="shared" si="305"/>
        <v>2.7674992300349421E-2</v>
      </c>
      <c r="AL139" s="27">
        <f t="shared" si="305"/>
        <v>0.31954062461382393</v>
      </c>
      <c r="AM139" s="27">
        <f t="shared" si="306"/>
        <v>0.34721561691417335</v>
      </c>
      <c r="AS139" t="str">
        <f t="shared" si="320"/>
        <v>71 Sales occupations</v>
      </c>
      <c r="AT139" s="27">
        <f t="shared" si="307"/>
        <v>-0.15450284928715863</v>
      </c>
      <c r="AU139" s="27">
        <f t="shared" si="307"/>
        <v>0.12362282697520899</v>
      </c>
      <c r="AV139" s="27">
        <f t="shared" si="307"/>
        <v>-2.4099930507318623E-2</v>
      </c>
      <c r="AW139" s="27">
        <f t="shared" si="307"/>
        <v>0.22081751514051517</v>
      </c>
      <c r="AX139" s="27">
        <f t="shared" si="308"/>
        <v>0.19671758463319655</v>
      </c>
      <c r="BD139" t="str">
        <f t="shared" si="321"/>
        <v>71 Sales occupations</v>
      </c>
      <c r="BE139" s="27">
        <f t="shared" si="309"/>
        <v>-0.19268747244401574</v>
      </c>
      <c r="BF139" s="27">
        <f t="shared" si="309"/>
        <v>4.4606714389108681E-2</v>
      </c>
      <c r="BG139" s="27">
        <f t="shared" si="309"/>
        <v>0.24913380337238866</v>
      </c>
      <c r="BH139" s="27">
        <f t="shared" si="309"/>
        <v>3.6531472106323903E-2</v>
      </c>
      <c r="BI139" s="27">
        <f t="shared" si="310"/>
        <v>0.28566527547871257</v>
      </c>
      <c r="BO139" t="str">
        <f t="shared" si="322"/>
        <v>71 Sales occupations</v>
      </c>
      <c r="BP139" s="27">
        <f t="shared" si="311"/>
        <v>-0.85938241358957157</v>
      </c>
      <c r="BQ139" s="27">
        <f t="shared" si="311"/>
        <v>-1.0060503881025618</v>
      </c>
      <c r="BR139" s="27">
        <f t="shared" si="311"/>
        <v>0.10619015065913207</v>
      </c>
      <c r="BS139" s="27">
        <f t="shared" si="311"/>
        <v>-1.3462539369025253</v>
      </c>
      <c r="BT139" s="27">
        <f t="shared" si="312"/>
        <v>-1.2400637862433932</v>
      </c>
      <c r="BZ139" t="str">
        <f t="shared" si="323"/>
        <v>71 Sales occupations</v>
      </c>
      <c r="CA139" s="68">
        <f t="shared" si="313"/>
        <v>-0.85447751890865131</v>
      </c>
      <c r="CB139" s="68">
        <f t="shared" si="313"/>
        <v>-0.43793895671724581</v>
      </c>
      <c r="CC139" s="68">
        <f t="shared" si="313"/>
        <v>-0.92622175635948167</v>
      </c>
      <c r="CD139" s="68">
        <f t="shared" si="313"/>
        <v>-2.2274331425257126</v>
      </c>
      <c r="CE139" s="68">
        <f t="shared" si="314"/>
        <v>-3.1536548988851942</v>
      </c>
      <c r="CK139" t="str">
        <f t="shared" si="324"/>
        <v>71 Sales occupations</v>
      </c>
      <c r="CL139" s="68">
        <f t="shared" si="315"/>
        <v>-1.1290863142345571</v>
      </c>
      <c r="CM139" s="68">
        <f t="shared" si="315"/>
        <v>8.3278380458084555E-2</v>
      </c>
      <c r="CN139" s="68">
        <f t="shared" si="315"/>
        <v>-1.2961131786679119</v>
      </c>
      <c r="CO139" s="68">
        <f t="shared" si="315"/>
        <v>-0.7969529394265219</v>
      </c>
      <c r="CP139" s="68">
        <f t="shared" si="316"/>
        <v>-2.0930661180944337</v>
      </c>
    </row>
    <row r="140" spans="1:94" x14ac:dyDescent="0.25">
      <c r="A140" t="str">
        <f t="shared" si="298"/>
        <v>72 Customer service occupations</v>
      </c>
      <c r="B140" s="27">
        <f t="shared" si="299"/>
        <v>5.5805340738110075E-3</v>
      </c>
      <c r="C140" s="27">
        <f t="shared" si="299"/>
        <v>1.8969222837210142E-3</v>
      </c>
      <c r="D140" s="27">
        <f t="shared" si="299"/>
        <v>2.1465459799195417E-2</v>
      </c>
      <c r="E140" s="27">
        <f t="shared" si="299"/>
        <v>4.3856648689319322E-2</v>
      </c>
      <c r="F140" s="27">
        <f t="shared" si="300"/>
        <v>6.5322108488514746E-2</v>
      </c>
      <c r="L140" t="str">
        <f t="shared" si="317"/>
        <v>72 Customer service occupations</v>
      </c>
      <c r="M140" s="27">
        <f t="shared" si="301"/>
        <v>9.1840090173074485E-2</v>
      </c>
      <c r="N140" s="27">
        <f t="shared" si="301"/>
        <v>2.037777264016738E-2</v>
      </c>
      <c r="O140" s="27">
        <f t="shared" si="301"/>
        <v>0.16012535476102752</v>
      </c>
      <c r="P140" s="27">
        <f t="shared" si="301"/>
        <v>0.37169571421249947</v>
      </c>
      <c r="Q140" s="27">
        <f t="shared" si="302"/>
        <v>0.53182106897352699</v>
      </c>
      <c r="W140" t="str">
        <f t="shared" si="318"/>
        <v>72 Customer service occupations</v>
      </c>
      <c r="X140" s="27">
        <f t="shared" si="303"/>
        <v>-7.4444549014927697E-2</v>
      </c>
      <c r="Y140" s="27">
        <f t="shared" si="303"/>
        <v>0.23119197004560377</v>
      </c>
      <c r="Z140" s="27">
        <f t="shared" si="303"/>
        <v>0.25071006246312311</v>
      </c>
      <c r="AA140" s="27">
        <f t="shared" si="303"/>
        <v>0.50001087226096952</v>
      </c>
      <c r="AB140" s="27">
        <f t="shared" si="304"/>
        <v>0.75072093472409263</v>
      </c>
      <c r="AH140" t="str">
        <f t="shared" si="319"/>
        <v>72 Customer service occupations</v>
      </c>
      <c r="AI140" s="27">
        <f t="shared" si="305"/>
        <v>8.9623235592417583E-5</v>
      </c>
      <c r="AJ140" s="27">
        <f t="shared" si="305"/>
        <v>9.8405951697731642E-2</v>
      </c>
      <c r="AK140" s="27">
        <f t="shared" si="305"/>
        <v>9.3237802743971587E-2</v>
      </c>
      <c r="AL140" s="27">
        <f t="shared" si="305"/>
        <v>0.20841169941851623</v>
      </c>
      <c r="AM140" s="27">
        <f t="shared" si="306"/>
        <v>0.30164950216248781</v>
      </c>
      <c r="AS140" t="str">
        <f t="shared" si="320"/>
        <v>72 Customer service occupations</v>
      </c>
      <c r="AT140" s="27">
        <f t="shared" si="307"/>
        <v>-0.11866602441069862</v>
      </c>
      <c r="AU140" s="27">
        <f t="shared" si="307"/>
        <v>6.8440327637409482E-2</v>
      </c>
      <c r="AV140" s="27">
        <f t="shared" si="307"/>
        <v>0.14038627521940605</v>
      </c>
      <c r="AW140" s="27">
        <f t="shared" si="307"/>
        <v>0.1423119451689705</v>
      </c>
      <c r="AX140" s="27">
        <f t="shared" si="308"/>
        <v>0.28269822038837655</v>
      </c>
      <c r="BD140" t="str">
        <f t="shared" si="321"/>
        <v>72 Customer service occupations</v>
      </c>
      <c r="BE140" s="27">
        <f t="shared" si="309"/>
        <v>3.0989615773433066E-2</v>
      </c>
      <c r="BF140" s="27">
        <f t="shared" si="309"/>
        <v>2.0201758851825957E-2</v>
      </c>
      <c r="BG140" s="27">
        <f t="shared" si="309"/>
        <v>0.30500134596186701</v>
      </c>
      <c r="BH140" s="27">
        <f t="shared" si="309"/>
        <v>0.2389458369028481</v>
      </c>
      <c r="BI140" s="27">
        <f t="shared" si="310"/>
        <v>0.54394718286471511</v>
      </c>
      <c r="BO140" t="str">
        <f t="shared" si="322"/>
        <v>72 Customer service occupations</v>
      </c>
      <c r="BP140" s="27">
        <f t="shared" si="311"/>
        <v>4.63834088239925E-2</v>
      </c>
      <c r="BQ140" s="27">
        <f t="shared" si="311"/>
        <v>-0.27790287035611261</v>
      </c>
      <c r="BR140" s="27">
        <f t="shared" si="311"/>
        <v>0.27858217679445918</v>
      </c>
      <c r="BS140" s="27">
        <f t="shared" si="311"/>
        <v>-0.13970461680074298</v>
      </c>
      <c r="BT140" s="27">
        <f t="shared" si="312"/>
        <v>0.1388775599937162</v>
      </c>
      <c r="BZ140" t="str">
        <f t="shared" si="323"/>
        <v>72 Customer service occupations</v>
      </c>
      <c r="CA140" s="68">
        <f t="shared" si="313"/>
        <v>-0.21512714301710667</v>
      </c>
      <c r="CB140" s="68">
        <f t="shared" si="313"/>
        <v>-2.0626182817766958E-2</v>
      </c>
      <c r="CC140" s="68">
        <f t="shared" si="313"/>
        <v>-8.7387303925075877E-2</v>
      </c>
      <c r="CD140" s="68">
        <f t="shared" si="313"/>
        <v>-0.18233526702512382</v>
      </c>
      <c r="CE140" s="68">
        <f t="shared" si="314"/>
        <v>-0.26972257095019969</v>
      </c>
      <c r="CK140" t="str">
        <f t="shared" si="324"/>
        <v>72 Customer service occupations</v>
      </c>
      <c r="CL140" s="68">
        <f t="shared" si="315"/>
        <v>-7.3344815257436746E-3</v>
      </c>
      <c r="CM140" s="68">
        <f t="shared" si="315"/>
        <v>9.8859438195014415E-2</v>
      </c>
      <c r="CN140" s="68">
        <f t="shared" si="315"/>
        <v>-9.2333033699638745E-2</v>
      </c>
      <c r="CO140" s="68">
        <f t="shared" si="315"/>
        <v>-7.4093927206997368E-2</v>
      </c>
      <c r="CP140" s="68">
        <f t="shared" si="316"/>
        <v>-0.16642696090663611</v>
      </c>
    </row>
    <row r="141" spans="1:94" x14ac:dyDescent="0.25">
      <c r="A141" t="str">
        <f t="shared" si="298"/>
        <v>81 Process, plant and machine operatives</v>
      </c>
      <c r="B141" s="27">
        <f t="shared" si="299"/>
        <v>9.7287115717273227E-3</v>
      </c>
      <c r="C141" s="27">
        <f t="shared" si="299"/>
        <v>-4.2854184986476293E-3</v>
      </c>
      <c r="D141" s="27">
        <f t="shared" si="299"/>
        <v>1.7394667028130931E-2</v>
      </c>
      <c r="E141" s="27">
        <f t="shared" si="299"/>
        <v>5.8588757476518309E-2</v>
      </c>
      <c r="F141" s="27">
        <f t="shared" si="300"/>
        <v>7.5983424504649233E-2</v>
      </c>
      <c r="L141" t="str">
        <f t="shared" si="317"/>
        <v>81 Process, plant and machine operatives</v>
      </c>
      <c r="M141" s="27">
        <f t="shared" si="301"/>
        <v>7.0522949349581865E-2</v>
      </c>
      <c r="N141" s="27">
        <f t="shared" si="301"/>
        <v>-4.1153447429528783E-2</v>
      </c>
      <c r="O141" s="27">
        <f t="shared" si="301"/>
        <v>0.14478386221857495</v>
      </c>
      <c r="P141" s="27">
        <f t="shared" si="301"/>
        <v>0.31074759753847914</v>
      </c>
      <c r="Q141" s="27">
        <f t="shared" si="302"/>
        <v>0.45553145975705411</v>
      </c>
      <c r="W141" t="str">
        <f t="shared" si="318"/>
        <v>81 Process, plant and machine operatives</v>
      </c>
      <c r="X141" s="27">
        <f t="shared" si="303"/>
        <v>-1.8087873251814712E-2</v>
      </c>
      <c r="Y141" s="27">
        <f t="shared" si="303"/>
        <v>-2.7936999653894068E-2</v>
      </c>
      <c r="Z141" s="27">
        <f t="shared" si="303"/>
        <v>0.29775837411351569</v>
      </c>
      <c r="AA141" s="27">
        <f t="shared" si="303"/>
        <v>0.5976848195117308</v>
      </c>
      <c r="AB141" s="27">
        <f t="shared" si="304"/>
        <v>0.89544319362524649</v>
      </c>
      <c r="AH141" t="str">
        <f t="shared" si="319"/>
        <v>81 Process, plant and machine operatives</v>
      </c>
      <c r="AI141" s="27">
        <f t="shared" si="305"/>
        <v>-9.5839516817972648E-3</v>
      </c>
      <c r="AJ141" s="27">
        <f t="shared" si="305"/>
        <v>-1.3913670839488856E-2</v>
      </c>
      <c r="AK141" s="27">
        <f t="shared" si="305"/>
        <v>7.1375729830375656E-2</v>
      </c>
      <c r="AL141" s="27">
        <f t="shared" si="305"/>
        <v>9.2343500690044045E-2</v>
      </c>
      <c r="AM141" s="27">
        <f t="shared" si="306"/>
        <v>0.1637192305204197</v>
      </c>
      <c r="AS141" t="str">
        <f t="shared" si="320"/>
        <v>81 Process, plant and machine operatives</v>
      </c>
      <c r="AT141" s="27">
        <f t="shared" si="307"/>
        <v>-8.7655246365230921E-2</v>
      </c>
      <c r="AU141" s="27">
        <f t="shared" si="307"/>
        <v>-5.8033971506612048E-2</v>
      </c>
      <c r="AV141" s="27">
        <f t="shared" si="307"/>
        <v>0.14507049320789611</v>
      </c>
      <c r="AW141" s="27">
        <f t="shared" si="307"/>
        <v>0.21780665879147276</v>
      </c>
      <c r="AX141" s="27">
        <f t="shared" si="308"/>
        <v>0.36287715199936887</v>
      </c>
      <c r="BD141" t="str">
        <f t="shared" si="321"/>
        <v>81 Process, plant and machine operatives</v>
      </c>
      <c r="BE141" s="27">
        <f t="shared" si="309"/>
        <v>0.41772248576840809</v>
      </c>
      <c r="BF141" s="27">
        <f t="shared" si="309"/>
        <v>-0.74402501373123986</v>
      </c>
      <c r="BG141" s="27">
        <f t="shared" si="309"/>
        <v>0.89476831544976232</v>
      </c>
      <c r="BH141" s="27">
        <f t="shared" si="309"/>
        <v>0.46155494677514142</v>
      </c>
      <c r="BI141" s="27">
        <f t="shared" si="310"/>
        <v>1.3563232622249037</v>
      </c>
      <c r="BO141" t="str">
        <f t="shared" si="322"/>
        <v>81 Process, plant and machine operatives</v>
      </c>
      <c r="BP141" s="27">
        <f t="shared" si="311"/>
        <v>0.28642914023174093</v>
      </c>
      <c r="BQ141" s="27">
        <f t="shared" si="311"/>
        <v>-1.3444720323919919</v>
      </c>
      <c r="BR141" s="27">
        <f t="shared" si="311"/>
        <v>1.0529820045991061</v>
      </c>
      <c r="BS141" s="27">
        <f t="shared" si="311"/>
        <v>-0.5134877220313756</v>
      </c>
      <c r="BT141" s="27">
        <f t="shared" si="312"/>
        <v>0.53949428256773047</v>
      </c>
      <c r="BZ141" t="str">
        <f t="shared" si="323"/>
        <v>81 Process, plant and machine operatives</v>
      </c>
      <c r="CA141" s="68">
        <f t="shared" si="313"/>
        <v>-0.58206239689837425</v>
      </c>
      <c r="CB141" s="68">
        <f t="shared" si="313"/>
        <v>-0.74062189397295608</v>
      </c>
      <c r="CC141" s="68">
        <f t="shared" si="313"/>
        <v>-0.35638894291664469</v>
      </c>
      <c r="CD141" s="68">
        <f t="shared" si="313"/>
        <v>-2.1426756446999971</v>
      </c>
      <c r="CE141" s="68">
        <f t="shared" si="314"/>
        <v>-2.4990645876166417</v>
      </c>
      <c r="CK141" t="str">
        <f t="shared" si="324"/>
        <v>81 Process, plant and machine operatives</v>
      </c>
      <c r="CL141" s="68">
        <f t="shared" si="315"/>
        <v>-1.3676366222196923</v>
      </c>
      <c r="CM141" s="68">
        <f t="shared" si="315"/>
        <v>-0.37969370271127412</v>
      </c>
      <c r="CN141" s="68">
        <f t="shared" si="315"/>
        <v>-1.6625909766638121</v>
      </c>
      <c r="CO141" s="68">
        <f t="shared" si="315"/>
        <v>-0.55630906725350859</v>
      </c>
      <c r="CP141" s="68">
        <f t="shared" si="316"/>
        <v>-2.2189000439173205</v>
      </c>
    </row>
    <row r="142" spans="1:94" x14ac:dyDescent="0.25">
      <c r="A142" t="str">
        <f t="shared" si="298"/>
        <v>82 Transport and mobile machine drivers and operatives</v>
      </c>
      <c r="B142" s="27">
        <f t="shared" si="299"/>
        <v>2.2201614311519485E-2</v>
      </c>
      <c r="C142" s="27">
        <f t="shared" si="299"/>
        <v>-1.5507191628605296E-2</v>
      </c>
      <c r="D142" s="27">
        <f t="shared" si="299"/>
        <v>2.8794280827894064E-2</v>
      </c>
      <c r="E142" s="27">
        <f t="shared" si="299"/>
        <v>6.2817405516128549E-2</v>
      </c>
      <c r="F142" s="27">
        <f t="shared" si="300"/>
        <v>9.1611686344022614E-2</v>
      </c>
      <c r="L142" t="str">
        <f t="shared" si="317"/>
        <v>82 Transport and mobile machine drivers and operatives</v>
      </c>
      <c r="M142" s="27">
        <f t="shared" si="301"/>
        <v>8.8072711409069027E-2</v>
      </c>
      <c r="N142" s="27">
        <f t="shared" si="301"/>
        <v>-6.7196696704754588E-2</v>
      </c>
      <c r="O142" s="27">
        <f t="shared" si="301"/>
        <v>0.13531654302540136</v>
      </c>
      <c r="P142" s="27">
        <f t="shared" si="301"/>
        <v>0.2955304101929726</v>
      </c>
      <c r="Q142" s="27">
        <f t="shared" si="302"/>
        <v>0.43084695321837396</v>
      </c>
      <c r="W142" t="str">
        <f t="shared" si="318"/>
        <v>82 Transport and mobile machine drivers and operatives</v>
      </c>
      <c r="X142" s="27">
        <f t="shared" si="303"/>
        <v>9.497312288262072E-2</v>
      </c>
      <c r="Y142" s="27">
        <f t="shared" si="303"/>
        <v>-1.6131158741820917E-2</v>
      </c>
      <c r="Z142" s="27">
        <f t="shared" si="303"/>
        <v>0.27708247181889967</v>
      </c>
      <c r="AA142" s="27">
        <f t="shared" si="303"/>
        <v>0.51466902003753323</v>
      </c>
      <c r="AB142" s="27">
        <f t="shared" si="304"/>
        <v>0.7917514918564329</v>
      </c>
      <c r="AH142" t="str">
        <f t="shared" si="319"/>
        <v>82 Transport and mobile machine drivers and operatives</v>
      </c>
      <c r="AI142" s="27">
        <f t="shared" si="305"/>
        <v>3.1450972461080473E-2</v>
      </c>
      <c r="AJ142" s="27">
        <f t="shared" si="305"/>
        <v>-3.5729138243307312E-2</v>
      </c>
      <c r="AK142" s="27">
        <f t="shared" si="305"/>
        <v>0.11120449822856016</v>
      </c>
      <c r="AL142" s="27">
        <f t="shared" si="305"/>
        <v>0.16098942242515435</v>
      </c>
      <c r="AM142" s="27">
        <f t="shared" si="306"/>
        <v>0.27219392065371451</v>
      </c>
      <c r="AS142" t="str">
        <f t="shared" si="320"/>
        <v>82 Transport and mobile machine drivers and operatives</v>
      </c>
      <c r="AT142" s="27">
        <f t="shared" si="307"/>
        <v>-7.5891367764492346E-3</v>
      </c>
      <c r="AU142" s="27">
        <f t="shared" si="307"/>
        <v>-3.8980293042830794E-2</v>
      </c>
      <c r="AV142" s="27">
        <f t="shared" si="307"/>
        <v>0.12360472693929758</v>
      </c>
      <c r="AW142" s="27">
        <f t="shared" si="307"/>
        <v>0.19394733322401414</v>
      </c>
      <c r="AX142" s="27">
        <f t="shared" si="308"/>
        <v>0.31755206016331172</v>
      </c>
      <c r="BD142" t="str">
        <f t="shared" si="321"/>
        <v>82 Transport and mobile machine drivers and operatives</v>
      </c>
      <c r="BE142" s="27">
        <f t="shared" si="309"/>
        <v>0.53422745586122344</v>
      </c>
      <c r="BF142" s="27">
        <f t="shared" si="309"/>
        <v>-0.39200848839982605</v>
      </c>
      <c r="BG142" s="27">
        <f t="shared" si="309"/>
        <v>0.78183936125472275</v>
      </c>
      <c r="BH142" s="27">
        <f t="shared" si="309"/>
        <v>0.85734815680670806</v>
      </c>
      <c r="BI142" s="27">
        <f t="shared" si="310"/>
        <v>1.6391875180614308</v>
      </c>
      <c r="BO142" t="str">
        <f t="shared" si="322"/>
        <v>82 Transport and mobile machine drivers and operatives</v>
      </c>
      <c r="BP142" s="27">
        <f t="shared" si="311"/>
        <v>0.80247602945047269</v>
      </c>
      <c r="BQ142" s="27">
        <f t="shared" si="311"/>
        <v>-1.3364984372807696</v>
      </c>
      <c r="BR142" s="27">
        <f t="shared" si="311"/>
        <v>1.3406729812639995</v>
      </c>
      <c r="BS142" s="27">
        <f t="shared" si="311"/>
        <v>0.3605317045312173</v>
      </c>
      <c r="BT142" s="27">
        <f t="shared" si="312"/>
        <v>1.7012046857952168</v>
      </c>
      <c r="BZ142" t="str">
        <f t="shared" si="323"/>
        <v>82 Transport and mobile machine drivers and operatives</v>
      </c>
      <c r="CA142" s="68">
        <f t="shared" si="313"/>
        <v>-0.71132265719232812</v>
      </c>
      <c r="CB142" s="68">
        <f t="shared" si="313"/>
        <v>-0.59961217361052821</v>
      </c>
      <c r="CC142" s="68">
        <f t="shared" si="313"/>
        <v>-0.57053090419207653</v>
      </c>
      <c r="CD142" s="68">
        <f t="shared" si="313"/>
        <v>-1.2018162354046802</v>
      </c>
      <c r="CE142" s="68">
        <f t="shared" si="314"/>
        <v>-1.7723471395967567</v>
      </c>
      <c r="CK142" t="str">
        <f t="shared" si="324"/>
        <v>82 Transport and mobile machine drivers and operatives</v>
      </c>
      <c r="CL142" s="68">
        <f t="shared" si="315"/>
        <v>-0.14208252299288038</v>
      </c>
      <c r="CM142" s="68">
        <f t="shared" si="315"/>
        <v>-0.3582948113098392</v>
      </c>
      <c r="CN142" s="68">
        <f t="shared" si="315"/>
        <v>-1.4632062162058728</v>
      </c>
      <c r="CO142" s="68">
        <f t="shared" si="315"/>
        <v>-1.2988389073439901</v>
      </c>
      <c r="CP142" s="68">
        <f t="shared" si="316"/>
        <v>-2.7620451235498629</v>
      </c>
    </row>
    <row r="143" spans="1:94" x14ac:dyDescent="0.25">
      <c r="A143" t="str">
        <f t="shared" si="298"/>
        <v>91 Elementary trades and related occupations</v>
      </c>
      <c r="B143" s="27">
        <f t="shared" si="299"/>
        <v>-1.2368103773709367E-5</v>
      </c>
      <c r="C143" s="27">
        <f t="shared" si="299"/>
        <v>-7.5399436695412986E-5</v>
      </c>
      <c r="D143" s="27">
        <f t="shared" si="299"/>
        <v>1.3274343765194226E-3</v>
      </c>
      <c r="E143" s="27">
        <f t="shared" si="299"/>
        <v>2.775332547889817E-3</v>
      </c>
      <c r="F143" s="27">
        <f t="shared" si="300"/>
        <v>4.10276692440924E-3</v>
      </c>
      <c r="L143" t="str">
        <f t="shared" si="317"/>
        <v>91 Elementary trades and related occupations</v>
      </c>
      <c r="M143" s="27">
        <f t="shared" si="301"/>
        <v>2.2534807605756324E-2</v>
      </c>
      <c r="N143" s="27">
        <f t="shared" si="301"/>
        <v>-3.5141297145398348E-2</v>
      </c>
      <c r="O143" s="27">
        <f t="shared" si="301"/>
        <v>0.1448289048011327</v>
      </c>
      <c r="P143" s="27">
        <f t="shared" si="301"/>
        <v>0.33433462735273378</v>
      </c>
      <c r="Q143" s="27">
        <f t="shared" si="302"/>
        <v>0.47916353215386648</v>
      </c>
      <c r="W143" t="str">
        <f t="shared" si="318"/>
        <v>91 Elementary trades and related occupations</v>
      </c>
      <c r="X143" s="27">
        <f t="shared" si="303"/>
        <v>-7.8135159122655284E-2</v>
      </c>
      <c r="Y143" s="27">
        <f t="shared" si="303"/>
        <v>-2.375938362460972E-2</v>
      </c>
      <c r="Z143" s="27">
        <f t="shared" si="303"/>
        <v>0.60075138608711109</v>
      </c>
      <c r="AA143" s="27">
        <f t="shared" si="303"/>
        <v>0.53952843512351734</v>
      </c>
      <c r="AB143" s="27">
        <f t="shared" si="304"/>
        <v>1.1402798212106284</v>
      </c>
      <c r="AH143" t="str">
        <f t="shared" si="319"/>
        <v>91 Elementary trades and related occupations</v>
      </c>
      <c r="AI143" s="27">
        <f t="shared" si="305"/>
        <v>-4.9623066207564903E-2</v>
      </c>
      <c r="AJ143" s="27">
        <f t="shared" si="305"/>
        <v>-2.122377695170366E-2</v>
      </c>
      <c r="AK143" s="27">
        <f t="shared" si="305"/>
        <v>0.36390029227683651</v>
      </c>
      <c r="AL143" s="27">
        <f t="shared" si="305"/>
        <v>0.31393684298207258</v>
      </c>
      <c r="AM143" s="27">
        <f t="shared" si="306"/>
        <v>0.6778371352589091</v>
      </c>
      <c r="AS143" t="str">
        <f t="shared" si="320"/>
        <v>91 Elementary trades and related occupations</v>
      </c>
      <c r="AT143" s="27">
        <f t="shared" si="307"/>
        <v>-5.0459726397602767E-2</v>
      </c>
      <c r="AU143" s="27">
        <f t="shared" si="307"/>
        <v>-3.1659356251068915E-3</v>
      </c>
      <c r="AV143" s="27">
        <f t="shared" si="307"/>
        <v>0.43915780816287397</v>
      </c>
      <c r="AW143" s="27">
        <f t="shared" si="307"/>
        <v>0.33344047733480331</v>
      </c>
      <c r="AX143" s="27">
        <f t="shared" si="308"/>
        <v>0.77259828549767728</v>
      </c>
      <c r="BD143" t="str">
        <f t="shared" si="321"/>
        <v>91 Elementary trades and related occupations</v>
      </c>
      <c r="BE143" s="27">
        <f t="shared" si="309"/>
        <v>-4.5420611746693762E-2</v>
      </c>
      <c r="BF143" s="27">
        <f t="shared" si="309"/>
        <v>-0.19566549008431577</v>
      </c>
      <c r="BG143" s="27">
        <f t="shared" si="309"/>
        <v>1.0444973946401659</v>
      </c>
      <c r="BH143" s="27">
        <f t="shared" si="309"/>
        <v>0.70243941825090817</v>
      </c>
      <c r="BI143" s="27">
        <f t="shared" si="310"/>
        <v>1.7469368128910741</v>
      </c>
      <c r="BO143" t="str">
        <f t="shared" si="322"/>
        <v>91 Elementary trades and related occupations</v>
      </c>
      <c r="BP143" s="27">
        <f t="shared" si="311"/>
        <v>-0.21488954797166482</v>
      </c>
      <c r="BQ143" s="27">
        <f t="shared" si="311"/>
        <v>-0.40648207475275466</v>
      </c>
      <c r="BR143" s="27">
        <f t="shared" si="311"/>
        <v>1.8515827483108178</v>
      </c>
      <c r="BS143" s="27">
        <f t="shared" si="311"/>
        <v>0.50763941270741109</v>
      </c>
      <c r="BT143" s="27">
        <f t="shared" si="312"/>
        <v>2.3592221610182289</v>
      </c>
      <c r="BZ143" t="str">
        <f t="shared" si="323"/>
        <v>91 Elementary trades and related occupations</v>
      </c>
      <c r="CA143" s="68">
        <f t="shared" si="313"/>
        <v>-0.55546839254088587</v>
      </c>
      <c r="CB143" s="68">
        <f t="shared" si="313"/>
        <v>-0.44112664573245253</v>
      </c>
      <c r="CC143" s="68">
        <f t="shared" si="313"/>
        <v>1.5039112098910858</v>
      </c>
      <c r="CD143" s="68">
        <f t="shared" si="313"/>
        <v>-0.697652101751848</v>
      </c>
      <c r="CE143" s="68">
        <f t="shared" si="314"/>
        <v>0.80625910813923785</v>
      </c>
      <c r="CK143" t="str">
        <f t="shared" si="324"/>
        <v>91 Elementary trades and related occupations</v>
      </c>
      <c r="CL143" s="68">
        <f t="shared" si="315"/>
        <v>-0.6839289615880304</v>
      </c>
      <c r="CM143" s="68">
        <f t="shared" si="315"/>
        <v>-0.10750602628135519</v>
      </c>
      <c r="CN143" s="68">
        <f t="shared" si="315"/>
        <v>0.46266032581135796</v>
      </c>
      <c r="CO143" s="68">
        <f t="shared" si="315"/>
        <v>-0.55016726534207905</v>
      </c>
      <c r="CP143" s="68">
        <f t="shared" si="316"/>
        <v>-8.7506939530721084E-2</v>
      </c>
    </row>
    <row r="144" spans="1:94" x14ac:dyDescent="0.25">
      <c r="A144" t="str">
        <f t="shared" si="298"/>
        <v>92 Elementary administration and service occupations</v>
      </c>
      <c r="B144" s="27">
        <f t="shared" si="299"/>
        <v>7.9742846081868948E-3</v>
      </c>
      <c r="C144" s="27">
        <f t="shared" si="299"/>
        <v>-4.1731147236856586E-3</v>
      </c>
      <c r="D144" s="27">
        <f t="shared" si="299"/>
        <v>8.8117711933823062E-3</v>
      </c>
      <c r="E144" s="27">
        <f t="shared" si="299"/>
        <v>2.3993193813888834E-2</v>
      </c>
      <c r="F144" s="27">
        <f t="shared" si="300"/>
        <v>3.280496500727114E-2</v>
      </c>
      <c r="L144" t="str">
        <f t="shared" ref="L144" si="325">A144</f>
        <v>92 Elementary administration and service occupations</v>
      </c>
      <c r="M144" s="27">
        <f t="shared" si="301"/>
        <v>0.20687270944605307</v>
      </c>
      <c r="N144" s="27">
        <f t="shared" si="301"/>
        <v>-4.0424507497743511E-2</v>
      </c>
      <c r="O144" s="27">
        <f t="shared" si="301"/>
        <v>0.25015450605432887</v>
      </c>
      <c r="P144" s="27">
        <f t="shared" si="301"/>
        <v>0.81922682335746455</v>
      </c>
      <c r="Q144" s="27">
        <f t="shared" si="302"/>
        <v>1.0693813294117933</v>
      </c>
      <c r="W144" t="str">
        <f t="shared" ref="W144" si="326">A144</f>
        <v>92 Elementary administration and service occupations</v>
      </c>
      <c r="X144" s="27">
        <f t="shared" si="303"/>
        <v>-1.7738354136574763E-2</v>
      </c>
      <c r="Y144" s="27">
        <f t="shared" si="303"/>
        <v>0.24167857613142862</v>
      </c>
      <c r="Z144" s="27">
        <f t="shared" si="303"/>
        <v>0.19219788080641464</v>
      </c>
      <c r="AA144" s="27">
        <f t="shared" si="303"/>
        <v>0.6302806482699661</v>
      </c>
      <c r="AB144" s="27">
        <f t="shared" si="304"/>
        <v>0.82247852907638075</v>
      </c>
      <c r="AH144" t="str">
        <f t="shared" ref="AH144" si="327">L144</f>
        <v>92 Elementary administration and service occupations</v>
      </c>
      <c r="AI144" s="27">
        <f t="shared" si="305"/>
        <v>-4.0993836073470291E-2</v>
      </c>
      <c r="AJ144" s="27">
        <f t="shared" si="305"/>
        <v>0.11245381530178711</v>
      </c>
      <c r="AK144" s="27">
        <f t="shared" si="305"/>
        <v>5.7118100000301375E-2</v>
      </c>
      <c r="AL144" s="27">
        <f t="shared" si="305"/>
        <v>0.3910875993382017</v>
      </c>
      <c r="AM144" s="27">
        <f t="shared" si="306"/>
        <v>0.44820569933850307</v>
      </c>
      <c r="AS144" t="str">
        <f t="shared" ref="AS144" si="328">W144</f>
        <v>92 Elementary administration and service occupations</v>
      </c>
      <c r="AT144" s="27">
        <f t="shared" si="307"/>
        <v>-4.024814134707988E-2</v>
      </c>
      <c r="AU144" s="27">
        <f t="shared" si="307"/>
        <v>0.11176522771551101</v>
      </c>
      <c r="AV144" s="27">
        <f t="shared" si="307"/>
        <v>3.1733631974761645E-2</v>
      </c>
      <c r="AW144" s="27">
        <f t="shared" si="307"/>
        <v>0.32383576680387671</v>
      </c>
      <c r="AX144" s="27">
        <f t="shared" si="308"/>
        <v>0.35556939877863836</v>
      </c>
      <c r="BD144" t="str">
        <f t="shared" ref="BD144" si="329">AH144</f>
        <v>92 Elementary administration and service occupations</v>
      </c>
      <c r="BE144" s="27">
        <f t="shared" si="309"/>
        <v>-0.1709770357595497</v>
      </c>
      <c r="BF144" s="27">
        <f t="shared" si="309"/>
        <v>-0.50039174942144804</v>
      </c>
      <c r="BG144" s="27">
        <f t="shared" si="309"/>
        <v>-0.6413021448006937</v>
      </c>
      <c r="BH144" s="27">
        <f t="shared" si="309"/>
        <v>-0.60389985566755922</v>
      </c>
      <c r="BI144" s="27">
        <f t="shared" si="310"/>
        <v>-1.2452020004682529</v>
      </c>
      <c r="BO144" t="str">
        <f t="shared" ref="BO144" si="330">AS144</f>
        <v>92 Elementary administration and service occupations</v>
      </c>
      <c r="BP144" s="27">
        <f t="shared" si="311"/>
        <v>0.40914407071261749</v>
      </c>
      <c r="BQ144" s="27">
        <f t="shared" si="311"/>
        <v>-2.3604834710267362</v>
      </c>
      <c r="BR144" s="27">
        <f t="shared" si="311"/>
        <v>6.6978376834519793E-2</v>
      </c>
      <c r="BS144" s="27">
        <f t="shared" si="311"/>
        <v>-1.1372670341186346</v>
      </c>
      <c r="BT144" s="27">
        <f t="shared" si="312"/>
        <v>-1.0702886572841148</v>
      </c>
      <c r="BZ144" t="str">
        <f t="shared" ref="BZ144" si="331">BD144</f>
        <v>92 Elementary administration and service occupations</v>
      </c>
      <c r="CA144" s="68">
        <f t="shared" si="313"/>
        <v>-1.0610054211182387</v>
      </c>
      <c r="CB144" s="68">
        <f t="shared" si="313"/>
        <v>-1.5068598451768391</v>
      </c>
      <c r="CC144" s="68">
        <f t="shared" si="313"/>
        <v>-1.7355998888245923</v>
      </c>
      <c r="CD144" s="68">
        <f t="shared" si="313"/>
        <v>-2.7555454365602543</v>
      </c>
      <c r="CE144" s="68">
        <f t="shared" si="314"/>
        <v>-4.4911453253848466</v>
      </c>
      <c r="CK144" t="str">
        <f t="shared" ref="CK144" si="332">BO144</f>
        <v>92 Elementary administration and service occupations</v>
      </c>
      <c r="CL144" s="68">
        <f t="shared" si="315"/>
        <v>-2.998612357245638</v>
      </c>
      <c r="CM144" s="68">
        <f t="shared" si="315"/>
        <v>-0.1315369066440546</v>
      </c>
      <c r="CN144" s="68">
        <f t="shared" si="315"/>
        <v>-2.694887461047649</v>
      </c>
      <c r="CO144" s="68">
        <f t="shared" si="315"/>
        <v>-1.43469029174408</v>
      </c>
      <c r="CP144" s="68">
        <f t="shared" si="316"/>
        <v>-4.1295777527917288</v>
      </c>
    </row>
    <row r="145" spans="1:94" x14ac:dyDescent="0.25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5">
      <c r="A146" s="24" t="str">
        <f t="shared" ref="A146" si="333">A35</f>
        <v>All occupations</v>
      </c>
      <c r="B146" s="29">
        <f>C35-B35</f>
        <v>1.999529361199528</v>
      </c>
      <c r="C146" s="29">
        <f>D35-C35</f>
        <v>-0.21527208985650503</v>
      </c>
      <c r="D146" s="29">
        <f>E35-D35</f>
        <v>2.0778336164993423</v>
      </c>
      <c r="E146" s="29">
        <f>F35-E35</f>
        <v>4.307184977615103</v>
      </c>
      <c r="F146" s="29">
        <f t="shared" ref="F146" si="334">F35-D35</f>
        <v>6.3850185941144453</v>
      </c>
      <c r="L146" s="24" t="str">
        <f t="shared" ref="L146" si="335">L35</f>
        <v>All occupations</v>
      </c>
      <c r="M146" s="29">
        <f>N35-M35</f>
        <v>13.600133224150902</v>
      </c>
      <c r="N146" s="29">
        <f t="shared" ref="N146" si="336">O35-N35</f>
        <v>-5.8429942610260355E-2</v>
      </c>
      <c r="O146" s="29">
        <f>P35-O35</f>
        <v>12.904547380774488</v>
      </c>
      <c r="P146" s="29">
        <f>Q35-P35</f>
        <v>28.456124125975109</v>
      </c>
      <c r="Q146" s="29">
        <f>Q35-O35</f>
        <v>41.360671506749597</v>
      </c>
      <c r="W146" s="24" t="str">
        <f t="shared" ref="W146" si="337">W35</f>
        <v>All occupations</v>
      </c>
      <c r="X146" s="29">
        <f>Y35-X35</f>
        <v>-1.7564874443543346</v>
      </c>
      <c r="Y146" s="29">
        <f t="shared" ref="Y146" si="338">Z35-Y35</f>
        <v>9.1181891055402104</v>
      </c>
      <c r="Z146" s="29">
        <f>AA35-Z35</f>
        <v>6.5125927397937318</v>
      </c>
      <c r="AA146" s="29">
        <f>AB35-AA35</f>
        <v>14.751005749119145</v>
      </c>
      <c r="AB146" s="29">
        <f>AB35-Z35</f>
        <v>21.263598488912876</v>
      </c>
      <c r="AH146" s="24" t="str">
        <f t="shared" ref="AH146" si="339">AH35</f>
        <v>All occupations</v>
      </c>
      <c r="AI146" s="29">
        <f>AJ35-AI35</f>
        <v>-2.2644546807822792</v>
      </c>
      <c r="AJ146" s="29">
        <f t="shared" ref="AJ146" si="340">AK35-AJ35</f>
        <v>2.8298688857831422</v>
      </c>
      <c r="AK146" s="29">
        <f>AL35-AK35</f>
        <v>-0.73601965148182202</v>
      </c>
      <c r="AL146" s="29">
        <f>AM35-AL35</f>
        <v>2.2710306742054911</v>
      </c>
      <c r="AM146" s="29">
        <f>AM35-AK35</f>
        <v>1.5350110227236691</v>
      </c>
      <c r="AS146" s="24" t="str">
        <f t="shared" ref="AS146" si="341">AS35</f>
        <v>All occupations</v>
      </c>
      <c r="AT146" s="29">
        <f>AU35-AT35</f>
        <v>-1.8475076220083828</v>
      </c>
      <c r="AU146" s="29">
        <f t="shared" ref="AU146" si="342">AV35-AU35</f>
        <v>2.1931962594936998</v>
      </c>
      <c r="AV146" s="29">
        <f>AW35-AV35</f>
        <v>0.97348290039605345</v>
      </c>
      <c r="AW146" s="29">
        <f>AX35-AW35</f>
        <v>3.821594379254126</v>
      </c>
      <c r="AX146" s="29">
        <f>AX35-AV35</f>
        <v>4.7950772796501795</v>
      </c>
      <c r="BD146" s="24" t="str">
        <f t="shared" ref="BD146" si="343">BD35</f>
        <v>All occupations</v>
      </c>
      <c r="BE146" s="29">
        <f>BF35-BE35</f>
        <v>8.5430028066193842</v>
      </c>
      <c r="BF146" s="29">
        <f t="shared" ref="BF146" si="344">BG35-BF35</f>
        <v>-5.3566405451048809</v>
      </c>
      <c r="BG146" s="29">
        <f>BH35-BG35</f>
        <v>4.8229903141123742</v>
      </c>
      <c r="BH146" s="29">
        <f>BI35-BH35</f>
        <v>1.0338113627634868</v>
      </c>
      <c r="BI146" s="29">
        <f>BI35-BG35</f>
        <v>5.8568016768758611</v>
      </c>
      <c r="BO146" s="24" t="str">
        <f t="shared" ref="BO146" si="345">BO35</f>
        <v>All occupations</v>
      </c>
      <c r="BP146" s="29">
        <f>BQ35-BP35</f>
        <v>2.9756707996705387</v>
      </c>
      <c r="BQ146" s="29">
        <f t="shared" ref="BQ146" si="346">BR35-BQ35</f>
        <v>-15.712716467965137</v>
      </c>
      <c r="BR146" s="29">
        <f>BS35-BR35</f>
        <v>5.5007943974151061</v>
      </c>
      <c r="BS146" s="29">
        <f>BT35-BS35</f>
        <v>-13.204497121179813</v>
      </c>
      <c r="BT146" s="29">
        <f>BT35-BR35</f>
        <v>-7.7037027237647067</v>
      </c>
      <c r="BZ146" s="24" t="str">
        <f t="shared" ref="BZ146" si="347">BZ35</f>
        <v>All occupations</v>
      </c>
      <c r="CA146" s="70">
        <f>CB35-CA35</f>
        <v>-8.2520948680830202</v>
      </c>
      <c r="CB146" s="70">
        <f t="shared" ref="CB146" si="348">CC35-CB35</f>
        <v>-5.95616532314002</v>
      </c>
      <c r="CC146" s="70">
        <f>CD35-CC35</f>
        <v>-8.2436873152663495</v>
      </c>
      <c r="CD146" s="70">
        <f>CE35-CD35</f>
        <v>-19.858631666285394</v>
      </c>
      <c r="CE146" s="70">
        <f>CE35-CC35</f>
        <v>-28.102318981551743</v>
      </c>
      <c r="CK146" s="24" t="str">
        <f t="shared" ref="CK146" si="349">CK35</f>
        <v>All occupations</v>
      </c>
      <c r="CL146" s="70">
        <f>CM35-CL35</f>
        <v>-8.6287915764126168</v>
      </c>
      <c r="CM146" s="70">
        <f t="shared" ref="CM146" si="350">CN35-CM35</f>
        <v>-0.57902988214007323</v>
      </c>
      <c r="CN146" s="70">
        <f>CO35-CN35</f>
        <v>-11.878534382242787</v>
      </c>
      <c r="CO146" s="70">
        <f>CP35-CO35</f>
        <v>-7.7616224814677235</v>
      </c>
      <c r="CP146" s="70">
        <f>CP35-CN35</f>
        <v>-19.640156863710509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796875" defaultRowHeight="12.5" x14ac:dyDescent="0.25"/>
  <cols>
    <col min="1" max="1" width="55.7265625" style="91" customWidth="1"/>
    <col min="2" max="4" width="11.7265625" style="91" customWidth="1"/>
    <col min="5" max="5" width="14.7265625" style="91" customWidth="1"/>
    <col min="6" max="8" width="11.7265625" style="91" customWidth="1"/>
    <col min="9" max="9" width="16.54296875" style="91" customWidth="1"/>
    <col min="10" max="11" width="11.7265625" style="91" customWidth="1"/>
    <col min="12" max="12" width="2.7265625" style="91" customWidth="1"/>
    <col min="13" max="22" width="11.7265625" style="91" customWidth="1"/>
    <col min="23" max="23" width="2.7265625" style="91" customWidth="1"/>
    <col min="24" max="32" width="11.7265625" style="91" customWidth="1"/>
    <col min="33" max="33" width="12.81640625" style="91" customWidth="1"/>
    <col min="34" max="16384" width="9.1796875" style="91"/>
  </cols>
  <sheetData>
    <row r="1" spans="1:33" ht="15.5" x14ac:dyDescent="0.35">
      <c r="A1" s="19" t="str">
        <f>CONCATENATE("Basic Table 3  Occupation by Qualification in ",A$6,", ",Info!B5)</f>
        <v>Basic Table 3  Occupation by Qualification in 2020, Black Country</v>
      </c>
    </row>
    <row r="2" spans="1:33" ht="14" x14ac:dyDescent="0.3">
      <c r="A2" s="365" t="s">
        <v>525</v>
      </c>
    </row>
    <row r="3" spans="1:33" x14ac:dyDescent="0.25">
      <c r="AG3" s="92"/>
    </row>
    <row r="4" spans="1:33" x14ac:dyDescent="0.25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5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0.5" x14ac:dyDescent="0.3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69">
        <f>'Basic T2'!D8</f>
        <v>0.40248138315331627</v>
      </c>
      <c r="C8" s="69">
        <f>'Basic T2'!O8</f>
        <v>3.8038285278720316</v>
      </c>
      <c r="D8" s="69">
        <f>'Basic T2'!Z8</f>
        <v>9.0860895159996602</v>
      </c>
      <c r="E8" s="69">
        <f>'Basic T2'!AK8</f>
        <v>1.9094439541107</v>
      </c>
      <c r="F8" s="69">
        <f>'Basic T2'!AV8</f>
        <v>2.6572479443795842</v>
      </c>
      <c r="G8" s="69">
        <f>'Basic T2'!BG8</f>
        <v>6.6115979009734014</v>
      </c>
      <c r="H8" s="69">
        <f>'Basic T2'!BR8</f>
        <v>5.086022668189452</v>
      </c>
      <c r="I8" s="69">
        <f>'Basic T2'!CC8</f>
        <v>3.8267385849460345</v>
      </c>
      <c r="J8" s="69">
        <f>'Basic T2'!CN8</f>
        <v>1.1738990392941775</v>
      </c>
      <c r="K8" s="309">
        <f>SUM(B8:J8)</f>
        <v>34.557349518918357</v>
      </c>
      <c r="L8" s="97"/>
      <c r="M8" s="97">
        <f t="shared" ref="M8:M33" si="0">B8/B$35*100</f>
        <v>5.6754916948912291</v>
      </c>
      <c r="N8" s="97">
        <f t="shared" ref="N8:N33" si="1">C8/C$35*100</f>
        <v>7.9388481900917931</v>
      </c>
      <c r="O8" s="97">
        <f t="shared" ref="O8:O33" si="2">D8/D$35*100</f>
        <v>9.9810742958638627</v>
      </c>
      <c r="P8" s="97">
        <f t="shared" ref="P8:P33" si="3">E8/E$35*100</f>
        <v>6.8615642581856431</v>
      </c>
      <c r="Q8" s="97">
        <f t="shared" ref="Q8:Q33" si="4">F8/F$35*100</f>
        <v>9.8561494461408738</v>
      </c>
      <c r="R8" s="97">
        <f t="shared" ref="R8:R33" si="5">G8/G$35*100</f>
        <v>6.329680262939263</v>
      </c>
      <c r="S8" s="97">
        <f t="shared" ref="S8:S33" si="6">H8/H$35*100</f>
        <v>5.1323319982507121</v>
      </c>
      <c r="T8" s="97">
        <f t="shared" ref="T8:T33" si="7">I8/I$35*100</f>
        <v>6.3752260512436747</v>
      </c>
      <c r="U8" s="97">
        <f t="shared" ref="U8:U33" si="8">J8/J$35*100</f>
        <v>3.6926697779181437</v>
      </c>
      <c r="V8" s="97">
        <f t="shared" ref="V8:V33" si="9">K8/K$35*100</f>
        <v>6.964483552585957</v>
      </c>
      <c r="W8" s="97"/>
      <c r="X8" s="97">
        <f t="shared" ref="X8:X32" si="10">IF($K8&gt;0,B8/$K8*100,0)</f>
        <v>1.164676657082681</v>
      </c>
      <c r="Y8" s="97">
        <f t="shared" ref="Y8:AG23" si="11">IF($K8&gt;0,C8/$K8*100,0)</f>
        <v>11.007292459711451</v>
      </c>
      <c r="Z8" s="97">
        <f t="shared" si="11"/>
        <v>26.292784725939406</v>
      </c>
      <c r="AA8" s="97">
        <f t="shared" si="11"/>
        <v>5.5254351988579984</v>
      </c>
      <c r="AB8" s="97">
        <f t="shared" si="11"/>
        <v>7.6893858509747073</v>
      </c>
      <c r="AC8" s="97">
        <f t="shared" si="11"/>
        <v>19.132248256926921</v>
      </c>
      <c r="AD8" s="97">
        <f t="shared" si="11"/>
        <v>14.717629502821442</v>
      </c>
      <c r="AE8" s="97">
        <f t="shared" si="11"/>
        <v>11.073588218480394</v>
      </c>
      <c r="AF8" s="97">
        <f>IF($K8&gt;0,J8/$K8*100,0)</f>
        <v>3.3969591292050003</v>
      </c>
      <c r="AG8" s="97">
        <f t="shared" si="11"/>
        <v>100</v>
      </c>
    </row>
    <row r="9" spans="1:33" x14ac:dyDescent="0.25">
      <c r="A9" s="10" t="str">
        <f>name!D5</f>
        <v>12 Other managers and proprietors</v>
      </c>
      <c r="B9" s="69">
        <f>'Basic T2'!D9</f>
        <v>0.13066544136148342</v>
      </c>
      <c r="C9" s="69">
        <f>'Basic T2'!O9</f>
        <v>1.3074081049131188</v>
      </c>
      <c r="D9" s="69">
        <f>'Basic T2'!Z9</f>
        <v>2.848200738809759</v>
      </c>
      <c r="E9" s="69">
        <f>'Basic T2'!AK9</f>
        <v>0.85331775459581505</v>
      </c>
      <c r="F9" s="69">
        <f>'Basic T2'!AV9</f>
        <v>0.94037846112169443</v>
      </c>
      <c r="G9" s="69">
        <f>'Basic T2'!BG9</f>
        <v>2.2907918513365759</v>
      </c>
      <c r="H9" s="69">
        <f>'Basic T2'!BR9</f>
        <v>2.5276817401733664</v>
      </c>
      <c r="I9" s="69">
        <f>'Basic T2'!CC9</f>
        <v>1.5970832855337915</v>
      </c>
      <c r="J9" s="69">
        <f>'Basic T2'!CN9</f>
        <v>0.7474905956119029</v>
      </c>
      <c r="K9" s="309">
        <f>SUM(B9:J9)</f>
        <v>13.243017973457508</v>
      </c>
      <c r="L9" s="97"/>
      <c r="M9" s="97">
        <f t="shared" si="0"/>
        <v>1.8425464090941659</v>
      </c>
      <c r="N9" s="97">
        <f t="shared" si="1"/>
        <v>2.7286494097585767</v>
      </c>
      <c r="O9" s="97">
        <f t="shared" si="2"/>
        <v>3.1287500671807833</v>
      </c>
      <c r="P9" s="97">
        <f t="shared" si="3"/>
        <v>3.0663872554126943</v>
      </c>
      <c r="Q9" s="97">
        <f t="shared" si="4"/>
        <v>3.4880112216669397</v>
      </c>
      <c r="R9" s="97">
        <f t="shared" si="5"/>
        <v>2.1931127974029456</v>
      </c>
      <c r="S9" s="97">
        <f t="shared" si="6"/>
        <v>2.5506968259549598</v>
      </c>
      <c r="T9" s="97">
        <f t="shared" si="7"/>
        <v>2.6606904918968888</v>
      </c>
      <c r="U9" s="97">
        <f t="shared" si="8"/>
        <v>2.3513401402506768</v>
      </c>
      <c r="V9" s="97">
        <f t="shared" si="9"/>
        <v>2.6689194092345958</v>
      </c>
      <c r="W9" s="97"/>
      <c r="X9" s="97">
        <f t="shared" si="10"/>
        <v>0.98667419785558963</v>
      </c>
      <c r="Y9" s="97">
        <f t="shared" si="11"/>
        <v>9.8724332137395603</v>
      </c>
      <c r="Z9" s="97">
        <f t="shared" si="11"/>
        <v>21.507187746164071</v>
      </c>
      <c r="AA9" s="97">
        <f t="shared" si="11"/>
        <v>6.4435293851151476</v>
      </c>
      <c r="AB9" s="97">
        <f t="shared" si="11"/>
        <v>7.100937739467394</v>
      </c>
      <c r="AC9" s="97">
        <f t="shared" si="11"/>
        <v>17.298110264049519</v>
      </c>
      <c r="AD9" s="97">
        <f t="shared" si="11"/>
        <v>19.086901076774989</v>
      </c>
      <c r="AE9" s="97">
        <f t="shared" si="11"/>
        <v>12.05981362205176</v>
      </c>
      <c r="AF9" s="97">
        <f t="shared" si="11"/>
        <v>5.6444127547819596</v>
      </c>
      <c r="AG9" s="97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69">
        <f>'Basic T2'!D10</f>
        <v>1.2276512560906556</v>
      </c>
      <c r="C10" s="69">
        <f>'Basic T2'!O10</f>
        <v>4.4636264902997853</v>
      </c>
      <c r="D10" s="69">
        <f>'Basic T2'!Z10</f>
        <v>8.276537217990823</v>
      </c>
      <c r="E10" s="69">
        <f>'Basic T2'!AK10</f>
        <v>0.91795069522373196</v>
      </c>
      <c r="F10" s="69">
        <f>'Basic T2'!AV10</f>
        <v>2.5907172598473176</v>
      </c>
      <c r="G10" s="69">
        <f>'Basic T2'!BG10</f>
        <v>4.1254865509646281</v>
      </c>
      <c r="H10" s="69">
        <f>'Basic T2'!BR10</f>
        <v>2.8180475615815084</v>
      </c>
      <c r="I10" s="69">
        <f>'Basic T2'!CC10</f>
        <v>1.6516234571213404</v>
      </c>
      <c r="J10" s="69">
        <f>'Basic T2'!CN10</f>
        <v>0.60251175061506246</v>
      </c>
      <c r="K10" s="309">
        <f t="shared" ref="K10:K32" si="12">SUM(B10:J10)</f>
        <v>26.674152239734848</v>
      </c>
      <c r="L10" s="97"/>
      <c r="M10" s="97">
        <f t="shared" si="0"/>
        <v>17.311420601809996</v>
      </c>
      <c r="N10" s="97">
        <f t="shared" si="1"/>
        <v>9.3158912984929305</v>
      </c>
      <c r="O10" s="97">
        <f t="shared" si="2"/>
        <v>9.0917806543489821</v>
      </c>
      <c r="P10" s="97">
        <f t="shared" si="3"/>
        <v>3.2986449628773244</v>
      </c>
      <c r="Q10" s="97">
        <f t="shared" si="4"/>
        <v>9.6093767010942432</v>
      </c>
      <c r="R10" s="97">
        <f t="shared" si="5"/>
        <v>3.9495763638042267</v>
      </c>
      <c r="S10" s="97">
        <f t="shared" si="6"/>
        <v>2.8437064906055238</v>
      </c>
      <c r="T10" s="97">
        <f t="shared" si="7"/>
        <v>2.7515527013281988</v>
      </c>
      <c r="U10" s="97">
        <f t="shared" si="8"/>
        <v>1.8952881447748107</v>
      </c>
      <c r="V10" s="97">
        <f t="shared" si="9"/>
        <v>5.3757506619860074</v>
      </c>
      <c r="W10" s="97"/>
      <c r="X10" s="97">
        <f t="shared" si="10"/>
        <v>4.6024002752068682</v>
      </c>
      <c r="Y10" s="97">
        <f t="shared" si="11"/>
        <v>16.733901981899145</v>
      </c>
      <c r="Z10" s="97">
        <f t="shared" si="11"/>
        <v>31.028304643405964</v>
      </c>
      <c r="AA10" s="97">
        <f t="shared" si="11"/>
        <v>3.4413490894616592</v>
      </c>
      <c r="AB10" s="97">
        <f t="shared" si="11"/>
        <v>9.7124633486498766</v>
      </c>
      <c r="AC10" s="97">
        <f t="shared" si="11"/>
        <v>15.466233055456375</v>
      </c>
      <c r="AD10" s="97">
        <f t="shared" si="11"/>
        <v>10.564712746085462</v>
      </c>
      <c r="AE10" s="97">
        <f t="shared" si="11"/>
        <v>6.1918498562852848</v>
      </c>
      <c r="AF10" s="97">
        <f t="shared" si="11"/>
        <v>2.2587850035493822</v>
      </c>
      <c r="AG10" s="97">
        <f t="shared" si="11"/>
        <v>100</v>
      </c>
    </row>
    <row r="11" spans="1:33" x14ac:dyDescent="0.25">
      <c r="A11" s="10" t="str">
        <f>name!D7</f>
        <v>22 Health professionals</v>
      </c>
      <c r="B11" s="69">
        <f>'Basic T2'!D11</f>
        <v>1.7196263864843719</v>
      </c>
      <c r="C11" s="69">
        <f>'Basic T2'!O11</f>
        <v>5.2342624554481567</v>
      </c>
      <c r="D11" s="69">
        <f>'Basic T2'!Z11</f>
        <v>9.8464871956844053</v>
      </c>
      <c r="E11" s="69">
        <f>'Basic T2'!AK11</f>
        <v>3.3799516135765466</v>
      </c>
      <c r="F11" s="69">
        <f>'Basic T2'!AV11</f>
        <v>0.63783575488146127</v>
      </c>
      <c r="G11" s="69">
        <f>'Basic T2'!BG11</f>
        <v>2.8003145404171743</v>
      </c>
      <c r="H11" s="69">
        <f>'Basic T2'!BR11</f>
        <v>2.0151374752681206</v>
      </c>
      <c r="I11" s="69">
        <f>'Basic T2'!CC11</f>
        <v>0.94105442914912718</v>
      </c>
      <c r="J11" s="69">
        <f>'Basic T2'!CN11</f>
        <v>0.31063394520542525</v>
      </c>
      <c r="K11" s="309">
        <f t="shared" si="12"/>
        <v>26.88530379611479</v>
      </c>
      <c r="L11" s="97"/>
      <c r="M11" s="97">
        <f t="shared" si="0"/>
        <v>24.24888624249763</v>
      </c>
      <c r="N11" s="97">
        <f t="shared" si="1"/>
        <v>10.924260837842368</v>
      </c>
      <c r="O11" s="97">
        <f t="shared" si="2"/>
        <v>10.816371562303013</v>
      </c>
      <c r="P11" s="97">
        <f t="shared" si="3"/>
        <v>12.145816134684612</v>
      </c>
      <c r="Q11" s="97">
        <f t="shared" si="4"/>
        <v>2.3658328668578803</v>
      </c>
      <c r="R11" s="97">
        <f t="shared" si="5"/>
        <v>2.6809095081070828</v>
      </c>
      <c r="S11" s="97">
        <f t="shared" si="6"/>
        <v>2.0334857353033491</v>
      </c>
      <c r="T11" s="97">
        <f t="shared" si="7"/>
        <v>1.5677670630418479</v>
      </c>
      <c r="U11" s="97">
        <f t="shared" si="8"/>
        <v>0.97714415214552408</v>
      </c>
      <c r="V11" s="97">
        <f t="shared" si="9"/>
        <v>5.4183048960920113</v>
      </c>
      <c r="W11" s="97"/>
      <c r="X11" s="97">
        <f t="shared" si="10"/>
        <v>6.3961575421471561</v>
      </c>
      <c r="Y11" s="97">
        <f t="shared" si="11"/>
        <v>19.468861111417173</v>
      </c>
      <c r="Z11" s="97">
        <f t="shared" si="11"/>
        <v>36.624050337520551</v>
      </c>
      <c r="AA11" s="97">
        <f t="shared" si="11"/>
        <v>12.571744173725815</v>
      </c>
      <c r="AB11" s="97">
        <f t="shared" si="11"/>
        <v>2.3724327599885084</v>
      </c>
      <c r="AC11" s="97">
        <f t="shared" si="11"/>
        <v>10.415781653997339</v>
      </c>
      <c r="AD11" s="97">
        <f t="shared" si="11"/>
        <v>7.4953122737609874</v>
      </c>
      <c r="AE11" s="97">
        <f t="shared" si="11"/>
        <v>3.5002558880704164</v>
      </c>
      <c r="AF11" s="97">
        <f t="shared" si="11"/>
        <v>1.1554042593720482</v>
      </c>
      <c r="AG11" s="97">
        <f t="shared" si="11"/>
        <v>100</v>
      </c>
    </row>
    <row r="12" spans="1:33" x14ac:dyDescent="0.25">
      <c r="A12" s="10" t="str">
        <f>name!D8</f>
        <v>23 Teaching and other educational professionals</v>
      </c>
      <c r="B12" s="69">
        <f>'Basic T2'!D12</f>
        <v>1.9642150179303035</v>
      </c>
      <c r="C12" s="69">
        <f>'Basic T2'!O12</f>
        <v>11.493151663559454</v>
      </c>
      <c r="D12" s="69">
        <f>'Basic T2'!Z12</f>
        <v>5.6772645357811591</v>
      </c>
      <c r="E12" s="69">
        <f>'Basic T2'!AK12</f>
        <v>0.42480829054441882</v>
      </c>
      <c r="F12" s="69">
        <f>'Basic T2'!AV12</f>
        <v>0.19372067322514883</v>
      </c>
      <c r="G12" s="69">
        <f>'Basic T2'!BG12</f>
        <v>0.89400952067018624</v>
      </c>
      <c r="H12" s="69">
        <f>'Basic T2'!BR12</f>
        <v>0.69805215083667727</v>
      </c>
      <c r="I12" s="69">
        <f>'Basic T2'!CC12</f>
        <v>0.46992987241060635</v>
      </c>
      <c r="J12" s="69">
        <f>'Basic T2'!CN12</f>
        <v>0.21146611855062372</v>
      </c>
      <c r="K12" s="309">
        <f t="shared" si="12"/>
        <v>22.026617843508575</v>
      </c>
      <c r="L12" s="97"/>
      <c r="M12" s="97">
        <f t="shared" si="0"/>
        <v>27.697892344495166</v>
      </c>
      <c r="N12" s="97">
        <f t="shared" si="1"/>
        <v>23.986987219358966</v>
      </c>
      <c r="O12" s="97">
        <f t="shared" si="2"/>
        <v>6.2364781933001305</v>
      </c>
      <c r="P12" s="97">
        <f t="shared" si="3"/>
        <v>1.5265435661022486</v>
      </c>
      <c r="Q12" s="97">
        <f t="shared" si="4"/>
        <v>0.7185403643467233</v>
      </c>
      <c r="R12" s="97">
        <f t="shared" si="5"/>
        <v>0.85588907592712893</v>
      </c>
      <c r="S12" s="97">
        <f t="shared" si="6"/>
        <v>0.70440806577493609</v>
      </c>
      <c r="T12" s="97">
        <f t="shared" si="7"/>
        <v>0.78288837827472424</v>
      </c>
      <c r="U12" s="97">
        <f t="shared" si="8"/>
        <v>0.66519736270936447</v>
      </c>
      <c r="V12" s="97">
        <f t="shared" si="9"/>
        <v>4.439114105271039</v>
      </c>
      <c r="W12" s="97"/>
      <c r="X12" s="97">
        <f t="shared" si="10"/>
        <v>8.917460828009844</v>
      </c>
      <c r="Y12" s="97">
        <f t="shared" si="11"/>
        <v>52.178467639536322</v>
      </c>
      <c r="Z12" s="97">
        <f t="shared" si="11"/>
        <v>25.774563194931428</v>
      </c>
      <c r="AA12" s="97">
        <f t="shared" si="11"/>
        <v>1.9286133421051443</v>
      </c>
      <c r="AB12" s="97">
        <f t="shared" si="11"/>
        <v>0.87948442471498145</v>
      </c>
      <c r="AC12" s="97">
        <f t="shared" si="11"/>
        <v>4.0587689268584564</v>
      </c>
      <c r="AD12" s="97">
        <f t="shared" si="11"/>
        <v>3.169129985348154</v>
      </c>
      <c r="AE12" s="97">
        <f t="shared" si="11"/>
        <v>2.1334635927734977</v>
      </c>
      <c r="AF12" s="97">
        <f t="shared" si="11"/>
        <v>0.96004806572219403</v>
      </c>
      <c r="AG12" s="97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69">
        <f>'Basic T2'!D13</f>
        <v>0.45998809827771037</v>
      </c>
      <c r="C13" s="69">
        <f>'Basic T2'!O13</f>
        <v>5.6927563758033912</v>
      </c>
      <c r="D13" s="69">
        <f>'Basic T2'!Z13</f>
        <v>9.8587477725490071</v>
      </c>
      <c r="E13" s="69">
        <f>'Basic T2'!AK13</f>
        <v>1.0978875781247195</v>
      </c>
      <c r="F13" s="69">
        <f>'Basic T2'!AV13</f>
        <v>1.6282969546287989</v>
      </c>
      <c r="G13" s="69">
        <f>'Basic T2'!BG13</f>
        <v>4.223624013509955</v>
      </c>
      <c r="H13" s="69">
        <f>'Basic T2'!BR13</f>
        <v>2.6606576837141809</v>
      </c>
      <c r="I13" s="69">
        <f>'Basic T2'!CC13</f>
        <v>1.6898354082843994</v>
      </c>
      <c r="J13" s="69">
        <f>'Basic T2'!CN13</f>
        <v>0.64596547543810201</v>
      </c>
      <c r="K13" s="309">
        <f t="shared" si="12"/>
        <v>27.957759360330265</v>
      </c>
      <c r="L13" s="97"/>
      <c r="M13" s="97">
        <f t="shared" si="0"/>
        <v>6.4864084173788568</v>
      </c>
      <c r="N13" s="97">
        <f t="shared" si="1"/>
        <v>11.881168753935135</v>
      </c>
      <c r="O13" s="97">
        <f t="shared" si="2"/>
        <v>10.829839812685123</v>
      </c>
      <c r="P13" s="97">
        <f t="shared" si="3"/>
        <v>3.9452460227224004</v>
      </c>
      <c r="Q13" s="97">
        <f t="shared" si="4"/>
        <v>6.0396088221509858</v>
      </c>
      <c r="R13" s="97">
        <f t="shared" si="5"/>
        <v>4.0435292582530318</v>
      </c>
      <c r="S13" s="97">
        <f t="shared" si="6"/>
        <v>2.6848835440560519</v>
      </c>
      <c r="T13" s="97">
        <f t="shared" si="7"/>
        <v>2.8152126093976757</v>
      </c>
      <c r="U13" s="97">
        <f t="shared" si="8"/>
        <v>2.0319781419729415</v>
      </c>
      <c r="V13" s="97">
        <f t="shared" si="9"/>
        <v>5.6344412387756133</v>
      </c>
      <c r="W13" s="97"/>
      <c r="X13" s="97">
        <f t="shared" si="10"/>
        <v>1.6452967219196943</v>
      </c>
      <c r="Y13" s="97">
        <f t="shared" si="11"/>
        <v>20.361990753382546</v>
      </c>
      <c r="Z13" s="97">
        <f t="shared" si="11"/>
        <v>35.263011049940395</v>
      </c>
      <c r="AA13" s="97">
        <f t="shared" si="11"/>
        <v>3.9269512408871026</v>
      </c>
      <c r="AB13" s="97">
        <f t="shared" si="11"/>
        <v>5.8241325195008891</v>
      </c>
      <c r="AC13" s="97">
        <f t="shared" si="11"/>
        <v>15.107162054992598</v>
      </c>
      <c r="AD13" s="97">
        <f t="shared" si="11"/>
        <v>9.5167057181607806</v>
      </c>
      <c r="AE13" s="97">
        <f t="shared" si="11"/>
        <v>6.0442447712105825</v>
      </c>
      <c r="AF13" s="97">
        <f t="shared" si="11"/>
        <v>2.3105051700054093</v>
      </c>
      <c r="AG13" s="97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69">
        <f>'Basic T2'!D14</f>
        <v>0.13320598431175687</v>
      </c>
      <c r="C14" s="69">
        <f>'Basic T2'!O14</f>
        <v>0.89197339166385037</v>
      </c>
      <c r="D14" s="69">
        <f>'Basic T2'!Z14</f>
        <v>1.9460628475140151</v>
      </c>
      <c r="E14" s="69">
        <f>'Basic T2'!AK14</f>
        <v>0.39588247104166968</v>
      </c>
      <c r="F14" s="69">
        <f>'Basic T2'!AV14</f>
        <v>0.92364501368193619</v>
      </c>
      <c r="G14" s="69">
        <f>'Basic T2'!BG14</f>
        <v>1.6765339298795463</v>
      </c>
      <c r="H14" s="69">
        <f>'Basic T2'!BR14</f>
        <v>1.3631230461952171</v>
      </c>
      <c r="I14" s="69">
        <f>'Basic T2'!CC14</f>
        <v>1.0571328406662892</v>
      </c>
      <c r="J14" s="69">
        <f>'Basic T2'!CN14</f>
        <v>0.32434123960780642</v>
      </c>
      <c r="K14" s="309">
        <f t="shared" si="12"/>
        <v>8.7119007645620865</v>
      </c>
      <c r="L14" s="97"/>
      <c r="M14" s="97">
        <f t="shared" si="0"/>
        <v>1.8783712472564293</v>
      </c>
      <c r="N14" s="97">
        <f t="shared" si="1"/>
        <v>1.8616089800404438</v>
      </c>
      <c r="O14" s="97">
        <f t="shared" si="2"/>
        <v>2.1377511008728765</v>
      </c>
      <c r="P14" s="97">
        <f t="shared" si="3"/>
        <v>1.4225989759447277</v>
      </c>
      <c r="Q14" s="97">
        <f t="shared" si="4"/>
        <v>3.4259442402758191</v>
      </c>
      <c r="R14" s="97">
        <f t="shared" si="5"/>
        <v>1.6050467504299086</v>
      </c>
      <c r="S14" s="97">
        <f t="shared" si="6"/>
        <v>1.3755345746485177</v>
      </c>
      <c r="T14" s="97">
        <f t="shared" si="7"/>
        <v>1.7611500435261631</v>
      </c>
      <c r="U14" s="97">
        <f t="shared" si="8"/>
        <v>1.0202624358159269</v>
      </c>
      <c r="V14" s="97">
        <f t="shared" si="9"/>
        <v>1.7557448829615205</v>
      </c>
      <c r="W14" s="97"/>
      <c r="X14" s="97">
        <f t="shared" si="10"/>
        <v>1.5290117267359924</v>
      </c>
      <c r="Y14" s="97">
        <f t="shared" si="11"/>
        <v>10.238562350161097</v>
      </c>
      <c r="Z14" s="97">
        <f t="shared" si="11"/>
        <v>22.337982262494656</v>
      </c>
      <c r="AA14" s="97">
        <f t="shared" si="11"/>
        <v>4.5441572595962549</v>
      </c>
      <c r="AB14" s="97">
        <f t="shared" si="11"/>
        <v>10.602106688807815</v>
      </c>
      <c r="AC14" s="97">
        <f t="shared" si="11"/>
        <v>19.244180749846031</v>
      </c>
      <c r="AD14" s="97">
        <f t="shared" si="11"/>
        <v>15.646677837976222</v>
      </c>
      <c r="AE14" s="97">
        <f t="shared" si="11"/>
        <v>12.134353561124698</v>
      </c>
      <c r="AF14" s="97">
        <f t="shared" si="11"/>
        <v>3.722967563257245</v>
      </c>
      <c r="AG14" s="97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69">
        <f>'Basic T2'!D15</f>
        <v>3.8733213013957192E-2</v>
      </c>
      <c r="C15" s="69">
        <f>'Basic T2'!O15</f>
        <v>1.2407969519020348</v>
      </c>
      <c r="D15" s="69">
        <f>'Basic T2'!Z15</f>
        <v>3.4708237795724934</v>
      </c>
      <c r="E15" s="69">
        <f>'Basic T2'!AK15</f>
        <v>1.8312643023177801</v>
      </c>
      <c r="F15" s="69">
        <f>'Basic T2'!AV15</f>
        <v>0.4868168356526329</v>
      </c>
      <c r="G15" s="69">
        <f>'Basic T2'!BG15</f>
        <v>1.9732219188287832</v>
      </c>
      <c r="H15" s="69">
        <f>'Basic T2'!BR15</f>
        <v>1.394629924351392</v>
      </c>
      <c r="I15" s="69">
        <f>'Basic T2'!CC15</f>
        <v>0.4434376536640845</v>
      </c>
      <c r="J15" s="69">
        <f>'Basic T2'!CN15</f>
        <v>0.12215912615490418</v>
      </c>
      <c r="K15" s="309">
        <f t="shared" si="12"/>
        <v>11.001883705458059</v>
      </c>
      <c r="L15" s="97"/>
      <c r="M15" s="97">
        <f t="shared" si="0"/>
        <v>0.5461868249777595</v>
      </c>
      <c r="N15" s="97">
        <f t="shared" si="1"/>
        <v>2.5896274145116438</v>
      </c>
      <c r="O15" s="97">
        <f t="shared" si="2"/>
        <v>3.8127018175159009</v>
      </c>
      <c r="P15" s="97">
        <f t="shared" si="3"/>
        <v>6.5806266044227</v>
      </c>
      <c r="Q15" s="97">
        <f t="shared" si="4"/>
        <v>1.8056800063533489</v>
      </c>
      <c r="R15" s="97">
        <f t="shared" si="5"/>
        <v>1.8890840037581316</v>
      </c>
      <c r="S15" s="97">
        <f t="shared" si="6"/>
        <v>1.407328329705352</v>
      </c>
      <c r="T15" s="97">
        <f t="shared" si="7"/>
        <v>0.7387531755795409</v>
      </c>
      <c r="U15" s="97">
        <f t="shared" si="8"/>
        <v>0.38426925838556814</v>
      </c>
      <c r="V15" s="97">
        <f t="shared" si="9"/>
        <v>2.2172544822101963</v>
      </c>
      <c r="W15" s="97"/>
      <c r="X15" s="97">
        <f t="shared" si="10"/>
        <v>0.35205982948848619</v>
      </c>
      <c r="Y15" s="97">
        <f t="shared" si="11"/>
        <v>11.278040971169988</v>
      </c>
      <c r="Z15" s="97">
        <f t="shared" si="11"/>
        <v>31.547541061996593</v>
      </c>
      <c r="AA15" s="97">
        <f t="shared" si="11"/>
        <v>16.645006903765815</v>
      </c>
      <c r="AB15" s="97">
        <f t="shared" si="11"/>
        <v>4.4248498592211254</v>
      </c>
      <c r="AC15" s="97">
        <f t="shared" si="11"/>
        <v>17.935309731095078</v>
      </c>
      <c r="AD15" s="97">
        <f t="shared" si="11"/>
        <v>12.676283095589467</v>
      </c>
      <c r="AE15" s="97">
        <f t="shared" si="11"/>
        <v>4.0305611796650247</v>
      </c>
      <c r="AF15" s="97">
        <f t="shared" si="11"/>
        <v>1.1103473680084508</v>
      </c>
      <c r="AG15" s="97">
        <f t="shared" si="11"/>
        <v>100</v>
      </c>
    </row>
    <row r="16" spans="1:33" x14ac:dyDescent="0.25">
      <c r="A16" s="10" t="str">
        <f>name!D12</f>
        <v>33 Protective service occupations</v>
      </c>
      <c r="B16" s="69">
        <f>'Basic T2'!D16</f>
        <v>2.2432930127284478E-2</v>
      </c>
      <c r="C16" s="69">
        <f>'Basic T2'!O16</f>
        <v>0.26295984207773249</v>
      </c>
      <c r="D16" s="69">
        <f>'Basic T2'!Z16</f>
        <v>1.124342968392632</v>
      </c>
      <c r="E16" s="69">
        <f>'Basic T2'!AK16</f>
        <v>0.33206457252668936</v>
      </c>
      <c r="F16" s="69">
        <f>'Basic T2'!AV16</f>
        <v>0.26767528822835562</v>
      </c>
      <c r="G16" s="69">
        <f>'Basic T2'!BG16</f>
        <v>0.88226416705534028</v>
      </c>
      <c r="H16" s="69">
        <f>'Basic T2'!BR16</f>
        <v>1.0800754169133155</v>
      </c>
      <c r="I16" s="69">
        <f>'Basic T2'!CC16</f>
        <v>0.58393212527107796</v>
      </c>
      <c r="J16" s="69">
        <f>'Basic T2'!CN16</f>
        <v>0.13157433054553327</v>
      </c>
      <c r="K16" s="309">
        <f t="shared" si="12"/>
        <v>4.6873216411379612</v>
      </c>
      <c r="L16" s="97"/>
      <c r="M16" s="97">
        <f t="shared" si="0"/>
        <v>0.31633241674927209</v>
      </c>
      <c r="N16" s="97">
        <f t="shared" si="1"/>
        <v>0.54881502965999662</v>
      </c>
      <c r="O16" s="97">
        <f t="shared" si="2"/>
        <v>1.2350913648603101</v>
      </c>
      <c r="P16" s="97">
        <f t="shared" si="3"/>
        <v>1.1932701126700527</v>
      </c>
      <c r="Q16" s="97">
        <f t="shared" si="4"/>
        <v>0.99284963204044774</v>
      </c>
      <c r="R16" s="97">
        <f t="shared" si="5"/>
        <v>0.84464454259787314</v>
      </c>
      <c r="S16" s="97">
        <f t="shared" si="6"/>
        <v>1.089909735837163</v>
      </c>
      <c r="T16" s="97">
        <f t="shared" si="7"/>
        <v>0.97281254377577486</v>
      </c>
      <c r="U16" s="97">
        <f t="shared" si="8"/>
        <v>0.41388615007933977</v>
      </c>
      <c r="V16" s="97">
        <f t="shared" si="9"/>
        <v>0.94465504241042042</v>
      </c>
      <c r="W16" s="97"/>
      <c r="X16" s="97">
        <f t="shared" si="10"/>
        <v>0.47858738624640951</v>
      </c>
      <c r="Y16" s="97">
        <f t="shared" si="11"/>
        <v>5.6100234251023702</v>
      </c>
      <c r="Z16" s="97">
        <f t="shared" si="11"/>
        <v>23.986896024478288</v>
      </c>
      <c r="AA16" s="97">
        <f t="shared" si="11"/>
        <v>7.0843137712664541</v>
      </c>
      <c r="AB16" s="97">
        <f t="shared" si="11"/>
        <v>5.7106234374684588</v>
      </c>
      <c r="AC16" s="97">
        <f t="shared" si="11"/>
        <v>18.822351752271672</v>
      </c>
      <c r="AD16" s="97">
        <f t="shared" si="11"/>
        <v>23.042485658208449</v>
      </c>
      <c r="AE16" s="97">
        <f t="shared" si="11"/>
        <v>12.457692686293109</v>
      </c>
      <c r="AF16" s="97">
        <f t="shared" si="11"/>
        <v>2.8070258586647876</v>
      </c>
      <c r="AG16" s="97">
        <f t="shared" si="11"/>
        <v>100</v>
      </c>
    </row>
    <row r="17" spans="1:33" x14ac:dyDescent="0.25">
      <c r="A17" s="10" t="str">
        <f>name!D13</f>
        <v>34 Culture, media and sports occupations</v>
      </c>
      <c r="B17" s="69">
        <f>'Basic T2'!D17</f>
        <v>7.6039895423084883E-2</v>
      </c>
      <c r="C17" s="69">
        <f>'Basic T2'!O17</f>
        <v>1.3351642188410457</v>
      </c>
      <c r="D17" s="69">
        <f>'Basic T2'!Z17</f>
        <v>2.7855782609015396</v>
      </c>
      <c r="E17" s="69">
        <f>'Basic T2'!AK17</f>
        <v>0.40391274259369137</v>
      </c>
      <c r="F17" s="69">
        <f>'Basic T2'!AV17</f>
        <v>0.44941487694805166</v>
      </c>
      <c r="G17" s="69">
        <f>'Basic T2'!BG17</f>
        <v>1.3412787689100634</v>
      </c>
      <c r="H17" s="69">
        <f>'Basic T2'!BR17</f>
        <v>0.57269757331096904</v>
      </c>
      <c r="I17" s="69">
        <f>'Basic T2'!CC17</f>
        <v>0.44332395509340033</v>
      </c>
      <c r="J17" s="69">
        <f>'Basic T2'!CN17</f>
        <v>0.2881935504382131</v>
      </c>
      <c r="K17" s="309">
        <f t="shared" si="12"/>
        <v>7.6956038424600592</v>
      </c>
      <c r="L17" s="97"/>
      <c r="M17" s="97">
        <f t="shared" si="0"/>
        <v>1.0722577813983543</v>
      </c>
      <c r="N17" s="97">
        <f t="shared" si="1"/>
        <v>2.7865783025060042</v>
      </c>
      <c r="O17" s="97">
        <f t="shared" si="2"/>
        <v>3.0599592409961636</v>
      </c>
      <c r="P17" s="97">
        <f t="shared" si="3"/>
        <v>1.4514556617595984</v>
      </c>
      <c r="Q17" s="97">
        <f t="shared" si="4"/>
        <v>1.6669502745831313</v>
      </c>
      <c r="R17" s="97">
        <f t="shared" si="5"/>
        <v>1.2840868240670791</v>
      </c>
      <c r="S17" s="97">
        <f t="shared" si="6"/>
        <v>0.57791210786536995</v>
      </c>
      <c r="T17" s="97">
        <f t="shared" si="7"/>
        <v>0.73856375733898849</v>
      </c>
      <c r="U17" s="97">
        <f t="shared" si="8"/>
        <v>0.9065546339777093</v>
      </c>
      <c r="V17" s="97">
        <f t="shared" si="9"/>
        <v>1.5509264204041282</v>
      </c>
      <c r="W17" s="97"/>
      <c r="X17" s="97">
        <f t="shared" si="10"/>
        <v>0.98809524216331224</v>
      </c>
      <c r="Y17" s="97">
        <f t="shared" si="11"/>
        <v>17.34970050659771</v>
      </c>
      <c r="Z17" s="97">
        <f t="shared" si="11"/>
        <v>36.197006991605633</v>
      </c>
      <c r="AA17" s="97">
        <f t="shared" si="11"/>
        <v>5.248616624014943</v>
      </c>
      <c r="AB17" s="97">
        <f t="shared" si="11"/>
        <v>5.8398910098312298</v>
      </c>
      <c r="AC17" s="97">
        <f t="shared" si="11"/>
        <v>17.429155611020846</v>
      </c>
      <c r="AD17" s="97">
        <f t="shared" si="11"/>
        <v>7.4418796112027303</v>
      </c>
      <c r="AE17" s="97">
        <f t="shared" si="11"/>
        <v>5.7607429406304087</v>
      </c>
      <c r="AF17" s="97">
        <f t="shared" si="11"/>
        <v>3.7449114629331808</v>
      </c>
      <c r="AG17" s="97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69">
        <f>'Basic T2'!D18</f>
        <v>0.32599811584593136</v>
      </c>
      <c r="C18" s="69">
        <f>'Basic T2'!O18</f>
        <v>3.4406607165194942</v>
      </c>
      <c r="D18" s="69">
        <f>'Basic T2'!Z18</f>
        <v>7.2118454489882708</v>
      </c>
      <c r="E18" s="69">
        <f>'Basic T2'!AK18</f>
        <v>2.1830122364258782</v>
      </c>
      <c r="F18" s="69">
        <f>'Basic T2'!AV18</f>
        <v>1.9063882231556719</v>
      </c>
      <c r="G18" s="69">
        <f>'Basic T2'!BG18</f>
        <v>5.6383060969666561</v>
      </c>
      <c r="H18" s="69">
        <f>'Basic T2'!BR18</f>
        <v>4.4396430658008654</v>
      </c>
      <c r="I18" s="69">
        <f>'Basic T2'!CC18</f>
        <v>2.6004774873929857</v>
      </c>
      <c r="J18" s="69">
        <f>'Basic T2'!CN18</f>
        <v>0.97256066593665447</v>
      </c>
      <c r="K18" s="309">
        <f t="shared" si="12"/>
        <v>28.718892057032409</v>
      </c>
      <c r="L18" s="97"/>
      <c r="M18" s="97">
        <f t="shared" si="0"/>
        <v>4.5969818145078776</v>
      </c>
      <c r="N18" s="97">
        <f t="shared" si="1"/>
        <v>7.1808923304283203</v>
      </c>
      <c r="O18" s="97">
        <f t="shared" si="2"/>
        <v>7.9222161645982965</v>
      </c>
      <c r="P18" s="97">
        <f t="shared" si="3"/>
        <v>7.84462864405881</v>
      </c>
      <c r="Q18" s="97">
        <f t="shared" si="4"/>
        <v>7.0710929589870393</v>
      </c>
      <c r="R18" s="97">
        <f t="shared" si="5"/>
        <v>5.3978894894872003</v>
      </c>
      <c r="S18" s="97">
        <f t="shared" si="6"/>
        <v>4.4800669705888376</v>
      </c>
      <c r="T18" s="97">
        <f t="shared" si="7"/>
        <v>4.3323136543789431</v>
      </c>
      <c r="U18" s="97">
        <f t="shared" si="8"/>
        <v>3.0593307073967551</v>
      </c>
      <c r="V18" s="97">
        <f t="shared" si="9"/>
        <v>5.7878354145822826</v>
      </c>
      <c r="W18" s="97"/>
      <c r="X18" s="97">
        <f t="shared" si="10"/>
        <v>1.1351347231590156</v>
      </c>
      <c r="Y18" s="97">
        <f t="shared" si="11"/>
        <v>11.980478598153226</v>
      </c>
      <c r="Z18" s="97">
        <f t="shared" si="11"/>
        <v>25.111851232514041</v>
      </c>
      <c r="AA18" s="97">
        <f t="shared" si="11"/>
        <v>7.6013107751185789</v>
      </c>
      <c r="AB18" s="97">
        <f t="shared" si="11"/>
        <v>6.6380980832053158</v>
      </c>
      <c r="AC18" s="97">
        <f t="shared" si="11"/>
        <v>19.632742397476999</v>
      </c>
      <c r="AD18" s="97">
        <f t="shared" si="11"/>
        <v>15.458963587398308</v>
      </c>
      <c r="AE18" s="97">
        <f t="shared" si="11"/>
        <v>9.054936667573168</v>
      </c>
      <c r="AF18" s="97">
        <f t="shared" si="11"/>
        <v>3.3864839354013418</v>
      </c>
      <c r="AG18" s="97">
        <f t="shared" si="11"/>
        <v>100</v>
      </c>
    </row>
    <row r="19" spans="1:33" x14ac:dyDescent="0.25">
      <c r="A19" s="10" t="str">
        <f>name!D15</f>
        <v>41 Administrative occupations</v>
      </c>
      <c r="B19" s="69">
        <f>'Basic T2'!D19</f>
        <v>0.27930704803573281</v>
      </c>
      <c r="C19" s="69">
        <f>'Basic T2'!O19</f>
        <v>2.913821387094532</v>
      </c>
      <c r="D19" s="69">
        <f>'Basic T2'!Z19</f>
        <v>9.1944183745609376</v>
      </c>
      <c r="E19" s="69">
        <f>'Basic T2'!AK19</f>
        <v>3.4275540596470844</v>
      </c>
      <c r="F19" s="69">
        <f>'Basic T2'!AV19</f>
        <v>3.1883325092039434</v>
      </c>
      <c r="G19" s="69">
        <f>'Basic T2'!BG19</f>
        <v>9.8895340020557221</v>
      </c>
      <c r="H19" s="69">
        <f>'Basic T2'!BR19</f>
        <v>11.379675569731608</v>
      </c>
      <c r="I19" s="69">
        <f>'Basic T2'!CC19</f>
        <v>4.9009950763662768</v>
      </c>
      <c r="J19" s="69">
        <f>'Basic T2'!CN19</f>
        <v>2.0244289830535291</v>
      </c>
      <c r="K19" s="309">
        <f t="shared" si="12"/>
        <v>47.198067009749373</v>
      </c>
      <c r="L19" s="97"/>
      <c r="M19" s="97">
        <f t="shared" si="0"/>
        <v>3.9385792680193084</v>
      </c>
      <c r="N19" s="97">
        <f t="shared" si="1"/>
        <v>6.0813429090419824</v>
      </c>
      <c r="O19" s="97">
        <f t="shared" si="2"/>
        <v>10.100073606159263</v>
      </c>
      <c r="P19" s="97">
        <f t="shared" si="3"/>
        <v>12.316874961447578</v>
      </c>
      <c r="Q19" s="97">
        <f t="shared" si="4"/>
        <v>11.826025403903529</v>
      </c>
      <c r="R19" s="97">
        <f t="shared" si="5"/>
        <v>9.467845613125208</v>
      </c>
      <c r="S19" s="97">
        <f t="shared" si="6"/>
        <v>11.48328996281027</v>
      </c>
      <c r="T19" s="97">
        <f t="shared" si="7"/>
        <v>8.1649035580275733</v>
      </c>
      <c r="U19" s="97">
        <f t="shared" si="8"/>
        <v>6.3681351402741599</v>
      </c>
      <c r="V19" s="97">
        <f t="shared" si="9"/>
        <v>9.5120188897385649</v>
      </c>
      <c r="W19" s="97"/>
      <c r="X19" s="97">
        <f t="shared" si="10"/>
        <v>0.59177645554433045</v>
      </c>
      <c r="Y19" s="97">
        <f t="shared" si="11"/>
        <v>6.1736032250910702</v>
      </c>
      <c r="Z19" s="97">
        <f t="shared" si="11"/>
        <v>19.48049773449771</v>
      </c>
      <c r="AA19" s="97">
        <f t="shared" si="11"/>
        <v>7.2620644801811034</v>
      </c>
      <c r="AB19" s="97">
        <f t="shared" si="11"/>
        <v>6.7552184044854036</v>
      </c>
      <c r="AC19" s="97">
        <f t="shared" si="11"/>
        <v>20.953260649451831</v>
      </c>
      <c r="AD19" s="97">
        <f t="shared" si="11"/>
        <v>24.110469539739814</v>
      </c>
      <c r="AE19" s="97">
        <f t="shared" si="11"/>
        <v>10.383889398169448</v>
      </c>
      <c r="AF19" s="97">
        <f t="shared" si="11"/>
        <v>4.289220112839276</v>
      </c>
      <c r="AG19" s="97">
        <f t="shared" si="11"/>
        <v>100</v>
      </c>
    </row>
    <row r="20" spans="1:33" x14ac:dyDescent="0.25">
      <c r="A20" s="10" t="str">
        <f>name!D16</f>
        <v>42 Secretarial and related occupations</v>
      </c>
      <c r="B20" s="69">
        <f>'Basic T2'!D20</f>
        <v>2.0648601889918135E-2</v>
      </c>
      <c r="C20" s="69">
        <f>'Basic T2'!O20</f>
        <v>0.47265356465006436</v>
      </c>
      <c r="D20" s="69">
        <f>'Basic T2'!Z20</f>
        <v>1.3728268271190882</v>
      </c>
      <c r="E20" s="69">
        <f>'Basic T2'!AK20</f>
        <v>0.70672062399025171</v>
      </c>
      <c r="F20" s="69">
        <f>'Basic T2'!AV20</f>
        <v>0.55548511552801272</v>
      </c>
      <c r="G20" s="69">
        <f>'Basic T2'!BG20</f>
        <v>1.7787249574536648</v>
      </c>
      <c r="H20" s="69">
        <f>'Basic T2'!BR20</f>
        <v>2.0317734352043391</v>
      </c>
      <c r="I20" s="69">
        <f>'Basic T2'!CC20</f>
        <v>1.6820682967364342</v>
      </c>
      <c r="J20" s="69">
        <f>'Basic T2'!CN20</f>
        <v>0.65943185089343614</v>
      </c>
      <c r="K20" s="309">
        <f t="shared" si="12"/>
        <v>9.2803332734652084</v>
      </c>
      <c r="L20" s="97"/>
      <c r="M20" s="97">
        <f t="shared" si="0"/>
        <v>0.29117115335668692</v>
      </c>
      <c r="N20" s="97">
        <f t="shared" si="1"/>
        <v>0.98646005432893524</v>
      </c>
      <c r="O20" s="97">
        <f t="shared" si="2"/>
        <v>1.5080510193854431</v>
      </c>
      <c r="P20" s="97">
        <f t="shared" si="3"/>
        <v>2.5395922009937317</v>
      </c>
      <c r="Q20" s="97">
        <f t="shared" si="4"/>
        <v>2.0603814278344337</v>
      </c>
      <c r="R20" s="97">
        <f t="shared" si="5"/>
        <v>1.7028803664442989</v>
      </c>
      <c r="S20" s="97">
        <f t="shared" si="6"/>
        <v>2.0502731692320824</v>
      </c>
      <c r="T20" s="97">
        <f t="shared" si="7"/>
        <v>2.8022728459975057</v>
      </c>
      <c r="U20" s="97">
        <f t="shared" si="8"/>
        <v>2.0743385801345662</v>
      </c>
      <c r="V20" s="97">
        <f t="shared" si="9"/>
        <v>1.8703034042058568</v>
      </c>
      <c r="W20" s="97"/>
      <c r="X20" s="97">
        <f t="shared" si="10"/>
        <v>0.22249849527449245</v>
      </c>
      <c r="Y20" s="97">
        <f t="shared" si="11"/>
        <v>5.0930667113162738</v>
      </c>
      <c r="Z20" s="97">
        <f t="shared" si="11"/>
        <v>14.792861276268418</v>
      </c>
      <c r="AA20" s="97">
        <f t="shared" si="11"/>
        <v>7.6152504782445964</v>
      </c>
      <c r="AB20" s="97">
        <f t="shared" si="11"/>
        <v>5.9856160243326979</v>
      </c>
      <c r="AC20" s="97">
        <f t="shared" si="11"/>
        <v>19.166606468104803</v>
      </c>
      <c r="AD20" s="97">
        <f t="shared" si="11"/>
        <v>21.893324036257265</v>
      </c>
      <c r="AE20" s="97">
        <f t="shared" si="11"/>
        <v>18.125085028421207</v>
      </c>
      <c r="AF20" s="97">
        <f t="shared" si="11"/>
        <v>7.1056914817802559</v>
      </c>
      <c r="AG20" s="97">
        <f t="shared" si="11"/>
        <v>100</v>
      </c>
    </row>
    <row r="21" spans="1:33" x14ac:dyDescent="0.25">
      <c r="A21" s="10" t="str">
        <f>name!D17</f>
        <v>51 Skilled agricultural and related trades</v>
      </c>
      <c r="B21" s="69">
        <f>'Basic T2'!D21</f>
        <v>6.4874057331890146E-3</v>
      </c>
      <c r="C21" s="69">
        <f>'Basic T2'!O21</f>
        <v>5.1388624470621397E-2</v>
      </c>
      <c r="D21" s="69">
        <f>'Basic T2'!Z21</f>
        <v>0.34538868902250341</v>
      </c>
      <c r="E21" s="69">
        <f>'Basic T2'!AK21</f>
        <v>0.13700200541335261</v>
      </c>
      <c r="F21" s="69">
        <f>'Basic T2'!AV21</f>
        <v>0.27409151494287032</v>
      </c>
      <c r="G21" s="69">
        <f>'Basic T2'!BG21</f>
        <v>0.42892089512295456</v>
      </c>
      <c r="H21" s="69">
        <f>'Basic T2'!BR21</f>
        <v>0.76508482743752015</v>
      </c>
      <c r="I21" s="69">
        <f>'Basic T2'!CC21</f>
        <v>0.71514612342379791</v>
      </c>
      <c r="J21" s="69">
        <f>'Basic T2'!CN21</f>
        <v>0.46963499929906038</v>
      </c>
      <c r="K21" s="309">
        <f t="shared" si="12"/>
        <v>3.1931450848658702</v>
      </c>
      <c r="L21" s="97"/>
      <c r="M21" s="97">
        <f t="shared" si="0"/>
        <v>9.1480547675613949E-2</v>
      </c>
      <c r="N21" s="97">
        <f t="shared" si="1"/>
        <v>0.10725154548386739</v>
      </c>
      <c r="O21" s="97">
        <f t="shared" si="2"/>
        <v>0.37940966353173172</v>
      </c>
      <c r="P21" s="97">
        <f t="shared" si="3"/>
        <v>0.49231508556208559</v>
      </c>
      <c r="Q21" s="97">
        <f t="shared" si="4"/>
        <v>1.0166484233848301</v>
      </c>
      <c r="R21" s="97">
        <f t="shared" si="5"/>
        <v>0.41063176631208886</v>
      </c>
      <c r="S21" s="97">
        <f t="shared" si="6"/>
        <v>0.7720510893105289</v>
      </c>
      <c r="T21" s="97">
        <f t="shared" si="7"/>
        <v>1.1914109352629365</v>
      </c>
      <c r="U21" s="97">
        <f t="shared" si="8"/>
        <v>1.4773050411617714</v>
      </c>
      <c r="V21" s="97">
        <f t="shared" si="9"/>
        <v>0.64352754867367812</v>
      </c>
      <c r="W21" s="97"/>
      <c r="X21" s="97">
        <f t="shared" si="10"/>
        <v>0.20316664482101107</v>
      </c>
      <c r="Y21" s="97">
        <f t="shared" si="11"/>
        <v>1.609341984308239</v>
      </c>
      <c r="Z21" s="97">
        <f t="shared" si="11"/>
        <v>10.816567360484081</v>
      </c>
      <c r="AA21" s="97">
        <f t="shared" si="11"/>
        <v>4.2905036186010781</v>
      </c>
      <c r="AB21" s="97">
        <f t="shared" si="11"/>
        <v>8.5837476111544646</v>
      </c>
      <c r="AC21" s="97">
        <f t="shared" si="11"/>
        <v>13.432552662760438</v>
      </c>
      <c r="AD21" s="97">
        <f t="shared" si="11"/>
        <v>23.96022752187779</v>
      </c>
      <c r="AE21" s="97">
        <f t="shared" si="11"/>
        <v>22.396292821559594</v>
      </c>
      <c r="AF21" s="97">
        <f t="shared" si="11"/>
        <v>14.707599774433289</v>
      </c>
      <c r="AG21" s="97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69">
        <f>'Basic T2'!D22</f>
        <v>1.1464323518649107E-2</v>
      </c>
      <c r="C22" s="69">
        <f>'Basic T2'!O22</f>
        <v>0.34914786357303379</v>
      </c>
      <c r="D22" s="69">
        <f>'Basic T2'!Z22</f>
        <v>0.95692385548505654</v>
      </c>
      <c r="E22" s="69">
        <f>'Basic T2'!AK22</f>
        <v>0.37271386732364625</v>
      </c>
      <c r="F22" s="69">
        <f>'Basic T2'!AV22</f>
        <v>1.7895018474807844</v>
      </c>
      <c r="G22" s="69">
        <f>'Basic T2'!BG22</f>
        <v>9.8300659100997692</v>
      </c>
      <c r="H22" s="69">
        <f>'Basic T2'!BR22</f>
        <v>5.6803137930496961</v>
      </c>
      <c r="I22" s="69">
        <f>'Basic T2'!CC22</f>
        <v>2.8024218417015874</v>
      </c>
      <c r="J22" s="69">
        <f>'Basic T2'!CN22</f>
        <v>1.444272980015455</v>
      </c>
      <c r="K22" s="309">
        <f t="shared" si="12"/>
        <v>23.236826282247677</v>
      </c>
      <c r="L22" s="97"/>
      <c r="M22" s="97">
        <f t="shared" si="0"/>
        <v>0.16166132308498327</v>
      </c>
      <c r="N22" s="97">
        <f t="shared" si="1"/>
        <v>0.72869527753182817</v>
      </c>
      <c r="O22" s="97">
        <f t="shared" si="2"/>
        <v>1.0511813778922494</v>
      </c>
      <c r="P22" s="97">
        <f t="shared" si="3"/>
        <v>1.3393428725951553</v>
      </c>
      <c r="Q22" s="97">
        <f t="shared" si="4"/>
        <v>6.6375430566129738</v>
      </c>
      <c r="R22" s="97">
        <f t="shared" si="5"/>
        <v>9.4109132325470064</v>
      </c>
      <c r="S22" s="97">
        <f t="shared" si="6"/>
        <v>5.7320342715955599</v>
      </c>
      <c r="T22" s="97">
        <f t="shared" si="7"/>
        <v>4.6687465932670156</v>
      </c>
      <c r="U22" s="97">
        <f t="shared" si="8"/>
        <v>4.5431702436467774</v>
      </c>
      <c r="V22" s="97">
        <f t="shared" si="9"/>
        <v>4.6830123464305649</v>
      </c>
      <c r="W22" s="97"/>
      <c r="X22" s="97">
        <f t="shared" si="10"/>
        <v>4.9336873200311125E-2</v>
      </c>
      <c r="Y22" s="97">
        <f t="shared" si="11"/>
        <v>1.5025626104532768</v>
      </c>
      <c r="Z22" s="97">
        <f t="shared" si="11"/>
        <v>4.1181349116343018</v>
      </c>
      <c r="AA22" s="97">
        <f t="shared" si="11"/>
        <v>1.6039792301945719</v>
      </c>
      <c r="AB22" s="97">
        <f t="shared" si="11"/>
        <v>7.7011456975426826</v>
      </c>
      <c r="AC22" s="97">
        <f t="shared" si="11"/>
        <v>42.303823210184603</v>
      </c>
      <c r="AD22" s="97">
        <f t="shared" si="11"/>
        <v>24.445308167532783</v>
      </c>
      <c r="AE22" s="97">
        <f t="shared" si="11"/>
        <v>12.060260758770504</v>
      </c>
      <c r="AF22" s="97">
        <f t="shared" si="11"/>
        <v>6.2154485404869657</v>
      </c>
      <c r="AG22" s="97">
        <f t="shared" si="11"/>
        <v>100</v>
      </c>
    </row>
    <row r="23" spans="1:33" x14ac:dyDescent="0.25">
      <c r="A23" s="10" t="str">
        <f>name!D19</f>
        <v>53 Skilled construction and building trades</v>
      </c>
      <c r="B23" s="69">
        <f>'Basic T2'!D23</f>
        <v>3.5356937275610512E-3</v>
      </c>
      <c r="C23" s="69">
        <f>'Basic T2'!O23</f>
        <v>0.14059944724793219</v>
      </c>
      <c r="D23" s="69">
        <f>'Basic T2'!Z23</f>
        <v>0.4832356462723717</v>
      </c>
      <c r="E23" s="69">
        <f>'Basic T2'!AK23</f>
        <v>0.36860761709271006</v>
      </c>
      <c r="F23" s="69">
        <f>'Basic T2'!AV23</f>
        <v>0.53358704843977633</v>
      </c>
      <c r="G23" s="69">
        <f>'Basic T2'!BG23</f>
        <v>5.6734510206812061</v>
      </c>
      <c r="H23" s="69">
        <f>'Basic T2'!BR23</f>
        <v>5.5984203141260878</v>
      </c>
      <c r="I23" s="69">
        <f>'Basic T2'!CC23</f>
        <v>2.6774607516522253</v>
      </c>
      <c r="J23" s="69">
        <f>'Basic T2'!CN23</f>
        <v>1.9945758633782662</v>
      </c>
      <c r="K23" s="309">
        <f t="shared" si="12"/>
        <v>17.473473402618136</v>
      </c>
      <c r="L23" s="97"/>
      <c r="M23" s="97">
        <f t="shared" si="0"/>
        <v>4.9857710757289259E-2</v>
      </c>
      <c r="N23" s="97">
        <f t="shared" si="1"/>
        <v>0.29344058469864448</v>
      </c>
      <c r="O23" s="97">
        <f t="shared" si="2"/>
        <v>0.53083462135841364</v>
      </c>
      <c r="P23" s="97">
        <f t="shared" si="3"/>
        <v>1.3245871109719343</v>
      </c>
      <c r="Q23" s="97">
        <f t="shared" si="4"/>
        <v>1.9791580620360767</v>
      </c>
      <c r="R23" s="97">
        <f t="shared" si="5"/>
        <v>5.4315358384198449</v>
      </c>
      <c r="S23" s="97">
        <f t="shared" si="6"/>
        <v>5.6493951349364764</v>
      </c>
      <c r="T23" s="97">
        <f t="shared" si="7"/>
        <v>4.4605653498947992</v>
      </c>
      <c r="U23" s="97">
        <f t="shared" si="8"/>
        <v>6.2742278202139108</v>
      </c>
      <c r="V23" s="97">
        <f t="shared" si="9"/>
        <v>3.5215003411202344</v>
      </c>
      <c r="W23" s="97"/>
      <c r="X23" s="97">
        <f t="shared" si="10"/>
        <v>2.023463593123552E-2</v>
      </c>
      <c r="Y23" s="97">
        <f t="shared" si="11"/>
        <v>0.80464509836301634</v>
      </c>
      <c r="Z23" s="97">
        <f t="shared" si="11"/>
        <v>2.7655385688798781</v>
      </c>
      <c r="AA23" s="97">
        <f t="shared" si="11"/>
        <v>2.1095268731028587</v>
      </c>
      <c r="AB23" s="97">
        <f t="shared" si="11"/>
        <v>3.0536976601333676</v>
      </c>
      <c r="AC23" s="97">
        <f t="shared" si="11"/>
        <v>32.468936713127256</v>
      </c>
      <c r="AD23" s="97">
        <f t="shared" si="11"/>
        <v>32.039538934985003</v>
      </c>
      <c r="AE23" s="97">
        <f t="shared" si="11"/>
        <v>15.323002416056832</v>
      </c>
      <c r="AF23" s="97">
        <f t="shared" si="11"/>
        <v>11.414879099420547</v>
      </c>
      <c r="AG23" s="97">
        <f t="shared" si="11"/>
        <v>100</v>
      </c>
    </row>
    <row r="24" spans="1:33" x14ac:dyDescent="0.25">
      <c r="A24" s="10" t="str">
        <f>name!D20</f>
        <v>54 Textiles, printing and other skilled trades</v>
      </c>
      <c r="B24" s="69">
        <f>'Basic T2'!D24</f>
        <v>3.0993165750762212E-2</v>
      </c>
      <c r="C24" s="69">
        <f>'Basic T2'!O24</f>
        <v>0.29977725198786687</v>
      </c>
      <c r="D24" s="69">
        <f>'Basic T2'!Z24</f>
        <v>0.64773474534466513</v>
      </c>
      <c r="E24" s="69">
        <f>'Basic T2'!AK24</f>
        <v>0.25854393497278039</v>
      </c>
      <c r="F24" s="69">
        <f>'Basic T2'!AV24</f>
        <v>0.28979790364263391</v>
      </c>
      <c r="G24" s="69">
        <f>'Basic T2'!BG24</f>
        <v>2.0041714890091522</v>
      </c>
      <c r="H24" s="69">
        <f>'Basic T2'!BR24</f>
        <v>2.0514040727666725</v>
      </c>
      <c r="I24" s="69">
        <f>'Basic T2'!CC24</f>
        <v>1.5800721221504035</v>
      </c>
      <c r="J24" s="69">
        <f>'Basic T2'!CN24</f>
        <v>1.1669076436963572</v>
      </c>
      <c r="K24" s="309">
        <f t="shared" si="12"/>
        <v>8.3294023293212938</v>
      </c>
      <c r="L24" s="97"/>
      <c r="M24" s="97">
        <f t="shared" si="0"/>
        <v>0.43704246253256518</v>
      </c>
      <c r="N24" s="97">
        <f t="shared" si="1"/>
        <v>0.62565546184226739</v>
      </c>
      <c r="O24" s="97">
        <f t="shared" si="2"/>
        <v>0.71153697153359674</v>
      </c>
      <c r="P24" s="97">
        <f t="shared" si="3"/>
        <v>0.92907457145351457</v>
      </c>
      <c r="Q24" s="97">
        <f t="shared" si="4"/>
        <v>1.0749058828031277</v>
      </c>
      <c r="R24" s="97">
        <f t="shared" si="5"/>
        <v>1.9187138884624466</v>
      </c>
      <c r="S24" s="97">
        <f t="shared" si="6"/>
        <v>2.0700825479706739</v>
      </c>
      <c r="T24" s="97">
        <f t="shared" si="7"/>
        <v>2.6323504290584268</v>
      </c>
      <c r="U24" s="97">
        <f t="shared" si="8"/>
        <v>3.6706773285120482</v>
      </c>
      <c r="V24" s="97">
        <f t="shared" si="9"/>
        <v>1.6786584137094149</v>
      </c>
      <c r="W24" s="97"/>
      <c r="X24" s="97">
        <f t="shared" si="10"/>
        <v>0.37209351314030759</v>
      </c>
      <c r="Y24" s="97">
        <f t="shared" ref="Y24:AG32" si="13">IF($K24&gt;0,C24/$K24*100,0)</f>
        <v>3.5990247575457635</v>
      </c>
      <c r="Z24" s="97">
        <f t="shared" si="13"/>
        <v>7.7764852715122066</v>
      </c>
      <c r="AA24" s="97">
        <f t="shared" si="13"/>
        <v>3.1039914360079588</v>
      </c>
      <c r="AB24" s="97">
        <f t="shared" si="13"/>
        <v>3.4792160611870404</v>
      </c>
      <c r="AC24" s="97">
        <f t="shared" si="13"/>
        <v>24.061408127135799</v>
      </c>
      <c r="AD24" s="97">
        <f t="shared" si="13"/>
        <v>24.628466625333818</v>
      </c>
      <c r="AE24" s="97">
        <f t="shared" si="13"/>
        <v>18.969813915558007</v>
      </c>
      <c r="AF24" s="97">
        <f t="shared" si="13"/>
        <v>14.009500292579101</v>
      </c>
      <c r="AG24" s="97">
        <f t="shared" si="13"/>
        <v>100</v>
      </c>
    </row>
    <row r="25" spans="1:33" x14ac:dyDescent="0.25">
      <c r="A25" s="10" t="str">
        <f>name!D21</f>
        <v>61 Caring personal service occupations</v>
      </c>
      <c r="B25" s="69">
        <f>'Basic T2'!D25</f>
        <v>2.7400915804108666E-2</v>
      </c>
      <c r="C25" s="69">
        <f>'Basic T2'!O25</f>
        <v>1.648877940775634</v>
      </c>
      <c r="D25" s="69">
        <f>'Basic T2'!Z25</f>
        <v>5.0871228328913283</v>
      </c>
      <c r="E25" s="69">
        <f>'Basic T2'!AK25</f>
        <v>4.2006331630226796</v>
      </c>
      <c r="F25" s="69">
        <f>'Basic T2'!AV25</f>
        <v>2.3387631540885168</v>
      </c>
      <c r="G25" s="69">
        <f>'Basic T2'!BG25</f>
        <v>14.43868890488992</v>
      </c>
      <c r="H25" s="69">
        <f>'Basic T2'!BR25</f>
        <v>9.9779947209940332</v>
      </c>
      <c r="I25" s="69">
        <f>'Basic T2'!CC25</f>
        <v>1.4660701153049098</v>
      </c>
      <c r="J25" s="69">
        <f>'Basic T2'!CN25</f>
        <v>0.52346223229924793</v>
      </c>
      <c r="K25" s="309">
        <f t="shared" si="12"/>
        <v>39.709013980070374</v>
      </c>
      <c r="L25" s="97"/>
      <c r="M25" s="97">
        <f t="shared" si="0"/>
        <v>0.3863872382375339</v>
      </c>
      <c r="N25" s="97">
        <f t="shared" si="1"/>
        <v>3.4413201225797487</v>
      </c>
      <c r="O25" s="97">
        <f t="shared" si="2"/>
        <v>5.5882072103586893</v>
      </c>
      <c r="P25" s="97">
        <f t="shared" si="3"/>
        <v>15.094925573015649</v>
      </c>
      <c r="Q25" s="97">
        <f t="shared" si="4"/>
        <v>8.6748394008848226</v>
      </c>
      <c r="R25" s="97">
        <f t="shared" si="5"/>
        <v>13.823025167720274</v>
      </c>
      <c r="S25" s="97">
        <f t="shared" si="6"/>
        <v>10.06884650853601</v>
      </c>
      <c r="T25" s="97">
        <f t="shared" si="7"/>
        <v>2.4424266734105871</v>
      </c>
      <c r="U25" s="97">
        <f t="shared" si="8"/>
        <v>1.6466264136779813</v>
      </c>
      <c r="V25" s="97">
        <f t="shared" si="9"/>
        <v>8.0027194968238984</v>
      </c>
      <c r="W25" s="97"/>
      <c r="X25" s="97">
        <f t="shared" si="10"/>
        <v>6.9004271468087727E-2</v>
      </c>
      <c r="Y25" s="97">
        <f t="shared" si="13"/>
        <v>4.1524021261348674</v>
      </c>
      <c r="Z25" s="97">
        <f t="shared" si="13"/>
        <v>12.811002649032064</v>
      </c>
      <c r="AA25" s="97">
        <f t="shared" si="13"/>
        <v>10.578538074833443</v>
      </c>
      <c r="AB25" s="97">
        <f t="shared" si="13"/>
        <v>5.8897537855317248</v>
      </c>
      <c r="AC25" s="97">
        <f t="shared" si="13"/>
        <v>36.361237557136469</v>
      </c>
      <c r="AD25" s="97">
        <f t="shared" si="13"/>
        <v>25.127782638979419</v>
      </c>
      <c r="AE25" s="97">
        <f t="shared" si="13"/>
        <v>3.692033541907433</v>
      </c>
      <c r="AF25" s="97">
        <f t="shared" si="13"/>
        <v>1.318245354976503</v>
      </c>
      <c r="AG25" s="97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69">
        <f>'Basic T2'!D26</f>
        <v>1.7170951827122732E-2</v>
      </c>
      <c r="C26" s="69">
        <f>'Basic T2'!O26</f>
        <v>0.23088990393483855</v>
      </c>
      <c r="D26" s="69">
        <f>'Basic T2'!Z26</f>
        <v>0.93384356837798443</v>
      </c>
      <c r="E26" s="69">
        <f>'Basic T2'!AK26</f>
        <v>0.62586487366166454</v>
      </c>
      <c r="F26" s="69">
        <f>'Basic T2'!AV26</f>
        <v>0.72455408037163693</v>
      </c>
      <c r="G26" s="69">
        <f>'Basic T2'!BG26</f>
        <v>2.1936744287136394</v>
      </c>
      <c r="H26" s="69">
        <f>'Basic T2'!BR26</f>
        <v>2.3295230642823586</v>
      </c>
      <c r="I26" s="69">
        <f>'Basic T2'!CC26</f>
        <v>1.392087677542144</v>
      </c>
      <c r="J26" s="69">
        <f>'Basic T2'!CN26</f>
        <v>0.73439934112158267</v>
      </c>
      <c r="K26" s="309">
        <f t="shared" si="12"/>
        <v>9.1820078898329704</v>
      </c>
      <c r="L26" s="97"/>
      <c r="M26" s="97">
        <f t="shared" si="0"/>
        <v>0.24213193098446911</v>
      </c>
      <c r="N26" s="97">
        <f t="shared" si="1"/>
        <v>0.48188289312530935</v>
      </c>
      <c r="O26" s="97">
        <f t="shared" si="2"/>
        <v>1.0258276698993989</v>
      </c>
      <c r="P26" s="97">
        <f t="shared" si="3"/>
        <v>2.2490380188041814</v>
      </c>
      <c r="Q26" s="97">
        <f t="shared" si="4"/>
        <v>2.6874847388851322</v>
      </c>
      <c r="R26" s="97">
        <f t="shared" si="5"/>
        <v>2.1001364485125471</v>
      </c>
      <c r="S26" s="97">
        <f t="shared" si="6"/>
        <v>2.3507338727091276</v>
      </c>
      <c r="T26" s="97">
        <f t="shared" si="7"/>
        <v>2.3191742603988552</v>
      </c>
      <c r="U26" s="97">
        <f t="shared" si="8"/>
        <v>2.31015969952001</v>
      </c>
      <c r="V26" s="97">
        <f t="shared" si="9"/>
        <v>1.8504874887308131</v>
      </c>
      <c r="W26" s="97"/>
      <c r="X26" s="97">
        <f t="shared" si="10"/>
        <v>0.18700650264236582</v>
      </c>
      <c r="Y26" s="97">
        <f t="shared" si="13"/>
        <v>2.5145905634703025</v>
      </c>
      <c r="Z26" s="97">
        <f t="shared" si="13"/>
        <v>10.170363384374873</v>
      </c>
      <c r="AA26" s="97">
        <f t="shared" si="13"/>
        <v>6.8162092776534262</v>
      </c>
      <c r="AB26" s="97">
        <f t="shared" si="13"/>
        <v>7.8910200150657595</v>
      </c>
      <c r="AC26" s="97">
        <f t="shared" si="13"/>
        <v>23.891010060475391</v>
      </c>
      <c r="AD26" s="97">
        <f t="shared" si="13"/>
        <v>25.370519087244382</v>
      </c>
      <c r="AE26" s="97">
        <f t="shared" si="13"/>
        <v>15.161037697251068</v>
      </c>
      <c r="AF26" s="97">
        <f t="shared" si="13"/>
        <v>7.998243411822445</v>
      </c>
      <c r="AG26" s="97">
        <f t="shared" si="13"/>
        <v>100</v>
      </c>
    </row>
    <row r="27" spans="1:33" x14ac:dyDescent="0.25">
      <c r="A27" s="10" t="str">
        <f>name!D23</f>
        <v>63 Community and civil enforcement occupations</v>
      </c>
      <c r="B27" s="69">
        <f>'Basic T2'!D27</f>
        <v>1.3021404097811192E-3</v>
      </c>
      <c r="C27" s="69">
        <f>'Basic T2'!O27</f>
        <v>1.6142172010219294E-2</v>
      </c>
      <c r="D27" s="69">
        <f>'Basic T2'!Z27</f>
        <v>6.8915963889262952E-2</v>
      </c>
      <c r="E27" s="69">
        <f>'Basic T2'!AK27</f>
        <v>2.1113658703558812E-2</v>
      </c>
      <c r="F27" s="69">
        <f>'Basic T2'!AV27</f>
        <v>2.058998577755608E-2</v>
      </c>
      <c r="G27" s="69">
        <f>'Basic T2'!BG27</f>
        <v>7.0604552428313538E-2</v>
      </c>
      <c r="H27" s="69">
        <f>'Basic T2'!BR27</f>
        <v>0.11217573056761668</v>
      </c>
      <c r="I27" s="69">
        <f>'Basic T2'!CC27</f>
        <v>9.4047922368465722E-2</v>
      </c>
      <c r="J27" s="69">
        <f>'Basic T2'!CN27</f>
        <v>4.2042430076300347E-2</v>
      </c>
      <c r="K27" s="309">
        <f t="shared" si="12"/>
        <v>0.44693455623107459</v>
      </c>
      <c r="L27" s="97"/>
      <c r="M27" s="97">
        <f t="shared" si="0"/>
        <v>1.8361810982148806E-2</v>
      </c>
      <c r="N27" s="97">
        <f t="shared" si="1"/>
        <v>3.3689808073228446E-2</v>
      </c>
      <c r="O27" s="97">
        <f t="shared" si="2"/>
        <v>7.5704223972101845E-2</v>
      </c>
      <c r="P27" s="97">
        <f t="shared" si="3"/>
        <v>7.5871682752449293E-2</v>
      </c>
      <c r="Q27" s="97">
        <f t="shared" si="4"/>
        <v>7.6371487029182714E-2</v>
      </c>
      <c r="R27" s="97">
        <f t="shared" si="5"/>
        <v>6.759398388600743E-2</v>
      </c>
      <c r="S27" s="97">
        <f t="shared" si="6"/>
        <v>0.11319711471602198</v>
      </c>
      <c r="T27" s="97">
        <f t="shared" si="7"/>
        <v>0.15668087888403298</v>
      </c>
      <c r="U27" s="97">
        <f t="shared" si="8"/>
        <v>0.13225056477287561</v>
      </c>
      <c r="V27" s="97">
        <f t="shared" si="9"/>
        <v>9.0072543446932982E-2</v>
      </c>
      <c r="W27" s="97"/>
      <c r="X27" s="97">
        <f t="shared" si="10"/>
        <v>0.29134923483246733</v>
      </c>
      <c r="Y27" s="97">
        <f t="shared" si="13"/>
        <v>3.611752947980476</v>
      </c>
      <c r="Z27" s="97">
        <f t="shared" si="13"/>
        <v>15.419699132333806</v>
      </c>
      <c r="AA27" s="97">
        <f t="shared" si="13"/>
        <v>4.7241052205957885</v>
      </c>
      <c r="AB27" s="97">
        <f t="shared" si="13"/>
        <v>4.6069352862727904</v>
      </c>
      <c r="AC27" s="97">
        <f t="shared" si="13"/>
        <v>15.797514746613036</v>
      </c>
      <c r="AD27" s="97">
        <f t="shared" si="13"/>
        <v>25.098916385785003</v>
      </c>
      <c r="AE27" s="97">
        <f t="shared" si="13"/>
        <v>21.042884479901563</v>
      </c>
      <c r="AF27" s="97">
        <f t="shared" si="13"/>
        <v>9.4068425656850589</v>
      </c>
      <c r="AG27" s="97">
        <f t="shared" si="13"/>
        <v>100</v>
      </c>
    </row>
    <row r="28" spans="1:33" x14ac:dyDescent="0.25">
      <c r="A28" s="10" t="str">
        <f>name!D24</f>
        <v>71 Sales occupations</v>
      </c>
      <c r="B28" s="69">
        <f>'Basic T2'!D28</f>
        <v>5.1521421466505117E-2</v>
      </c>
      <c r="C28" s="69">
        <f>'Basic T2'!O28</f>
        <v>0.98347173045997194</v>
      </c>
      <c r="D28" s="69">
        <f>'Basic T2'!Z28</f>
        <v>3.9468215236163324</v>
      </c>
      <c r="E28" s="69">
        <f>'Basic T2'!AK28</f>
        <v>1.3101473766722389</v>
      </c>
      <c r="F28" s="69">
        <f>'Basic T2'!AV28</f>
        <v>1.0877926018386168</v>
      </c>
      <c r="G28" s="69">
        <f>'Basic T2'!BG28</f>
        <v>7.7582300601532053</v>
      </c>
      <c r="H28" s="69">
        <f>'Basic T2'!BR28</f>
        <v>7.4616688498586594</v>
      </c>
      <c r="I28" s="69">
        <f>'Basic T2'!CC28</f>
        <v>4.7489068330129562</v>
      </c>
      <c r="J28" s="69">
        <f>'Basic T2'!CN28</f>
        <v>2.9023787376878705</v>
      </c>
      <c r="K28" s="309">
        <f t="shared" si="12"/>
        <v>30.250939134766355</v>
      </c>
      <c r="L28" s="97"/>
      <c r="M28" s="97">
        <f t="shared" si="0"/>
        <v>0.72651658407453268</v>
      </c>
      <c r="N28" s="97">
        <f t="shared" si="1"/>
        <v>2.0525722203719843</v>
      </c>
      <c r="O28" s="97">
        <f t="shared" si="2"/>
        <v>4.3355855993231547</v>
      </c>
      <c r="P28" s="97">
        <f t="shared" si="3"/>
        <v>4.7079990975261392</v>
      </c>
      <c r="Q28" s="97">
        <f t="shared" si="4"/>
        <v>4.0347933932191165</v>
      </c>
      <c r="R28" s="97">
        <f t="shared" si="5"/>
        <v>7.4274201823229413</v>
      </c>
      <c r="S28" s="97">
        <f t="shared" si="6"/>
        <v>7.529608949248531</v>
      </c>
      <c r="T28" s="97">
        <f t="shared" si="7"/>
        <v>7.9115293309695067</v>
      </c>
      <c r="U28" s="97">
        <f t="shared" si="8"/>
        <v>9.1298534967506804</v>
      </c>
      <c r="V28" s="97">
        <f t="shared" si="9"/>
        <v>6.0965951089223891</v>
      </c>
      <c r="W28" s="97"/>
      <c r="X28" s="97">
        <f t="shared" si="10"/>
        <v>0.17031346113580104</v>
      </c>
      <c r="Y28" s="97">
        <f t="shared" si="13"/>
        <v>3.25104528516836</v>
      </c>
      <c r="Z28" s="97">
        <f t="shared" si="13"/>
        <v>13.046938827364826</v>
      </c>
      <c r="AA28" s="97">
        <f t="shared" si="13"/>
        <v>4.3309312508798516</v>
      </c>
      <c r="AB28" s="97">
        <f t="shared" si="13"/>
        <v>3.5958969637027058</v>
      </c>
      <c r="AC28" s="97">
        <f t="shared" si="13"/>
        <v>25.646245313544462</v>
      </c>
      <c r="AD28" s="97">
        <f t="shared" si="13"/>
        <v>24.665908111537675</v>
      </c>
      <c r="AE28" s="97">
        <f t="shared" si="13"/>
        <v>15.698378195324198</v>
      </c>
      <c r="AF28" s="97">
        <f t="shared" si="13"/>
        <v>9.594342591342123</v>
      </c>
      <c r="AG28" s="97">
        <f t="shared" si="13"/>
        <v>100</v>
      </c>
    </row>
    <row r="29" spans="1:33" x14ac:dyDescent="0.25">
      <c r="A29" s="10" t="str">
        <f>name!D25</f>
        <v>72 Customer service occupations</v>
      </c>
      <c r="B29" s="69">
        <f>'Basic T2'!D29</f>
        <v>3.416016685741597E-2</v>
      </c>
      <c r="C29" s="69">
        <f>'Basic T2'!O29</f>
        <v>0.35601588390914296</v>
      </c>
      <c r="D29" s="69">
        <f>'Basic T2'!Z29</f>
        <v>1.4180283873247137</v>
      </c>
      <c r="E29" s="69">
        <f>'Basic T2'!AK29</f>
        <v>0.47144578174191826</v>
      </c>
      <c r="F29" s="69">
        <f>'Basic T2'!AV29</f>
        <v>0.69786080065493294</v>
      </c>
      <c r="G29" s="69">
        <f>'Basic T2'!BG29</f>
        <v>2.2125078173552954</v>
      </c>
      <c r="H29" s="69">
        <f>'Basic T2'!BR29</f>
        <v>2.2078424961543099</v>
      </c>
      <c r="I29" s="69">
        <f>'Basic T2'!CC29</f>
        <v>1.0856040301194343</v>
      </c>
      <c r="J29" s="69">
        <f>'Basic T2'!CN29</f>
        <v>0.60538144190958221</v>
      </c>
      <c r="K29" s="309">
        <f t="shared" si="12"/>
        <v>9.088846806026746</v>
      </c>
      <c r="L29" s="97"/>
      <c r="M29" s="97">
        <f t="shared" si="0"/>
        <v>0.48170114547015042</v>
      </c>
      <c r="N29" s="97">
        <f t="shared" si="1"/>
        <v>0.74302930190104344</v>
      </c>
      <c r="O29" s="97">
        <f t="shared" si="2"/>
        <v>1.5577049579590028</v>
      </c>
      <c r="P29" s="97">
        <f t="shared" si="3"/>
        <v>1.694134838945472</v>
      </c>
      <c r="Q29" s="97">
        <f t="shared" si="4"/>
        <v>2.5884751772625703</v>
      </c>
      <c r="R29" s="97">
        <f t="shared" si="5"/>
        <v>2.1181667840161329</v>
      </c>
      <c r="S29" s="97">
        <f t="shared" si="6"/>
        <v>2.2279453768428232</v>
      </c>
      <c r="T29" s="97">
        <f t="shared" si="7"/>
        <v>1.8085821491384004</v>
      </c>
      <c r="U29" s="97">
        <f t="shared" si="8"/>
        <v>1.9043151751756531</v>
      </c>
      <c r="V29" s="97">
        <f t="shared" si="9"/>
        <v>1.8317123556566075</v>
      </c>
      <c r="W29" s="97"/>
      <c r="X29" s="97">
        <f>IF($K29&gt;0,B29/$K29*100,0)</f>
        <v>0.37584709684802498</v>
      </c>
      <c r="Y29" s="97">
        <f t="shared" si="13"/>
        <v>3.9170633140507052</v>
      </c>
      <c r="Z29" s="97">
        <f t="shared" si="13"/>
        <v>15.601851561459149</v>
      </c>
      <c r="AA29" s="97">
        <f t="shared" si="13"/>
        <v>5.1870802952615076</v>
      </c>
      <c r="AB29" s="97">
        <f t="shared" si="13"/>
        <v>7.6782106195495192</v>
      </c>
      <c r="AC29" s="97">
        <f t="shared" si="13"/>
        <v>24.343108257564623</v>
      </c>
      <c r="AD29" s="97">
        <f t="shared" si="13"/>
        <v>24.29177808003438</v>
      </c>
      <c r="AE29" s="97">
        <f t="shared" si="13"/>
        <v>11.944353923971724</v>
      </c>
      <c r="AF29" s="97">
        <f t="shared" si="13"/>
        <v>6.6607068512603629</v>
      </c>
      <c r="AG29" s="97">
        <f t="shared" si="13"/>
        <v>100</v>
      </c>
    </row>
    <row r="30" spans="1:33" x14ac:dyDescent="0.25">
      <c r="A30" s="10" t="str">
        <f>name!D26</f>
        <v>81 Process, plant and machine operatives</v>
      </c>
      <c r="B30" s="69">
        <f>'Basic T2'!D30</f>
        <v>3.1135425553467398E-2</v>
      </c>
      <c r="C30" s="69">
        <f>'Basic T2'!O30</f>
        <v>0.21349522513418287</v>
      </c>
      <c r="D30" s="69">
        <f>'Basic T2'!Z30</f>
        <v>0.59962612406069482</v>
      </c>
      <c r="E30" s="69">
        <f>'Basic T2'!AK30</f>
        <v>0.27664983738928806</v>
      </c>
      <c r="F30" s="69">
        <f>'Basic T2'!AV30</f>
        <v>0.62767027926463737</v>
      </c>
      <c r="G30" s="69">
        <f>'Basic T2'!BG30</f>
        <v>4.3286852143399912</v>
      </c>
      <c r="H30" s="69">
        <f>'Basic T2'!BR30</f>
        <v>5.4435191254591624</v>
      </c>
      <c r="I30" s="69">
        <f>'Basic T2'!CC30</f>
        <v>4.356130214201861</v>
      </c>
      <c r="J30" s="69">
        <f>'Basic T2'!CN30</f>
        <v>2.5060065470592061</v>
      </c>
      <c r="K30" s="309">
        <f t="shared" si="12"/>
        <v>18.382917992462495</v>
      </c>
      <c r="L30" s="97"/>
      <c r="M30" s="97">
        <f t="shared" si="0"/>
        <v>0.43904850396097722</v>
      </c>
      <c r="N30" s="97">
        <f t="shared" si="1"/>
        <v>0.44557901841015052</v>
      </c>
      <c r="O30" s="97">
        <f t="shared" si="2"/>
        <v>0.65868962477772941</v>
      </c>
      <c r="P30" s="97">
        <f t="shared" si="3"/>
        <v>0.99413791757365089</v>
      </c>
      <c r="Q30" s="97">
        <f t="shared" si="4"/>
        <v>2.3281275232212666</v>
      </c>
      <c r="R30" s="97">
        <f t="shared" si="5"/>
        <v>4.1441106637248728</v>
      </c>
      <c r="S30" s="97">
        <f t="shared" si="6"/>
        <v>5.4930835376377285</v>
      </c>
      <c r="T30" s="97">
        <f t="shared" si="7"/>
        <v>7.2571758451017976</v>
      </c>
      <c r="U30" s="97">
        <f t="shared" si="8"/>
        <v>7.88300725176037</v>
      </c>
      <c r="V30" s="97">
        <f t="shared" si="9"/>
        <v>3.7047844174783449</v>
      </c>
      <c r="W30" s="97"/>
      <c r="X30" s="97">
        <f t="shared" si="10"/>
        <v>0.16937150873563045</v>
      </c>
      <c r="Y30" s="97">
        <f t="shared" si="13"/>
        <v>1.1613783253655476</v>
      </c>
      <c r="Z30" s="97">
        <f t="shared" si="13"/>
        <v>3.261865849080968</v>
      </c>
      <c r="AA30" s="97">
        <f t="shared" si="13"/>
        <v>1.5049288557057272</v>
      </c>
      <c r="AB30" s="97">
        <f t="shared" si="13"/>
        <v>3.4144213640184851</v>
      </c>
      <c r="AC30" s="97">
        <f t="shared" si="13"/>
        <v>23.547323749770694</v>
      </c>
      <c r="AD30" s="97">
        <f t="shared" si="13"/>
        <v>29.611833810558018</v>
      </c>
      <c r="AE30" s="97">
        <f t="shared" si="13"/>
        <v>23.696619959834422</v>
      </c>
      <c r="AF30" s="97">
        <f t="shared" si="13"/>
        <v>13.632256576930486</v>
      </c>
      <c r="AG30" s="97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69">
        <f>'Basic T2'!D31</f>
        <v>4.4896392351767039E-2</v>
      </c>
      <c r="C31" s="69">
        <f>'Basic T2'!O31</f>
        <v>0.2518217531900796</v>
      </c>
      <c r="D31" s="69">
        <f>'Basic T2'!Z31</f>
        <v>0.91450947971928243</v>
      </c>
      <c r="E31" s="69">
        <f>'Basic T2'!AK31</f>
        <v>0.46228951818627984</v>
      </c>
      <c r="F31" s="69">
        <f>'Basic T2'!AV31</f>
        <v>0.71683022955518472</v>
      </c>
      <c r="G31" s="69">
        <f>'Basic T2'!BG31</f>
        <v>4.060518801781039</v>
      </c>
      <c r="H31" s="69">
        <f>'Basic T2'!BR31</f>
        <v>6.5424843653972822</v>
      </c>
      <c r="I31" s="69">
        <f>'Basic T2'!CC31</f>
        <v>5.3205790763657879</v>
      </c>
      <c r="J31" s="69">
        <f>'Basic T2'!CN31</f>
        <v>3.6615266969888709</v>
      </c>
      <c r="K31" s="309">
        <f t="shared" si="12"/>
        <v>21.975456313535574</v>
      </c>
      <c r="L31" s="97"/>
      <c r="M31" s="97">
        <f t="shared" si="0"/>
        <v>0.63309537431689888</v>
      </c>
      <c r="N31" s="97">
        <f t="shared" si="1"/>
        <v>0.52556908254147827</v>
      </c>
      <c r="O31" s="97">
        <f t="shared" si="2"/>
        <v>1.0045891629481396</v>
      </c>
      <c r="P31" s="97">
        <f t="shared" si="3"/>
        <v>1.6612319141873808</v>
      </c>
      <c r="Q31" s="97">
        <f t="shared" si="4"/>
        <v>2.6588357646305205</v>
      </c>
      <c r="R31" s="97">
        <f t="shared" si="5"/>
        <v>3.8873788306368797</v>
      </c>
      <c r="S31" s="97">
        <f t="shared" si="6"/>
        <v>6.6020550924002883</v>
      </c>
      <c r="T31" s="97">
        <f t="shared" si="7"/>
        <v>8.8639172973001834</v>
      </c>
      <c r="U31" s="97">
        <f t="shared" si="8"/>
        <v>11.517863566138374</v>
      </c>
      <c r="V31" s="97">
        <f t="shared" si="9"/>
        <v>4.4288033135297038</v>
      </c>
      <c r="W31" s="97"/>
      <c r="X31" s="97">
        <f t="shared" si="10"/>
        <v>0.20430243500387993</v>
      </c>
      <c r="Y31" s="97">
        <f t="shared" si="13"/>
        <v>1.1459227494401214</v>
      </c>
      <c r="Z31" s="97">
        <f t="shared" si="13"/>
        <v>4.1615039372629505</v>
      </c>
      <c r="AA31" s="97">
        <f t="shared" si="13"/>
        <v>2.1036628845860963</v>
      </c>
      <c r="AB31" s="97">
        <f t="shared" si="13"/>
        <v>3.2619583381013117</v>
      </c>
      <c r="AC31" s="97">
        <f t="shared" si="13"/>
        <v>18.477517571637414</v>
      </c>
      <c r="AD31" s="97">
        <f t="shared" si="13"/>
        <v>29.771779352620321</v>
      </c>
      <c r="AE31" s="97">
        <f t="shared" si="13"/>
        <v>24.211461188583499</v>
      </c>
      <c r="AF31" s="97">
        <f t="shared" si="13"/>
        <v>16.661891542764408</v>
      </c>
      <c r="AG31" s="97">
        <f t="shared" si="13"/>
        <v>100</v>
      </c>
    </row>
    <row r="32" spans="1:33" x14ac:dyDescent="0.25">
      <c r="A32" s="10" t="str">
        <f>name!D28</f>
        <v>91 Elementary trades and related occupations</v>
      </c>
      <c r="B32" s="69">
        <f>'Basic T2'!D32</f>
        <v>2.8813887556975441E-4</v>
      </c>
      <c r="C32" s="69">
        <f>'Basic T2'!O32</f>
        <v>8.233820284885178E-2</v>
      </c>
      <c r="D32" s="69">
        <f>'Basic T2'!Z32</f>
        <v>0.29048266008321377</v>
      </c>
      <c r="E32" s="69">
        <f>'Basic T2'!AK32</f>
        <v>0.20495657990485608</v>
      </c>
      <c r="F32" s="69">
        <f>'Basic T2'!AV32</f>
        <v>0.23917310083157725</v>
      </c>
      <c r="G32" s="69">
        <f>'Basic T2'!BG32</f>
        <v>1.1374593936486852</v>
      </c>
      <c r="H32" s="69">
        <f>'Basic T2'!BR32</f>
        <v>2.0590194278196883</v>
      </c>
      <c r="I32" s="69">
        <f>'Basic T2'!CC32</f>
        <v>2.6670253289912735</v>
      </c>
      <c r="J32" s="69">
        <f>'Basic T2'!CN32</f>
        <v>1.9171516914918572</v>
      </c>
      <c r="K32" s="309">
        <f t="shared" si="12"/>
        <v>8.5978945244955725</v>
      </c>
      <c r="L32" s="97"/>
      <c r="M32" s="97">
        <f t="shared" si="0"/>
        <v>4.0631190999671565E-3</v>
      </c>
      <c r="N32" s="97">
        <f t="shared" si="1"/>
        <v>0.17184541518429053</v>
      </c>
      <c r="O32" s="97">
        <f t="shared" si="2"/>
        <v>0.31909536075396433</v>
      </c>
      <c r="P32" s="97">
        <f t="shared" si="3"/>
        <v>0.73650904501677705</v>
      </c>
      <c r="Q32" s="97">
        <f t="shared" si="4"/>
        <v>0.88713054808415159</v>
      </c>
      <c r="R32" s="97">
        <f t="shared" si="5"/>
        <v>1.0889582793310755</v>
      </c>
      <c r="S32" s="97">
        <f t="shared" si="6"/>
        <v>2.0777672424690072</v>
      </c>
      <c r="T32" s="97">
        <f t="shared" si="7"/>
        <v>4.4431802641548037</v>
      </c>
      <c r="U32" s="97">
        <f t="shared" si="8"/>
        <v>6.0306788521721746</v>
      </c>
      <c r="V32" s="97">
        <f t="shared" si="9"/>
        <v>1.7327687405521979</v>
      </c>
      <c r="W32" s="97"/>
      <c r="X32" s="97">
        <f t="shared" si="10"/>
        <v>3.3512725092037479E-3</v>
      </c>
      <c r="Y32" s="97">
        <f t="shared" si="13"/>
        <v>0.95765541917580632</v>
      </c>
      <c r="Z32" s="97">
        <f t="shared" si="13"/>
        <v>3.3785324913631225</v>
      </c>
      <c r="AA32" s="97">
        <f t="shared" si="13"/>
        <v>2.3837996537516331</v>
      </c>
      <c r="AB32" s="97">
        <f t="shared" si="13"/>
        <v>2.781763606778012</v>
      </c>
      <c r="AC32" s="97">
        <f t="shared" si="13"/>
        <v>13.229510904187542</v>
      </c>
      <c r="AD32" s="97">
        <f t="shared" si="13"/>
        <v>23.94794937241322</v>
      </c>
      <c r="AE32" s="97">
        <f t="shared" si="13"/>
        <v>31.019516712991361</v>
      </c>
      <c r="AF32" s="97">
        <f t="shared" si="13"/>
        <v>22.297920566830097</v>
      </c>
      <c r="AG32" s="97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69">
        <f>'Basic T2'!D33</f>
        <v>3.0219019625804429E-2</v>
      </c>
      <c r="C33" s="69">
        <f>'Basic T2'!O33</f>
        <v>0.73708123360489275</v>
      </c>
      <c r="D33" s="69">
        <f>'Basic T2'!Z33</f>
        <v>2.6413229067033677</v>
      </c>
      <c r="E33" s="69">
        <f>'Basic T2'!AK33</f>
        <v>1.2543753307393342</v>
      </c>
      <c r="F33" s="69">
        <f>'Basic T2'!AV33</f>
        <v>1.1941374659678323</v>
      </c>
      <c r="G33" s="69">
        <f>'Basic T2'!BG33</f>
        <v>6.1912334318314324</v>
      </c>
      <c r="H33" s="69">
        <f>'Basic T2'!BR33</f>
        <v>10.801026085895028</v>
      </c>
      <c r="I33" s="69">
        <f>'Basic T2'!CC33</f>
        <v>9.2319589785710523</v>
      </c>
      <c r="J33" s="69">
        <f>'Basic T2'!CN33</f>
        <v>5.6075842246575638</v>
      </c>
      <c r="K33" s="309">
        <f t="shared" ref="K33" si="14">SUM(B33:J33)</f>
        <v>37.688938677596312</v>
      </c>
      <c r="L33" s="97"/>
      <c r="M33" s="97">
        <f t="shared" si="0"/>
        <v>0.42612603239011437</v>
      </c>
      <c r="N33" s="97">
        <f t="shared" si="1"/>
        <v>1.5383385382590746</v>
      </c>
      <c r="O33" s="97">
        <f t="shared" si="2"/>
        <v>2.9014946556217036</v>
      </c>
      <c r="P33" s="97">
        <f t="shared" si="3"/>
        <v>4.5075829103134915</v>
      </c>
      <c r="Q33" s="97">
        <f t="shared" si="4"/>
        <v>4.4292431757108357</v>
      </c>
      <c r="R33" s="97">
        <f t="shared" si="5"/>
        <v>5.9272400777644929</v>
      </c>
      <c r="S33" s="97">
        <f t="shared" si="6"/>
        <v>10.89937175099409</v>
      </c>
      <c r="T33" s="97">
        <f t="shared" si="7"/>
        <v>15.380153119351142</v>
      </c>
      <c r="U33" s="97">
        <f t="shared" si="8"/>
        <v>17.639469920661888</v>
      </c>
      <c r="V33" s="97">
        <f t="shared" si="9"/>
        <v>7.5956054844670255</v>
      </c>
      <c r="W33" s="97"/>
      <c r="X33" s="97">
        <f t="shared" ref="X33" si="15">IF($K33&gt;0,B33/$K33*100,0)</f>
        <v>8.0180075868699699E-2</v>
      </c>
      <c r="Y33" s="97">
        <f t="shared" ref="Y33" si="16">IF($K33&gt;0,C33/$K33*100,0)</f>
        <v>1.9556964442807216</v>
      </c>
      <c r="Z33" s="97">
        <f t="shared" ref="Z33" si="17">IF($K33&gt;0,D33/$K33*100,0)</f>
        <v>7.0082177938151036</v>
      </c>
      <c r="AA33" s="97">
        <f t="shared" ref="AA33" si="18">IF($K33&gt;0,E33/$K33*100,0)</f>
        <v>3.3282320350532477</v>
      </c>
      <c r="AB33" s="97">
        <f t="shared" ref="AB33" si="19">IF($K33&gt;0,F33/$K33*100,0)</f>
        <v>3.1684030059399668</v>
      </c>
      <c r="AC33" s="97">
        <f t="shared" ref="AC33" si="20">IF($K33&gt;0,G33/$K33*100,0)</f>
        <v>16.427189645198816</v>
      </c>
      <c r="AD33" s="97">
        <f t="shared" ref="AD33" si="21">IF($K33&gt;0,H33/$K33*100,0)</f>
        <v>28.658345034044576</v>
      </c>
      <c r="AE33" s="97">
        <f t="shared" ref="AE33" si="22">IF($K33&gt;0,I33/$K33*100,0)</f>
        <v>24.495141817455497</v>
      </c>
      <c r="AF33" s="97">
        <f>IF($K33&gt;0,J33/$K33*100,0)</f>
        <v>14.878594148343364</v>
      </c>
      <c r="AG33" s="97">
        <f t="shared" ref="AG33" si="23">IF($K33&gt;0,K33/$K33*100,0)</f>
        <v>100</v>
      </c>
    </row>
    <row r="34" spans="1:33" x14ac:dyDescent="0.25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5">
      <c r="A35" s="108" t="str">
        <f>name!D3</f>
        <v>All occupations</v>
      </c>
      <c r="B35" s="310">
        <f>SUM(B8:B33)</f>
        <v>7.0915685334472123</v>
      </c>
      <c r="C35" s="310">
        <f t="shared" ref="C35:K35" si="24">SUM(C8:C33)</f>
        <v>47.914110923791952</v>
      </c>
      <c r="D35" s="310">
        <f t="shared" si="24"/>
        <v>91.033181866654544</v>
      </c>
      <c r="E35" s="310">
        <f t="shared" si="24"/>
        <v>27.828114439543285</v>
      </c>
      <c r="F35" s="310">
        <f t="shared" si="24"/>
        <v>26.960304923339166</v>
      </c>
      <c r="G35" s="310">
        <f t="shared" si="24"/>
        <v>104.45390013907631</v>
      </c>
      <c r="H35" s="310">
        <f t="shared" si="24"/>
        <v>99.097694185079135</v>
      </c>
      <c r="I35" s="310">
        <f t="shared" si="24"/>
        <v>60.025143488041756</v>
      </c>
      <c r="J35" s="310">
        <f t="shared" si="24"/>
        <v>31.789981501026592</v>
      </c>
      <c r="K35" s="310">
        <f t="shared" si="24"/>
        <v>496.19399999999996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1.4291927216869234</v>
      </c>
      <c r="Y35" s="98">
        <f t="shared" ref="Y35:AG35" si="26">IF($K35&gt;0,C35/$K35*100,0)</f>
        <v>9.6563261393309787</v>
      </c>
      <c r="Z35" s="98">
        <f t="shared" si="26"/>
        <v>18.346288320022925</v>
      </c>
      <c r="AA35" s="98">
        <f t="shared" si="26"/>
        <v>5.6083133692755833</v>
      </c>
      <c r="AB35" s="98">
        <f t="shared" si="26"/>
        <v>5.4334201790709216</v>
      </c>
      <c r="AC35" s="98">
        <f t="shared" si="26"/>
        <v>21.051020395062476</v>
      </c>
      <c r="AD35" s="98">
        <f t="shared" si="26"/>
        <v>19.971562369774553</v>
      </c>
      <c r="AE35" s="98">
        <f t="shared" si="26"/>
        <v>12.097111913493867</v>
      </c>
      <c r="AF35" s="98">
        <f t="shared" si="26"/>
        <v>6.4067645922817675</v>
      </c>
      <c r="AG35" s="98">
        <f t="shared" si="26"/>
        <v>100</v>
      </c>
    </row>
    <row r="37" spans="1:33" x14ac:dyDescent="0.25">
      <c r="A37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91" customWidth="1"/>
    <col min="2" max="2" width="5.7265625" style="91" customWidth="1"/>
    <col min="3" max="3" width="11.7265625" style="91" customWidth="1"/>
    <col min="4" max="4" width="7.81640625" style="91" customWidth="1"/>
    <col min="5" max="5" width="9.81640625" style="91" customWidth="1"/>
    <col min="6" max="6" width="10" style="91" customWidth="1"/>
    <col min="7" max="7" width="2.7265625" style="91" customWidth="1"/>
    <col min="8" max="8" width="5.7265625" style="91" customWidth="1"/>
    <col min="9" max="9" width="10.7265625" style="91" customWidth="1"/>
    <col min="10" max="12" width="8.7265625" style="91" customWidth="1"/>
    <col min="13" max="13" width="2.7265625" style="91" customWidth="1"/>
    <col min="14" max="14" width="5.7265625" style="91" customWidth="1"/>
    <col min="15" max="15" width="10.7265625" style="91" customWidth="1"/>
    <col min="16" max="18" width="8.7265625" style="91" customWidth="1"/>
    <col min="19" max="19" width="2.7265625" style="91" customWidth="1"/>
    <col min="20" max="20" width="5.7265625" style="91" customWidth="1"/>
    <col min="21" max="21" width="10.7265625" style="91" customWidth="1"/>
    <col min="22" max="24" width="8.7265625" style="91" customWidth="1"/>
    <col min="25" max="25" width="33.7265625" style="91" customWidth="1"/>
    <col min="26" max="26" width="5.7265625" style="91" customWidth="1"/>
    <col min="27" max="27" width="11.7265625" style="91" customWidth="1"/>
    <col min="28" max="28" width="7.453125" style="91" customWidth="1"/>
    <col min="29" max="30" width="8.7265625" style="91" customWidth="1"/>
    <col min="31" max="31" width="2.7265625" style="91" customWidth="1"/>
    <col min="32" max="32" width="5.7265625" style="91" customWidth="1"/>
    <col min="33" max="33" width="10.7265625" style="91" customWidth="1"/>
    <col min="34" max="36" width="8.7265625" style="91" customWidth="1"/>
    <col min="37" max="37" width="2.7265625" style="91" customWidth="1"/>
    <col min="38" max="38" width="5.7265625" style="91" customWidth="1"/>
    <col min="39" max="39" width="10.7265625" style="91" customWidth="1"/>
    <col min="40" max="42" width="8.7265625" style="91" customWidth="1"/>
    <col min="43" max="43" width="2.7265625" style="91" customWidth="1"/>
    <col min="44" max="44" width="5.7265625" style="91" customWidth="1"/>
    <col min="45" max="45" width="10.7265625" style="91" customWidth="1"/>
    <col min="46" max="48" width="8.7265625" style="91" customWidth="1"/>
    <col min="49" max="49" width="33.7265625" style="91" customWidth="1"/>
    <col min="50" max="50" width="5.7265625" style="91" customWidth="1"/>
    <col min="51" max="51" width="11.7265625" style="91" customWidth="1"/>
    <col min="52" max="52" width="7.453125" style="91" customWidth="1"/>
    <col min="53" max="54" width="8.7265625" style="91" customWidth="1"/>
    <col min="55" max="55" width="2.7265625" style="91" customWidth="1"/>
    <col min="56" max="56" width="5.7265625" style="91" customWidth="1"/>
    <col min="57" max="57" width="10.7265625" style="91" customWidth="1"/>
    <col min="58" max="60" width="8.7265625" style="91" customWidth="1"/>
    <col min="61" max="61" width="2.7265625" style="91" customWidth="1"/>
    <col min="62" max="62" width="5.7265625" style="91" customWidth="1"/>
    <col min="63" max="63" width="10.7265625" style="91" customWidth="1"/>
    <col min="64" max="66" width="8.7265625" style="91" customWidth="1"/>
    <col min="67" max="67" width="2.7265625" style="91" customWidth="1"/>
    <col min="68" max="68" width="5.7265625" style="91" customWidth="1"/>
    <col min="69" max="69" width="10.7265625" style="91" customWidth="1"/>
    <col min="70" max="72" width="8.7265625" style="91" customWidth="1"/>
    <col min="73" max="73" width="33.7265625" style="91" customWidth="1"/>
    <col min="74" max="74" width="5.7265625" style="91" customWidth="1"/>
    <col min="75" max="75" width="11.7265625" style="91" customWidth="1"/>
    <col min="76" max="76" width="7.453125" style="91" customWidth="1"/>
    <col min="77" max="78" width="8.7265625" style="91" customWidth="1"/>
    <col min="79" max="79" width="2.7265625" style="91" customWidth="1"/>
    <col min="80" max="80" width="5.7265625" style="91" customWidth="1"/>
    <col min="81" max="81" width="10.7265625" style="91" customWidth="1"/>
    <col min="82" max="84" width="8.7265625" style="91" customWidth="1"/>
    <col min="85" max="85" width="2.7265625" style="91" customWidth="1"/>
    <col min="86" max="86" width="5.7265625" style="91" customWidth="1"/>
    <col min="87" max="87" width="10.7265625" style="91" customWidth="1"/>
    <col min="88" max="90" width="8.7265625" style="91" customWidth="1"/>
    <col min="91" max="91" width="2.7265625" style="91" customWidth="1"/>
    <col min="92" max="92" width="5.7265625" style="91" customWidth="1"/>
    <col min="93" max="93" width="10.7265625" style="91" customWidth="1"/>
    <col min="94" max="96" width="8.7265625" style="91" customWidth="1"/>
    <col min="97" max="97" width="33.7265625" style="91" customWidth="1"/>
    <col min="98" max="98" width="5.7265625" style="91" customWidth="1"/>
    <col min="99" max="99" width="11.7265625" style="91" customWidth="1"/>
    <col min="100" max="100" width="7.453125" style="91" customWidth="1"/>
    <col min="101" max="102" width="8.7265625" style="91" customWidth="1"/>
    <col min="103" max="103" width="2.7265625" style="91" customWidth="1"/>
    <col min="104" max="104" width="5.7265625" style="91" customWidth="1"/>
    <col min="105" max="105" width="10.7265625" style="91" customWidth="1"/>
    <col min="106" max="108" width="8.7265625" style="91" customWidth="1"/>
    <col min="109" max="109" width="2.7265625" style="91" customWidth="1"/>
    <col min="110" max="110" width="5.7265625" style="91" customWidth="1"/>
    <col min="111" max="111" width="10.7265625" style="91" customWidth="1"/>
    <col min="112" max="114" width="8.7265625" style="91" customWidth="1"/>
    <col min="115" max="115" width="2.7265625" style="91" customWidth="1"/>
    <col min="116" max="116" width="5.7265625" style="91" customWidth="1"/>
    <col min="117" max="117" width="10.7265625" style="91" customWidth="1"/>
    <col min="118" max="120" width="8.7265625" style="91" customWidth="1"/>
    <col min="121" max="16384" width="9.1796875" style="91"/>
  </cols>
  <sheetData>
    <row r="1" spans="1:120" ht="15.5" x14ac:dyDescent="0.3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9"/>
      <c r="Y2" s="19"/>
      <c r="AW2" s="19"/>
      <c r="BU2" s="19"/>
      <c r="CS2" s="19"/>
    </row>
    <row r="3" spans="1:120" x14ac:dyDescent="0.25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ht="13" x14ac:dyDescent="0.3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6" t="str">
        <f>name!F5</f>
        <v>RQF7 Other higher degree</v>
      </c>
      <c r="O4" s="386"/>
      <c r="P4" s="386"/>
      <c r="Q4" s="386"/>
      <c r="R4" s="386"/>
      <c r="S4" s="111"/>
      <c r="T4" s="386" t="str">
        <f>name!F6</f>
        <v>RQF6 First degree</v>
      </c>
      <c r="U4" s="386"/>
      <c r="V4" s="386"/>
      <c r="W4" s="386"/>
      <c r="X4" s="386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6" t="str">
        <f>$N$4</f>
        <v>RQF7 Other higher degree</v>
      </c>
      <c r="AM4" s="386"/>
      <c r="AN4" s="386"/>
      <c r="AO4" s="386"/>
      <c r="AP4" s="386"/>
      <c r="AQ4" s="111"/>
      <c r="AR4" s="386" t="str">
        <f>$T$4</f>
        <v>RQF6 First degree</v>
      </c>
      <c r="AS4" s="386"/>
      <c r="AT4" s="386"/>
      <c r="AU4" s="386"/>
      <c r="AV4" s="386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6" t="str">
        <f>$N$4</f>
        <v>RQF7 Other higher degree</v>
      </c>
      <c r="BK4" s="386"/>
      <c r="BL4" s="386"/>
      <c r="BM4" s="386"/>
      <c r="BN4" s="386"/>
      <c r="BO4" s="111"/>
      <c r="BP4" s="386" t="str">
        <f>$T$4</f>
        <v>RQF6 First degree</v>
      </c>
      <c r="BQ4" s="386"/>
      <c r="BR4" s="386"/>
      <c r="BS4" s="386"/>
      <c r="BT4" s="386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6" t="str">
        <f>$N$4</f>
        <v>RQF7 Other higher degree</v>
      </c>
      <c r="CI4" s="386"/>
      <c r="CJ4" s="386"/>
      <c r="CK4" s="386"/>
      <c r="CL4" s="386"/>
      <c r="CM4" s="111"/>
      <c r="CN4" s="386" t="str">
        <f>$T$4</f>
        <v>RQF6 First degree</v>
      </c>
      <c r="CO4" s="386"/>
      <c r="CP4" s="386"/>
      <c r="CQ4" s="386"/>
      <c r="CR4" s="386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6" t="str">
        <f>$N$4</f>
        <v>RQF7 Other higher degree</v>
      </c>
      <c r="DG4" s="386"/>
      <c r="DH4" s="386"/>
      <c r="DI4" s="386"/>
      <c r="DJ4" s="386"/>
      <c r="DK4" s="111"/>
      <c r="DL4" s="386" t="str">
        <f>$T$4</f>
        <v>RQF6 First degree</v>
      </c>
      <c r="DM4" s="386"/>
      <c r="DN4" s="386"/>
      <c r="DO4" s="386"/>
      <c r="DP4" s="386"/>
    </row>
    <row r="6" spans="1:120" s="102" customFormat="1" ht="38" x14ac:dyDescent="0.3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5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5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5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5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5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5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5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5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5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5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5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5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5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5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5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5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5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5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5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5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5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5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5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5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5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5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5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5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5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5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5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5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5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5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5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5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5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5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5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5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5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5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5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5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5">
      <c r="A52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B52" s="94"/>
      <c r="C52" s="94"/>
      <c r="D52" s="94"/>
      <c r="E52" s="94"/>
      <c r="F52" s="94"/>
      <c r="G52" s="94"/>
      <c r="Y52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Z52" s="94"/>
      <c r="AA52" s="94"/>
      <c r="AB52" s="94"/>
      <c r="AC52" s="94"/>
      <c r="AD52" s="94"/>
      <c r="AE52" s="94"/>
      <c r="AW52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AX52" s="94"/>
      <c r="AY52" s="94"/>
      <c r="AZ52" s="94"/>
      <c r="BA52" s="94"/>
      <c r="BB52" s="94"/>
      <c r="BC52" s="94"/>
      <c r="BU52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BV52" s="94"/>
      <c r="BW52" s="94"/>
      <c r="BX52" s="94"/>
      <c r="BY52" s="94"/>
      <c r="BZ52" s="94"/>
      <c r="CA52" s="94"/>
      <c r="CS52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CT52" s="94"/>
      <c r="CU52" s="94"/>
      <c r="CV52" s="94"/>
      <c r="CW52" s="94"/>
      <c r="CX52" s="94"/>
      <c r="CY52" s="94"/>
    </row>
    <row r="53" spans="1:120" ht="15.5" x14ac:dyDescent="0.3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ht="13" x14ac:dyDescent="0.3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6" t="str">
        <f>N4</f>
        <v>RQF7 Other higher degree</v>
      </c>
      <c r="O56" s="386"/>
      <c r="P56" s="386"/>
      <c r="Q56" s="386"/>
      <c r="R56" s="386"/>
      <c r="S56" s="111"/>
      <c r="T56" s="386" t="str">
        <f>T4</f>
        <v>RQF6 First degree</v>
      </c>
      <c r="U56" s="386"/>
      <c r="V56" s="386"/>
      <c r="W56" s="386"/>
      <c r="X56" s="386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6" t="str">
        <f>AL4</f>
        <v>RQF7 Other higher degree</v>
      </c>
      <c r="AM56" s="386"/>
      <c r="AN56" s="386"/>
      <c r="AO56" s="386"/>
      <c r="AP56" s="386"/>
      <c r="AQ56" s="111"/>
      <c r="AR56" s="386" t="str">
        <f>AR4</f>
        <v>RQF6 First degree</v>
      </c>
      <c r="AS56" s="386"/>
      <c r="AT56" s="386"/>
      <c r="AU56" s="386"/>
      <c r="AV56" s="386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6" t="str">
        <f>BJ4</f>
        <v>RQF7 Other higher degree</v>
      </c>
      <c r="BK56" s="386"/>
      <c r="BL56" s="386"/>
      <c r="BM56" s="386"/>
      <c r="BN56" s="386"/>
      <c r="BO56" s="111"/>
      <c r="BP56" s="386" t="str">
        <f>BP4</f>
        <v>RQF6 First degree</v>
      </c>
      <c r="BQ56" s="386"/>
      <c r="BR56" s="386"/>
      <c r="BS56" s="386"/>
      <c r="BT56" s="386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6" t="str">
        <f>CH4</f>
        <v>RQF7 Other higher degree</v>
      </c>
      <c r="CI56" s="386"/>
      <c r="CJ56" s="386"/>
      <c r="CK56" s="386"/>
      <c r="CL56" s="386"/>
      <c r="CM56" s="111"/>
      <c r="CN56" s="386" t="str">
        <f>CN4</f>
        <v>RQF6 First degree</v>
      </c>
      <c r="CO56" s="386"/>
      <c r="CP56" s="386"/>
      <c r="CQ56" s="386"/>
      <c r="CR56" s="386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6" t="str">
        <f>DF4</f>
        <v>RQF7 Other higher degree</v>
      </c>
      <c r="DG56" s="386"/>
      <c r="DH56" s="386"/>
      <c r="DI56" s="386"/>
      <c r="DJ56" s="386"/>
      <c r="DK56" s="111"/>
      <c r="DL56" s="386" t="str">
        <f>DL4</f>
        <v>RQF6 First degree</v>
      </c>
      <c r="DM56" s="386"/>
      <c r="DN56" s="386"/>
      <c r="DO56" s="386"/>
      <c r="DP56" s="386"/>
    </row>
    <row r="58" spans="1:120" ht="38" x14ac:dyDescent="0.3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5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5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5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5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5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5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5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5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5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5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5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5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5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5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5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5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5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5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5">
      <c r="A79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Y79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AW79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BU79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CS79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</row>
    <row r="80" spans="1:120" ht="15.5" x14ac:dyDescent="0.3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ht="13" x14ac:dyDescent="0.3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6" t="str">
        <f>N4</f>
        <v>RQF7 Other higher degree</v>
      </c>
      <c r="O83" s="386"/>
      <c r="P83" s="386"/>
      <c r="Q83" s="386"/>
      <c r="R83" s="386"/>
      <c r="S83" s="111"/>
      <c r="T83" s="386" t="str">
        <f>T4</f>
        <v>RQF6 First degree</v>
      </c>
      <c r="U83" s="386"/>
      <c r="V83" s="386"/>
      <c r="W83" s="386"/>
      <c r="X83" s="386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6" t="str">
        <f>AL4</f>
        <v>RQF7 Other higher degree</v>
      </c>
      <c r="AM83" s="386"/>
      <c r="AN83" s="386"/>
      <c r="AO83" s="386"/>
      <c r="AP83" s="386"/>
      <c r="AQ83" s="111"/>
      <c r="AR83" s="386" t="str">
        <f>AR4</f>
        <v>RQF6 First degree</v>
      </c>
      <c r="AS83" s="386"/>
      <c r="AT83" s="386"/>
      <c r="AU83" s="386"/>
      <c r="AV83" s="386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6" t="str">
        <f>BJ4</f>
        <v>RQF7 Other higher degree</v>
      </c>
      <c r="BK83" s="386"/>
      <c r="BL83" s="386"/>
      <c r="BM83" s="386"/>
      <c r="BN83" s="386"/>
      <c r="BO83" s="111"/>
      <c r="BP83" s="386" t="str">
        <f>BP4</f>
        <v>RQF6 First degree</v>
      </c>
      <c r="BQ83" s="386"/>
      <c r="BR83" s="386"/>
      <c r="BS83" s="386"/>
      <c r="BT83" s="386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6" t="str">
        <f>CH4</f>
        <v>RQF7 Other higher degree</v>
      </c>
      <c r="CI83" s="386"/>
      <c r="CJ83" s="386"/>
      <c r="CK83" s="386"/>
      <c r="CL83" s="386"/>
      <c r="CM83" s="111"/>
      <c r="CN83" s="386" t="str">
        <f>CN4</f>
        <v>RQF6 First degree</v>
      </c>
      <c r="CO83" s="386"/>
      <c r="CP83" s="386"/>
      <c r="CQ83" s="386"/>
      <c r="CR83" s="386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6" t="str">
        <f>DF4</f>
        <v>RQF7 Other higher degree</v>
      </c>
      <c r="DG83" s="386"/>
      <c r="DH83" s="386"/>
      <c r="DI83" s="386"/>
      <c r="DJ83" s="386"/>
      <c r="DK83" s="111"/>
      <c r="DL83" s="386" t="str">
        <f>DL4</f>
        <v>RQF6 First degree</v>
      </c>
      <c r="DM83" s="386"/>
      <c r="DN83" s="386"/>
      <c r="DO83" s="386"/>
      <c r="DP83" s="386"/>
    </row>
    <row r="85" spans="1:120" ht="38" x14ac:dyDescent="0.3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5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5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5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5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5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5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5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5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5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5">
      <c r="A96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Y96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AW96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BU96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  <c r="CS96" s="91" t="str">
        <f ca="1">CELL("filename")</f>
        <v>https://educationgovuk.sharepoint.com/sites/UnitforFutureSkills/Shared Documents/Research Projects/Working Futures extensions/Projections/Skills Imperative 2035 National_Regional_Subregional workbooks/LocalSkillsData/[BC_LEP_MainTables.Main.xlsm]Info</v>
      </c>
    </row>
    <row r="99" spans="1:1" x14ac:dyDescent="0.25">
      <c r="A99" s="91" t="s">
        <v>51</v>
      </c>
    </row>
    <row r="100" spans="1:1" x14ac:dyDescent="0.25">
      <c r="A100" s="91">
        <v>2015</v>
      </c>
    </row>
    <row r="101" spans="1:1" x14ac:dyDescent="0.25">
      <c r="A101" s="91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9.7265625" style="130" customWidth="1"/>
    <col min="4" max="4" width="10.1796875" style="130" customWidth="1"/>
    <col min="5" max="5" width="13" style="130" customWidth="1"/>
    <col min="6" max="6" width="9.726562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4" width="11.453125" style="130" customWidth="1"/>
    <col min="15" max="15" width="10.1796875" style="130" customWidth="1"/>
    <col min="16" max="16" width="3.7265625" style="130" customWidth="1"/>
    <col min="17" max="18" width="10.1796875" style="130" customWidth="1"/>
    <col min="19" max="19" width="2.453125" style="130" customWidth="1"/>
    <col min="20" max="22" width="13" style="130" customWidth="1"/>
    <col min="23" max="23" width="23.26953125" style="130" customWidth="1"/>
    <col min="24" max="24" width="9.1796875" style="130"/>
    <col min="25" max="25" width="12.26953125" style="130" customWidth="1"/>
    <col min="26" max="26" width="10.81640625" style="130" customWidth="1"/>
    <col min="27" max="27" width="8.1796875" style="130" customWidth="1"/>
    <col min="28" max="28" width="8" style="130" customWidth="1"/>
    <col min="29" max="16384" width="9.1796875" style="130"/>
  </cols>
  <sheetData>
    <row r="1" spans="1:32" ht="12.75" customHeight="1" x14ac:dyDescent="0.3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8" t="s">
        <v>59</v>
      </c>
      <c r="L2" s="388"/>
      <c r="M2" s="388"/>
      <c r="N2" s="388"/>
      <c r="O2" s="388"/>
      <c r="P2" s="388"/>
      <c r="Q2" s="388"/>
      <c r="R2" s="388"/>
      <c r="S2" s="192"/>
      <c r="T2" s="192"/>
      <c r="U2" s="129"/>
    </row>
    <row r="3" spans="1:32" ht="12.75" customHeight="1" x14ac:dyDescent="0.3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9" t="s">
        <v>62</v>
      </c>
      <c r="L3" s="389"/>
      <c r="M3" s="128"/>
      <c r="N3" s="390" t="s">
        <v>75</v>
      </c>
      <c r="O3" s="390"/>
      <c r="P3" s="128"/>
      <c r="Q3" s="390" t="s">
        <v>74</v>
      </c>
      <c r="R3" s="390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3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3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5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ht="13" x14ac:dyDescent="0.3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5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ht="13" x14ac:dyDescent="0.3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5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ht="13" x14ac:dyDescent="0.3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5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5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5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5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5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5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5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5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5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5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5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5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5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5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5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5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5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5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5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5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5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5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5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5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5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5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5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5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5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5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5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5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5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5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5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5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5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5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5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5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5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5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5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5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5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5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5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5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5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5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5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5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5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5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5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5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5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5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5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5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5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5">
      <c r="A75" s="170" t="s">
        <v>79</v>
      </c>
      <c r="B75" s="171"/>
      <c r="C75" s="171"/>
      <c r="D75" s="171"/>
      <c r="E75" s="171"/>
    </row>
    <row r="76" spans="1:21" x14ac:dyDescent="0.25">
      <c r="A76" s="387" t="s">
        <v>80</v>
      </c>
      <c r="B76" s="387"/>
      <c r="C76" s="387"/>
      <c r="D76" s="387"/>
      <c r="E76" s="387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7"/>
      <c r="R76" s="387"/>
    </row>
    <row r="77" spans="1:21" x14ac:dyDescent="0.25">
      <c r="A77" s="387" t="s">
        <v>81</v>
      </c>
      <c r="B77" s="387"/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</row>
    <row r="78" spans="1:21" x14ac:dyDescent="0.25">
      <c r="A78" s="387" t="s">
        <v>82</v>
      </c>
      <c r="B78" s="387"/>
      <c r="C78" s="387"/>
      <c r="D78" s="387"/>
      <c r="E78" s="387"/>
      <c r="F78" s="387"/>
      <c r="G78" s="387"/>
      <c r="H78" s="387"/>
      <c r="I78" s="387"/>
      <c r="J78" s="387"/>
      <c r="K78" s="387"/>
      <c r="L78" s="387"/>
      <c r="M78" s="387"/>
      <c r="N78" s="387"/>
      <c r="O78" s="387"/>
      <c r="P78" s="387"/>
      <c r="Q78" s="387"/>
      <c r="R78" s="387"/>
    </row>
    <row r="79" spans="1:21" x14ac:dyDescent="0.25">
      <c r="A79" s="387" t="s">
        <v>83</v>
      </c>
      <c r="B79" s="387"/>
      <c r="C79" s="387"/>
      <c r="D79" s="387"/>
      <c r="E79" s="387"/>
      <c r="F79" s="387"/>
      <c r="G79" s="387"/>
      <c r="H79" s="387"/>
      <c r="I79" s="387"/>
      <c r="J79" s="387"/>
      <c r="K79" s="387"/>
      <c r="L79" s="387"/>
      <c r="M79" s="387"/>
      <c r="N79" s="387"/>
      <c r="O79" s="387"/>
      <c r="P79" s="387"/>
      <c r="Q79" s="387"/>
      <c r="R79" s="387"/>
    </row>
    <row r="80" spans="1:21" x14ac:dyDescent="0.25">
      <c r="A80" s="387" t="s">
        <v>84</v>
      </c>
      <c r="B80" s="387"/>
      <c r="C80" s="387"/>
      <c r="D80" s="387"/>
      <c r="E80" s="387"/>
      <c r="F80" s="387"/>
      <c r="G80" s="387"/>
      <c r="H80" s="387"/>
      <c r="I80" s="387"/>
      <c r="J80" s="387"/>
      <c r="K80" s="387"/>
      <c r="L80" s="387"/>
      <c r="M80" s="387"/>
      <c r="N80" s="387"/>
      <c r="O80" s="387"/>
      <c r="P80" s="387"/>
      <c r="Q80" s="387"/>
      <c r="R80" s="387"/>
    </row>
    <row r="81" spans="1:18" x14ac:dyDescent="0.25">
      <c r="A81" s="387" t="s">
        <v>85</v>
      </c>
      <c r="B81" s="387"/>
      <c r="C81" s="387"/>
      <c r="D81" s="387"/>
      <c r="E81" s="387"/>
      <c r="F81" s="387"/>
      <c r="G81" s="387"/>
      <c r="H81" s="387"/>
      <c r="I81" s="387"/>
      <c r="J81" s="387"/>
      <c r="K81" s="387"/>
      <c r="L81" s="387"/>
      <c r="M81" s="387"/>
      <c r="N81" s="387"/>
      <c r="O81" s="387"/>
      <c r="P81" s="387"/>
      <c r="Q81" s="387"/>
      <c r="R81" s="387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91" customWidth="1"/>
    <col min="2" max="6" width="7.7265625" style="91" customWidth="1"/>
    <col min="7" max="7" width="3.54296875" style="91" customWidth="1"/>
    <col min="8" max="12" width="7.7265625" style="91" customWidth="1"/>
    <col min="13" max="13" width="3.54296875" style="91" customWidth="1"/>
    <col min="14" max="18" width="7.7265625" style="91" customWidth="1"/>
    <col min="19" max="19" width="3.54296875" style="91" customWidth="1"/>
    <col min="20" max="24" width="7.7265625" style="91" customWidth="1"/>
    <col min="25" max="16384" width="9.1796875" style="91"/>
  </cols>
  <sheetData>
    <row r="1" spans="1:60" ht="15.5" x14ac:dyDescent="0.3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5" t="s">
        <v>13</v>
      </c>
      <c r="X2" s="385"/>
      <c r="AP2" s="121" t="s">
        <v>13</v>
      </c>
      <c r="BH2" s="121" t="s">
        <v>13</v>
      </c>
    </row>
    <row r="3" spans="1:60" ht="13" x14ac:dyDescent="0.3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1" t="s">
        <v>54</v>
      </c>
      <c r="U3" s="391"/>
      <c r="V3" s="391"/>
      <c r="W3" s="391"/>
      <c r="X3" s="391"/>
      <c r="Y3" s="118" t="s">
        <v>107</v>
      </c>
      <c r="Z3" s="391" t="s">
        <v>125</v>
      </c>
      <c r="AA3" s="391"/>
      <c r="AB3" s="391"/>
      <c r="AC3" s="391"/>
      <c r="AD3" s="391"/>
      <c r="AE3" s="118"/>
      <c r="AF3" s="184" t="s">
        <v>55</v>
      </c>
      <c r="AG3" s="184"/>
      <c r="AH3" s="184"/>
      <c r="AI3" s="184"/>
      <c r="AJ3" s="184"/>
      <c r="AK3" s="118"/>
      <c r="AL3" s="391" t="s">
        <v>56</v>
      </c>
      <c r="AM3" s="391"/>
      <c r="AN3" s="391"/>
      <c r="AO3" s="391"/>
      <c r="AP3" s="391"/>
      <c r="AQ3" s="118" t="s">
        <v>107</v>
      </c>
      <c r="AR3" s="391" t="s">
        <v>126</v>
      </c>
      <c r="AS3" s="391"/>
      <c r="AT3" s="391"/>
      <c r="AU3" s="391"/>
      <c r="AV3" s="391"/>
      <c r="AW3" s="118"/>
      <c r="AX3" s="184" t="s">
        <v>57</v>
      </c>
      <c r="AY3" s="184"/>
      <c r="AZ3" s="184"/>
      <c r="BA3" s="184"/>
      <c r="BB3" s="184"/>
      <c r="BC3" s="118"/>
      <c r="BD3" s="391" t="s">
        <v>58</v>
      </c>
      <c r="BE3" s="391"/>
      <c r="BF3" s="391"/>
      <c r="BG3" s="391"/>
      <c r="BH3" s="391"/>
    </row>
    <row r="4" spans="1:60" ht="13" x14ac:dyDescent="0.3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ht="13" x14ac:dyDescent="0.3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ht="13" x14ac:dyDescent="0.3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5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5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5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5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5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5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5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5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5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5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5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5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5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ht="13" x14ac:dyDescent="0.3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5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5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5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5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5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5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5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5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5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5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5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5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5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ht="13" x14ac:dyDescent="0.3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5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5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5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5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5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5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5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5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5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5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5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5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5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5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5" x14ac:dyDescent="0.3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ht="13" x14ac:dyDescent="0.3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1" t="str">
        <f>T3</f>
        <v>Lower secondary education (2nd stage basic)</v>
      </c>
      <c r="U51" s="391"/>
      <c r="V51" s="391"/>
      <c r="W51" s="391"/>
      <c r="X51" s="391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ht="13" x14ac:dyDescent="0.3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ht="13" x14ac:dyDescent="0.3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ht="13" x14ac:dyDescent="0.3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5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5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5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5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5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5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5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5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5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5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5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5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5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ht="13" x14ac:dyDescent="0.3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5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5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5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5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5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5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5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5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5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5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5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5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5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ht="13" x14ac:dyDescent="0.3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5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5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5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5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5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5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5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5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5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5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5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5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5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5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5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5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5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5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5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5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5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5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5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5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5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5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5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5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5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5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5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5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5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5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5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5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5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5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5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5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5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5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5">
      <c r="A30" s="10" t="s">
        <v>274</v>
      </c>
      <c r="C30" t="s">
        <v>11</v>
      </c>
      <c r="E30" t="s">
        <v>11</v>
      </c>
    </row>
    <row r="31" spans="1:9" x14ac:dyDescent="0.25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5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5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5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5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5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5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5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5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5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5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5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5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5">
      <c r="A44" s="10" t="s">
        <v>140</v>
      </c>
      <c r="D44" t="s">
        <v>11</v>
      </c>
      <c r="E44" t="s">
        <v>11</v>
      </c>
    </row>
    <row r="45" spans="1:9" x14ac:dyDescent="0.25">
      <c r="A45" s="10" t="s">
        <v>283</v>
      </c>
    </row>
    <row r="46" spans="1:9" x14ac:dyDescent="0.25">
      <c r="A46" s="10" t="s">
        <v>284</v>
      </c>
      <c r="I46" s="83"/>
    </row>
    <row r="47" spans="1:9" x14ac:dyDescent="0.25">
      <c r="A47" s="10" t="s">
        <v>91</v>
      </c>
    </row>
    <row r="48" spans="1:9" x14ac:dyDescent="0.25">
      <c r="A48" s="10" t="s">
        <v>285</v>
      </c>
    </row>
    <row r="49" spans="1:9" x14ac:dyDescent="0.25">
      <c r="A49" s="10" t="s">
        <v>286</v>
      </c>
    </row>
    <row r="50" spans="1:9" x14ac:dyDescent="0.25">
      <c r="A50" s="10" t="s">
        <v>287</v>
      </c>
    </row>
    <row r="51" spans="1:9" x14ac:dyDescent="0.25">
      <c r="A51" s="10" t="s">
        <v>288</v>
      </c>
      <c r="I51" s="83"/>
    </row>
    <row r="52" spans="1:9" x14ac:dyDescent="0.25">
      <c r="A52" s="10" t="s">
        <v>289</v>
      </c>
    </row>
    <row r="53" spans="1:9" x14ac:dyDescent="0.25">
      <c r="A53" s="10" t="s">
        <v>290</v>
      </c>
    </row>
    <row r="54" spans="1:9" x14ac:dyDescent="0.25">
      <c r="A54" s="10" t="s">
        <v>291</v>
      </c>
    </row>
    <row r="55" spans="1:9" x14ac:dyDescent="0.25">
      <c r="A55" s="10" t="s">
        <v>292</v>
      </c>
    </row>
    <row r="56" spans="1:9" x14ac:dyDescent="0.25">
      <c r="A56" s="10" t="s">
        <v>293</v>
      </c>
      <c r="I56" s="83"/>
    </row>
    <row r="57" spans="1:9" x14ac:dyDescent="0.25">
      <c r="A57" s="10" t="s">
        <v>141</v>
      </c>
    </row>
    <row r="58" spans="1:9" x14ac:dyDescent="0.25">
      <c r="A58" s="10" t="s">
        <v>294</v>
      </c>
    </row>
    <row r="59" spans="1:9" x14ac:dyDescent="0.25">
      <c r="A59" s="10" t="s">
        <v>295</v>
      </c>
    </row>
    <row r="60" spans="1:9" x14ac:dyDescent="0.25">
      <c r="A60" s="10" t="s">
        <v>296</v>
      </c>
    </row>
    <row r="61" spans="1:9" x14ac:dyDescent="0.25">
      <c r="A61" s="10" t="s">
        <v>297</v>
      </c>
    </row>
    <row r="62" spans="1:9" x14ac:dyDescent="0.25">
      <c r="A62" s="10" t="s">
        <v>142</v>
      </c>
    </row>
    <row r="63" spans="1:9" x14ac:dyDescent="0.25">
      <c r="A63" s="10" t="s">
        <v>298</v>
      </c>
    </row>
    <row r="64" spans="1:9" x14ac:dyDescent="0.25">
      <c r="A64" s="10" t="s">
        <v>299</v>
      </c>
    </row>
    <row r="65" spans="1:9" x14ac:dyDescent="0.25">
      <c r="A65" s="10" t="s">
        <v>300</v>
      </c>
      <c r="I65" s="83"/>
    </row>
    <row r="66" spans="1:9" x14ac:dyDescent="0.25">
      <c r="A66" s="10" t="s">
        <v>301</v>
      </c>
    </row>
    <row r="67" spans="1:9" x14ac:dyDescent="0.25">
      <c r="A67" s="10" t="s">
        <v>302</v>
      </c>
    </row>
    <row r="68" spans="1:9" x14ac:dyDescent="0.25">
      <c r="A68" s="10" t="s">
        <v>303</v>
      </c>
    </row>
    <row r="69" spans="1:9" x14ac:dyDescent="0.25">
      <c r="A69" s="10" t="s">
        <v>92</v>
      </c>
    </row>
    <row r="70" spans="1:9" x14ac:dyDescent="0.25">
      <c r="A70" s="10" t="s">
        <v>304</v>
      </c>
    </row>
    <row r="71" spans="1:9" x14ac:dyDescent="0.25">
      <c r="A71" s="10" t="s">
        <v>305</v>
      </c>
      <c r="I71" s="83"/>
    </row>
    <row r="72" spans="1:9" x14ac:dyDescent="0.25">
      <c r="A72" s="10" t="s">
        <v>93</v>
      </c>
    </row>
    <row r="73" spans="1:9" x14ac:dyDescent="0.25">
      <c r="A73" s="10" t="s">
        <v>306</v>
      </c>
    </row>
    <row r="74" spans="1:9" x14ac:dyDescent="0.25">
      <c r="A74" s="10" t="s">
        <v>307</v>
      </c>
      <c r="I74" s="83"/>
    </row>
    <row r="75" spans="1:9" x14ac:dyDescent="0.25">
      <c r="A75" s="10" t="s">
        <v>308</v>
      </c>
    </row>
    <row r="76" spans="1:9" x14ac:dyDescent="0.25">
      <c r="A76" s="10" t="s">
        <v>309</v>
      </c>
    </row>
    <row r="77" spans="1:9" x14ac:dyDescent="0.25">
      <c r="A77" s="10" t="s">
        <v>310</v>
      </c>
    </row>
    <row r="78" spans="1:9" x14ac:dyDescent="0.25">
      <c r="A78" s="10" t="s">
        <v>311</v>
      </c>
    </row>
    <row r="81" spans="9:9" x14ac:dyDescent="0.25">
      <c r="I81" s="83"/>
    </row>
    <row r="85" spans="9:9" x14ac:dyDescent="0.25">
      <c r="I85" s="83"/>
    </row>
    <row r="91" spans="9:9" x14ac:dyDescent="0.25">
      <c r="I91" s="83"/>
    </row>
    <row r="96" spans="9:9" x14ac:dyDescent="0.25">
      <c r="I96" s="83"/>
    </row>
    <row r="101" spans="9:9" x14ac:dyDescent="0.25">
      <c r="I101" s="83"/>
    </row>
    <row r="106" spans="9:9" x14ac:dyDescent="0.25">
      <c r="I106" s="83"/>
    </row>
    <row r="111" spans="9:9" x14ac:dyDescent="0.25">
      <c r="I111" s="83"/>
    </row>
    <row r="119" spans="9:9" x14ac:dyDescent="0.25">
      <c r="I119" s="83"/>
    </row>
    <row r="129" spans="9:9" x14ac:dyDescent="0.25">
      <c r="I129" s="83"/>
    </row>
    <row r="134" spans="9:9" x14ac:dyDescent="0.25">
      <c r="I134" s="83"/>
    </row>
    <row r="141" spans="9:9" x14ac:dyDescent="0.25">
      <c r="I141" s="83"/>
    </row>
    <row r="143" spans="9:9" x14ac:dyDescent="0.25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5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166</v>
      </c>
    </row>
    <row r="3" spans="1:4" x14ac:dyDescent="0.25">
      <c r="A3" s="126"/>
      <c r="B3" s="126" t="s">
        <v>354</v>
      </c>
      <c r="C3" s="126"/>
      <c r="D3" s="126" t="s">
        <v>355</v>
      </c>
    </row>
    <row r="4" spans="1:4" x14ac:dyDescent="0.25">
      <c r="A4" s="126"/>
      <c r="B4" s="126"/>
      <c r="C4" s="126"/>
      <c r="D4" s="126"/>
    </row>
    <row r="5" spans="1:4" x14ac:dyDescent="0.25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5">
      <c r="A6" s="126"/>
      <c r="B6" s="126"/>
      <c r="C6" s="126"/>
      <c r="D6" s="126"/>
    </row>
    <row r="7" spans="1:4" x14ac:dyDescent="0.25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5">
      <c r="A8" s="126"/>
      <c r="B8" s="126"/>
      <c r="C8" s="126"/>
      <c r="D8" s="126"/>
    </row>
    <row r="9" spans="1:4" x14ac:dyDescent="0.25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5">
      <c r="A10" s="126"/>
      <c r="B10" s="126"/>
      <c r="C10" s="126">
        <v>4</v>
      </c>
      <c r="D10" s="126" t="s">
        <v>172</v>
      </c>
    </row>
    <row r="11" spans="1:4" x14ac:dyDescent="0.25">
      <c r="A11" s="126"/>
      <c r="B11" s="126"/>
      <c r="C11" s="126"/>
      <c r="D11" s="126"/>
    </row>
    <row r="12" spans="1:4" x14ac:dyDescent="0.25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5">
      <c r="A13" s="126"/>
      <c r="B13" s="126"/>
      <c r="C13" s="126">
        <v>17</v>
      </c>
      <c r="D13" s="126" t="s">
        <v>95</v>
      </c>
    </row>
    <row r="14" spans="1:4" x14ac:dyDescent="0.25">
      <c r="A14" s="126"/>
      <c r="B14" s="126"/>
      <c r="C14" s="126">
        <v>18</v>
      </c>
      <c r="D14" s="126" t="s">
        <v>174</v>
      </c>
    </row>
    <row r="15" spans="1:4" x14ac:dyDescent="0.25">
      <c r="A15" s="126"/>
      <c r="B15" s="126"/>
      <c r="C15" s="126"/>
      <c r="D15" s="126"/>
    </row>
    <row r="16" spans="1:4" x14ac:dyDescent="0.25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5">
      <c r="A17" s="126"/>
      <c r="B17" s="126"/>
      <c r="C17" s="126">
        <v>6</v>
      </c>
      <c r="D17" s="126" t="s">
        <v>176</v>
      </c>
    </row>
    <row r="18" spans="1:4" x14ac:dyDescent="0.25">
      <c r="A18" s="126"/>
      <c r="B18" s="126"/>
      <c r="C18" s="126">
        <v>7</v>
      </c>
      <c r="D18" s="126" t="s">
        <v>177</v>
      </c>
    </row>
    <row r="19" spans="1:4" x14ac:dyDescent="0.25">
      <c r="A19" s="126"/>
      <c r="B19" s="126"/>
      <c r="C19" s="126">
        <v>8</v>
      </c>
      <c r="D19" s="126" t="s">
        <v>178</v>
      </c>
    </row>
    <row r="20" spans="1:4" x14ac:dyDescent="0.25">
      <c r="A20" s="126"/>
      <c r="B20" s="126"/>
      <c r="C20" s="126">
        <v>9</v>
      </c>
      <c r="D20" s="126" t="s">
        <v>179</v>
      </c>
    </row>
    <row r="21" spans="1:4" x14ac:dyDescent="0.25">
      <c r="A21" s="126"/>
      <c r="B21" s="126"/>
      <c r="C21" s="126">
        <v>10</v>
      </c>
      <c r="D21" s="126" t="s">
        <v>180</v>
      </c>
    </row>
    <row r="22" spans="1:4" x14ac:dyDescent="0.25">
      <c r="A22" s="126"/>
      <c r="B22" s="126"/>
      <c r="C22" s="126">
        <v>11</v>
      </c>
      <c r="D22" s="126" t="s">
        <v>70</v>
      </c>
    </row>
    <row r="23" spans="1:4" x14ac:dyDescent="0.25">
      <c r="A23" s="126"/>
      <c r="B23" s="126"/>
      <c r="C23" s="126">
        <v>12</v>
      </c>
      <c r="D23" s="126" t="s">
        <v>181</v>
      </c>
    </row>
    <row r="24" spans="1:4" x14ac:dyDescent="0.25">
      <c r="A24" s="126"/>
      <c r="B24" s="126"/>
      <c r="C24" s="126">
        <v>13</v>
      </c>
      <c r="D24" s="126" t="s">
        <v>182</v>
      </c>
    </row>
    <row r="25" spans="1:4" x14ac:dyDescent="0.25">
      <c r="A25" s="126"/>
      <c r="B25" s="126"/>
      <c r="C25" s="126">
        <v>14</v>
      </c>
      <c r="D25" s="126" t="s">
        <v>128</v>
      </c>
    </row>
    <row r="26" spans="1:4" x14ac:dyDescent="0.25">
      <c r="A26" s="126"/>
      <c r="B26" s="126"/>
      <c r="C26" s="126">
        <v>15</v>
      </c>
      <c r="D26" s="126" t="s">
        <v>129</v>
      </c>
    </row>
    <row r="27" spans="1:4" x14ac:dyDescent="0.25">
      <c r="A27" s="126"/>
      <c r="B27" s="126"/>
      <c r="C27" s="126">
        <v>19</v>
      </c>
      <c r="D27" s="126" t="s">
        <v>183</v>
      </c>
    </row>
    <row r="28" spans="1:4" x14ac:dyDescent="0.25">
      <c r="A28" s="126"/>
      <c r="B28" s="126"/>
      <c r="C28" s="126">
        <v>20</v>
      </c>
      <c r="D28" s="126" t="s">
        <v>184</v>
      </c>
    </row>
    <row r="29" spans="1:4" x14ac:dyDescent="0.25">
      <c r="A29" s="126"/>
      <c r="B29" s="126"/>
      <c r="C29" s="126">
        <v>21</v>
      </c>
      <c r="D29" s="126" t="s">
        <v>185</v>
      </c>
    </row>
    <row r="30" spans="1:4" x14ac:dyDescent="0.25">
      <c r="A30" s="126"/>
      <c r="B30" s="126"/>
      <c r="C30" s="126">
        <v>22</v>
      </c>
      <c r="D30" s="126" t="s">
        <v>186</v>
      </c>
    </row>
    <row r="31" spans="1:4" x14ac:dyDescent="0.25">
      <c r="A31" s="126"/>
      <c r="B31" s="126"/>
      <c r="C31" s="126">
        <v>23</v>
      </c>
      <c r="D31" s="126" t="s">
        <v>187</v>
      </c>
    </row>
    <row r="32" spans="1:4" x14ac:dyDescent="0.25">
      <c r="A32" s="126"/>
      <c r="B32" s="126"/>
      <c r="C32" s="126"/>
      <c r="D32" s="126"/>
    </row>
    <row r="33" spans="1:4" x14ac:dyDescent="0.25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5">
      <c r="A34" s="126"/>
      <c r="B34" s="126"/>
      <c r="C34" s="126"/>
      <c r="D34" s="126"/>
    </row>
    <row r="35" spans="1:4" x14ac:dyDescent="0.25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5">
      <c r="A36" s="126"/>
      <c r="B36" s="126"/>
      <c r="C36" s="126">
        <v>26</v>
      </c>
      <c r="D36" s="126" t="s">
        <v>192</v>
      </c>
    </row>
    <row r="37" spans="1:4" x14ac:dyDescent="0.25">
      <c r="A37" s="126"/>
      <c r="B37" s="126"/>
      <c r="C37" s="126">
        <v>27</v>
      </c>
      <c r="D37" s="126" t="s">
        <v>193</v>
      </c>
    </row>
    <row r="38" spans="1:4" x14ac:dyDescent="0.25">
      <c r="A38" s="126"/>
      <c r="B38" s="126"/>
      <c r="C38" s="126"/>
      <c r="D38" s="126"/>
    </row>
    <row r="39" spans="1:4" x14ac:dyDescent="0.25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5">
      <c r="A40" s="126"/>
      <c r="B40" s="126"/>
      <c r="C40" s="126">
        <v>29</v>
      </c>
      <c r="D40" s="126" t="s">
        <v>195</v>
      </c>
    </row>
    <row r="41" spans="1:4" x14ac:dyDescent="0.25">
      <c r="A41" s="126"/>
      <c r="B41" s="126"/>
      <c r="C41" s="126">
        <v>30</v>
      </c>
      <c r="D41" s="126" t="s">
        <v>196</v>
      </c>
    </row>
    <row r="42" spans="1:4" x14ac:dyDescent="0.25">
      <c r="A42" s="126"/>
      <c r="B42" s="126"/>
      <c r="C42" s="126"/>
      <c r="D42" s="126"/>
    </row>
    <row r="43" spans="1:4" x14ac:dyDescent="0.25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5">
      <c r="A44" s="126"/>
      <c r="B44" s="126"/>
      <c r="C44" s="126">
        <v>32</v>
      </c>
      <c r="D44" s="126" t="s">
        <v>198</v>
      </c>
    </row>
    <row r="45" spans="1:4" x14ac:dyDescent="0.25">
      <c r="A45" s="126"/>
      <c r="B45" s="126"/>
      <c r="C45" s="126">
        <v>33</v>
      </c>
      <c r="D45" s="126" t="s">
        <v>199</v>
      </c>
    </row>
    <row r="46" spans="1:4" x14ac:dyDescent="0.25">
      <c r="A46" s="126"/>
      <c r="B46" s="126"/>
      <c r="C46" s="126"/>
      <c r="D46" s="126"/>
    </row>
    <row r="47" spans="1:4" x14ac:dyDescent="0.25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5">
      <c r="A48" s="126"/>
      <c r="B48" s="126"/>
      <c r="C48" s="126">
        <v>35</v>
      </c>
      <c r="D48" s="126" t="s">
        <v>202</v>
      </c>
    </row>
    <row r="49" spans="1:4" x14ac:dyDescent="0.25">
      <c r="A49" s="126"/>
      <c r="B49" s="126"/>
      <c r="C49" s="126">
        <v>36</v>
      </c>
      <c r="D49" s="126" t="s">
        <v>203</v>
      </c>
    </row>
    <row r="50" spans="1:4" x14ac:dyDescent="0.25">
      <c r="A50" s="126"/>
      <c r="B50" s="126"/>
      <c r="C50" s="126">
        <v>37</v>
      </c>
      <c r="D50" s="126" t="s">
        <v>204</v>
      </c>
    </row>
    <row r="51" spans="1:4" x14ac:dyDescent="0.25">
      <c r="A51" s="126"/>
      <c r="B51" s="126"/>
      <c r="C51" s="126">
        <v>38</v>
      </c>
      <c r="D51" s="126" t="s">
        <v>205</v>
      </c>
    </row>
    <row r="52" spans="1:4" x14ac:dyDescent="0.25">
      <c r="A52" s="126"/>
      <c r="B52" s="126"/>
      <c r="C52" s="126"/>
      <c r="D52" s="126"/>
    </row>
    <row r="53" spans="1:4" x14ac:dyDescent="0.25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5">
      <c r="A54" s="126"/>
      <c r="B54" s="126"/>
      <c r="C54" s="126">
        <v>40</v>
      </c>
      <c r="D54" s="126" t="s">
        <v>208</v>
      </c>
    </row>
    <row r="55" spans="1:4" x14ac:dyDescent="0.25">
      <c r="A55" s="126"/>
      <c r="B55" s="126"/>
      <c r="C55" s="126"/>
      <c r="D55" s="126"/>
    </row>
    <row r="56" spans="1:4" x14ac:dyDescent="0.25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5">
      <c r="A57" s="126"/>
      <c r="B57" s="126"/>
      <c r="C57" s="126">
        <v>42</v>
      </c>
      <c r="D57" s="126" t="s">
        <v>209</v>
      </c>
    </row>
    <row r="58" spans="1:4" x14ac:dyDescent="0.25">
      <c r="A58" s="126"/>
      <c r="B58" s="126"/>
      <c r="C58" s="126">
        <v>43</v>
      </c>
      <c r="D58" s="126" t="s">
        <v>210</v>
      </c>
    </row>
    <row r="59" spans="1:4" x14ac:dyDescent="0.25">
      <c r="A59" s="126"/>
      <c r="B59" s="126"/>
      <c r="C59" s="126"/>
      <c r="D59" s="126"/>
    </row>
    <row r="60" spans="1:4" x14ac:dyDescent="0.25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5">
      <c r="A61" s="126"/>
      <c r="B61" s="126"/>
      <c r="C61" s="126">
        <v>45</v>
      </c>
      <c r="D61" s="126" t="s">
        <v>212</v>
      </c>
    </row>
    <row r="62" spans="1:4" x14ac:dyDescent="0.25">
      <c r="A62" s="126"/>
      <c r="B62" s="126"/>
      <c r="C62" s="126">
        <v>46</v>
      </c>
      <c r="D62" s="126" t="s">
        <v>213</v>
      </c>
    </row>
    <row r="63" spans="1:4" x14ac:dyDescent="0.25">
      <c r="A63" s="126"/>
      <c r="B63" s="126"/>
      <c r="C63" s="126"/>
      <c r="D63" s="126"/>
    </row>
    <row r="64" spans="1:4" x14ac:dyDescent="0.25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5">
      <c r="A65" s="126"/>
      <c r="B65" s="126"/>
      <c r="C65" s="126">
        <v>48</v>
      </c>
      <c r="D65" s="126" t="s">
        <v>215</v>
      </c>
    </row>
    <row r="66" spans="1:4" x14ac:dyDescent="0.25">
      <c r="A66" s="126"/>
      <c r="B66" s="126"/>
      <c r="C66" s="126">
        <v>49</v>
      </c>
      <c r="D66" s="126" t="s">
        <v>216</v>
      </c>
    </row>
    <row r="67" spans="1:4" x14ac:dyDescent="0.25">
      <c r="A67" s="126"/>
      <c r="B67" s="126"/>
      <c r="C67" s="126"/>
      <c r="D67" s="126"/>
    </row>
    <row r="68" spans="1:4" x14ac:dyDescent="0.25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5">
      <c r="A69" s="126"/>
      <c r="B69" s="126"/>
      <c r="C69" s="126"/>
      <c r="D69" s="126"/>
    </row>
    <row r="70" spans="1:4" x14ac:dyDescent="0.25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5">
      <c r="A71" s="126"/>
      <c r="B71" s="126"/>
      <c r="C71" s="126">
        <v>52</v>
      </c>
      <c r="D71" s="126" t="s">
        <v>220</v>
      </c>
    </row>
    <row r="72" spans="1:4" x14ac:dyDescent="0.25">
      <c r="A72" s="126"/>
      <c r="B72" s="126"/>
      <c r="C72" s="126">
        <v>53</v>
      </c>
      <c r="D72" s="126" t="s">
        <v>221</v>
      </c>
    </row>
    <row r="73" spans="1:4" x14ac:dyDescent="0.25">
      <c r="A73" s="126"/>
      <c r="B73" s="126"/>
      <c r="C73" s="126">
        <v>54</v>
      </c>
      <c r="D73" s="126" t="s">
        <v>222</v>
      </c>
    </row>
    <row r="74" spans="1:4" x14ac:dyDescent="0.25">
      <c r="A74" s="126"/>
      <c r="B74" s="126"/>
      <c r="C74" s="126">
        <v>55</v>
      </c>
      <c r="D74" s="126" t="s">
        <v>223</v>
      </c>
    </row>
    <row r="75" spans="1:4" x14ac:dyDescent="0.25">
      <c r="A75" s="126"/>
      <c r="B75" s="126"/>
      <c r="C75" s="126">
        <v>56</v>
      </c>
      <c r="D75" s="126" t="s">
        <v>224</v>
      </c>
    </row>
    <row r="76" spans="1:4" x14ac:dyDescent="0.25">
      <c r="A76" s="126"/>
      <c r="B76" s="126"/>
      <c r="C76" s="126">
        <v>57</v>
      </c>
      <c r="D76" s="126" t="s">
        <v>225</v>
      </c>
    </row>
    <row r="77" spans="1:4" x14ac:dyDescent="0.25">
      <c r="A77" s="126"/>
      <c r="B77" s="126"/>
      <c r="C77" s="126"/>
      <c r="D77" s="126"/>
    </row>
    <row r="78" spans="1:4" x14ac:dyDescent="0.25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5">
      <c r="A79" s="126"/>
      <c r="B79" s="126"/>
      <c r="C79" s="126">
        <v>59</v>
      </c>
      <c r="D79" s="126" t="s">
        <v>132</v>
      </c>
    </row>
    <row r="80" spans="1:4" x14ac:dyDescent="0.25">
      <c r="A80" s="126"/>
      <c r="B80" s="126"/>
      <c r="C80" s="126">
        <v>60</v>
      </c>
      <c r="D80" s="126" t="s">
        <v>228</v>
      </c>
    </row>
    <row r="81" spans="1:4" x14ac:dyDescent="0.25">
      <c r="A81" s="126"/>
      <c r="B81" s="126"/>
      <c r="C81" s="126">
        <v>61</v>
      </c>
      <c r="D81" s="126" t="s">
        <v>229</v>
      </c>
    </row>
    <row r="82" spans="1:4" x14ac:dyDescent="0.25">
      <c r="A82" s="126"/>
      <c r="B82" s="126"/>
      <c r="C82" s="126">
        <v>62</v>
      </c>
      <c r="D82" s="126" t="s">
        <v>230</v>
      </c>
    </row>
    <row r="83" spans="1:4" x14ac:dyDescent="0.25">
      <c r="A83" s="126"/>
      <c r="B83" s="126"/>
      <c r="C83" s="126">
        <v>63</v>
      </c>
      <c r="D83" s="126" t="s">
        <v>231</v>
      </c>
    </row>
    <row r="84" spans="1:4" x14ac:dyDescent="0.25">
      <c r="A84" s="126"/>
      <c r="B84" s="126"/>
      <c r="C84" s="126"/>
      <c r="D84" s="126"/>
    </row>
    <row r="85" spans="1:4" x14ac:dyDescent="0.25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5">
      <c r="A86" s="126"/>
      <c r="B86" s="126"/>
      <c r="C86" s="126"/>
      <c r="D86" s="126"/>
    </row>
    <row r="87" spans="1:4" x14ac:dyDescent="0.25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5">
      <c r="A88" s="126"/>
      <c r="B88" s="126"/>
      <c r="C88" s="126"/>
      <c r="D88" s="126"/>
    </row>
    <row r="89" spans="1:4" x14ac:dyDescent="0.25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5">
      <c r="A90" s="126"/>
      <c r="B90" s="126"/>
      <c r="C90" s="126">
        <v>67</v>
      </c>
      <c r="D90" s="126" t="s">
        <v>235</v>
      </c>
    </row>
    <row r="91" spans="1:4" x14ac:dyDescent="0.25">
      <c r="A91" s="126"/>
      <c r="B91" s="126"/>
      <c r="C91" s="126">
        <v>68</v>
      </c>
      <c r="D91" s="126" t="s">
        <v>236</v>
      </c>
    </row>
    <row r="92" spans="1:4" x14ac:dyDescent="0.25">
      <c r="A92" s="126"/>
      <c r="B92" s="126"/>
      <c r="C92" s="126"/>
      <c r="D92" s="126"/>
    </row>
    <row r="93" spans="1:4" x14ac:dyDescent="0.25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5">
      <c r="A94" s="126"/>
      <c r="B94" s="126"/>
      <c r="C94" s="126">
        <v>70</v>
      </c>
      <c r="D94" s="126" t="s">
        <v>238</v>
      </c>
    </row>
    <row r="95" spans="1:4" x14ac:dyDescent="0.25">
      <c r="A95" s="126"/>
      <c r="B95" s="126"/>
      <c r="C95" s="126">
        <v>71</v>
      </c>
      <c r="D95" s="126" t="s">
        <v>239</v>
      </c>
    </row>
    <row r="96" spans="1:4" x14ac:dyDescent="0.25">
      <c r="A96" s="126"/>
      <c r="B96" s="126"/>
      <c r="C96" s="126">
        <v>72</v>
      </c>
      <c r="D96" s="126" t="s">
        <v>240</v>
      </c>
    </row>
    <row r="97" spans="1:4" x14ac:dyDescent="0.25">
      <c r="A97" s="126"/>
      <c r="B97" s="126"/>
      <c r="C97" s="126"/>
      <c r="D97" s="126"/>
    </row>
    <row r="98" spans="1:4" x14ac:dyDescent="0.25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5">
      <c r="A99" s="126"/>
      <c r="B99" s="126"/>
      <c r="C99" s="126">
        <v>74</v>
      </c>
      <c r="D99" s="126" t="s">
        <v>242</v>
      </c>
    </row>
    <row r="100" spans="1:4" x14ac:dyDescent="0.25">
      <c r="A100" s="126"/>
      <c r="B100" s="126"/>
      <c r="C100" s="126">
        <v>75</v>
      </c>
      <c r="D100" s="126" t="s">
        <v>243</v>
      </c>
    </row>
    <row r="101" spans="1:4" x14ac:dyDescent="0.25">
      <c r="A101"/>
      <c r="B101"/>
      <c r="C101" s="89"/>
      <c r="D101"/>
    </row>
    <row r="102" spans="1:4" ht="13" x14ac:dyDescent="0.3">
      <c r="A102" s="17" t="s">
        <v>244</v>
      </c>
      <c r="B102" s="89"/>
      <c r="C102" s="89"/>
      <c r="D102"/>
    </row>
    <row r="103" spans="1:4" x14ac:dyDescent="0.25">
      <c r="A103" s="89"/>
      <c r="B103" s="89"/>
      <c r="C103" s="89"/>
      <c r="D103"/>
    </row>
    <row r="104" spans="1:4" x14ac:dyDescent="0.25">
      <c r="A104" s="10"/>
      <c r="B104" s="126" t="s">
        <v>356</v>
      </c>
      <c r="C104" s="10"/>
      <c r="D104" s="126" t="s">
        <v>355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5">
      <c r="A107" s="10"/>
      <c r="B107" s="10"/>
      <c r="C107" s="10">
        <v>2</v>
      </c>
      <c r="D107" s="10" t="s">
        <v>169</v>
      </c>
    </row>
    <row r="108" spans="1:4" x14ac:dyDescent="0.25">
      <c r="A108" s="10"/>
      <c r="B108" s="10"/>
      <c r="C108" s="10">
        <v>24</v>
      </c>
      <c r="D108" s="10" t="s">
        <v>189</v>
      </c>
    </row>
    <row r="109" spans="1:4" x14ac:dyDescent="0.25">
      <c r="A109" s="10"/>
      <c r="B109" s="10"/>
      <c r="C109" s="10">
        <v>25</v>
      </c>
      <c r="D109" s="10" t="s">
        <v>191</v>
      </c>
    </row>
    <row r="110" spans="1:4" x14ac:dyDescent="0.25">
      <c r="A110" s="10"/>
      <c r="B110" s="10"/>
      <c r="C110" s="10">
        <v>26</v>
      </c>
      <c r="D110" s="10" t="s">
        <v>192</v>
      </c>
    </row>
    <row r="111" spans="1:4" x14ac:dyDescent="0.25">
      <c r="A111" s="10"/>
      <c r="B111" s="10"/>
      <c r="C111" s="10">
        <v>27</v>
      </c>
      <c r="D111" s="10" t="s">
        <v>193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5">
      <c r="A114" s="10"/>
      <c r="B114" s="10"/>
      <c r="C114" s="10">
        <v>4</v>
      </c>
      <c r="D114" s="10" t="s">
        <v>172</v>
      </c>
    </row>
    <row r="115" spans="1:4" x14ac:dyDescent="0.25">
      <c r="A115" s="10"/>
      <c r="B115" s="10"/>
      <c r="C115" s="10">
        <v>5</v>
      </c>
      <c r="D115" s="10" t="s">
        <v>175</v>
      </c>
    </row>
    <row r="116" spans="1:4" x14ac:dyDescent="0.25">
      <c r="A116" s="10"/>
      <c r="B116" s="10"/>
      <c r="C116" s="10">
        <v>6</v>
      </c>
      <c r="D116" s="10" t="s">
        <v>176</v>
      </c>
    </row>
    <row r="117" spans="1:4" x14ac:dyDescent="0.25">
      <c r="A117" s="10"/>
      <c r="B117" s="10"/>
      <c r="C117" s="10">
        <v>7</v>
      </c>
      <c r="D117" s="10" t="s">
        <v>177</v>
      </c>
    </row>
    <row r="118" spans="1:4" x14ac:dyDescent="0.25">
      <c r="A118" s="10"/>
      <c r="B118" s="10"/>
      <c r="C118" s="10">
        <v>8</v>
      </c>
      <c r="D118" s="10" t="s">
        <v>178</v>
      </c>
    </row>
    <row r="119" spans="1:4" x14ac:dyDescent="0.25">
      <c r="A119" s="10"/>
      <c r="B119" s="10"/>
      <c r="C119" s="10">
        <v>9</v>
      </c>
      <c r="D119" s="10" t="s">
        <v>179</v>
      </c>
    </row>
    <row r="120" spans="1:4" x14ac:dyDescent="0.25">
      <c r="A120" s="10"/>
      <c r="B120" s="10"/>
      <c r="C120" s="10">
        <v>10</v>
      </c>
      <c r="D120" s="10" t="s">
        <v>180</v>
      </c>
    </row>
    <row r="121" spans="1:4" x14ac:dyDescent="0.25">
      <c r="A121" s="10"/>
      <c r="B121" s="10"/>
      <c r="C121" s="10">
        <v>11</v>
      </c>
      <c r="D121" s="10" t="s">
        <v>70</v>
      </c>
    </row>
    <row r="122" spans="1:4" x14ac:dyDescent="0.25">
      <c r="A122" s="10"/>
      <c r="B122" s="10"/>
      <c r="C122" s="10">
        <v>12</v>
      </c>
      <c r="D122" s="10" t="s">
        <v>181</v>
      </c>
    </row>
    <row r="123" spans="1:4" x14ac:dyDescent="0.25">
      <c r="A123" s="10"/>
      <c r="B123" s="10"/>
      <c r="C123" s="10">
        <v>13</v>
      </c>
      <c r="D123" s="10" t="s">
        <v>182</v>
      </c>
    </row>
    <row r="124" spans="1:4" x14ac:dyDescent="0.25">
      <c r="A124" s="10"/>
      <c r="B124" s="10"/>
      <c r="C124" s="10">
        <v>14</v>
      </c>
      <c r="D124" s="10" t="s">
        <v>128</v>
      </c>
    </row>
    <row r="125" spans="1:4" x14ac:dyDescent="0.25">
      <c r="A125" s="10"/>
      <c r="B125" s="10"/>
      <c r="C125" s="10">
        <v>15</v>
      </c>
      <c r="D125" s="10" t="s">
        <v>129</v>
      </c>
    </row>
    <row r="126" spans="1:4" x14ac:dyDescent="0.25">
      <c r="A126" s="10"/>
      <c r="B126" s="10"/>
      <c r="C126" s="10">
        <v>16</v>
      </c>
      <c r="D126" s="10" t="s">
        <v>173</v>
      </c>
    </row>
    <row r="127" spans="1:4" x14ac:dyDescent="0.25">
      <c r="A127" s="10"/>
      <c r="B127" s="10"/>
      <c r="C127" s="10">
        <v>17</v>
      </c>
      <c r="D127" s="10" t="s">
        <v>95</v>
      </c>
    </row>
    <row r="128" spans="1:4" x14ac:dyDescent="0.25">
      <c r="A128" s="10"/>
      <c r="B128" s="10"/>
      <c r="C128" s="10">
        <v>18</v>
      </c>
      <c r="D128" s="10" t="s">
        <v>174</v>
      </c>
    </row>
    <row r="129" spans="1:4" x14ac:dyDescent="0.25">
      <c r="A129" s="10"/>
      <c r="B129" s="10"/>
      <c r="C129" s="10">
        <v>19</v>
      </c>
      <c r="D129" s="10" t="s">
        <v>183</v>
      </c>
    </row>
    <row r="130" spans="1:4" x14ac:dyDescent="0.25">
      <c r="A130" s="10"/>
      <c r="B130" s="10"/>
      <c r="C130" s="10">
        <v>20</v>
      </c>
      <c r="D130" s="10" t="s">
        <v>184</v>
      </c>
    </row>
    <row r="131" spans="1:4" x14ac:dyDescent="0.25">
      <c r="A131" s="10"/>
      <c r="B131" s="10"/>
      <c r="C131" s="10">
        <v>21</v>
      </c>
      <c r="D131" s="10" t="s">
        <v>185</v>
      </c>
    </row>
    <row r="132" spans="1:4" x14ac:dyDescent="0.25">
      <c r="A132" s="10"/>
      <c r="B132" s="10"/>
      <c r="C132" s="10">
        <v>22</v>
      </c>
      <c r="D132" s="10" t="s">
        <v>186</v>
      </c>
    </row>
    <row r="133" spans="1:4" x14ac:dyDescent="0.25">
      <c r="A133" s="10"/>
      <c r="B133" s="10"/>
      <c r="C133" s="10">
        <v>23</v>
      </c>
      <c r="D133" s="10" t="s">
        <v>187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5">
      <c r="A136" s="10"/>
      <c r="B136" s="10"/>
      <c r="C136" s="10">
        <v>29</v>
      </c>
      <c r="D136" s="10" t="s">
        <v>195</v>
      </c>
    </row>
    <row r="137" spans="1:4" x14ac:dyDescent="0.25">
      <c r="A137" s="10"/>
      <c r="B137" s="10"/>
      <c r="C137" s="10">
        <v>30</v>
      </c>
      <c r="D137" s="10" t="s">
        <v>196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5">
      <c r="A140" s="10"/>
      <c r="B140" s="10"/>
      <c r="C140" s="10">
        <v>32</v>
      </c>
      <c r="D140" s="10" t="s">
        <v>198</v>
      </c>
    </row>
    <row r="141" spans="1:4" x14ac:dyDescent="0.25">
      <c r="A141" s="10"/>
      <c r="B141" s="10"/>
      <c r="C141" s="10">
        <v>33</v>
      </c>
      <c r="D141" s="10" t="s">
        <v>199</v>
      </c>
    </row>
    <row r="142" spans="1:4" x14ac:dyDescent="0.25">
      <c r="A142" s="10"/>
      <c r="B142" s="10"/>
      <c r="C142" s="10">
        <v>34</v>
      </c>
      <c r="D142" s="10" t="s">
        <v>201</v>
      </c>
    </row>
    <row r="143" spans="1:4" x14ac:dyDescent="0.25">
      <c r="A143" s="10"/>
      <c r="B143" s="10"/>
      <c r="C143" s="10">
        <v>35</v>
      </c>
      <c r="D143" s="10" t="s">
        <v>202</v>
      </c>
    </row>
    <row r="144" spans="1:4" x14ac:dyDescent="0.25">
      <c r="A144" s="10"/>
      <c r="B144" s="10"/>
      <c r="C144" s="10">
        <v>36</v>
      </c>
      <c r="D144" s="10" t="s">
        <v>203</v>
      </c>
    </row>
    <row r="145" spans="1:4" x14ac:dyDescent="0.25">
      <c r="A145" s="10"/>
      <c r="B145" s="10"/>
      <c r="C145" s="10">
        <v>37</v>
      </c>
      <c r="D145" s="10" t="s">
        <v>204</v>
      </c>
    </row>
    <row r="146" spans="1:4" x14ac:dyDescent="0.25">
      <c r="A146" s="10"/>
      <c r="B146" s="10"/>
      <c r="C146" s="10">
        <v>38</v>
      </c>
      <c r="D146" s="10" t="s">
        <v>205</v>
      </c>
    </row>
    <row r="147" spans="1:4" x14ac:dyDescent="0.25">
      <c r="A147" s="10"/>
      <c r="B147" s="10"/>
      <c r="C147" s="10">
        <v>39</v>
      </c>
      <c r="D147" s="10" t="s">
        <v>207</v>
      </c>
    </row>
    <row r="148" spans="1:4" x14ac:dyDescent="0.25">
      <c r="A148" s="10"/>
      <c r="B148" s="10"/>
      <c r="C148" s="10">
        <v>40</v>
      </c>
      <c r="D148" s="10" t="s">
        <v>208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5">
      <c r="A151" s="10"/>
      <c r="B151" s="10"/>
      <c r="C151" s="10">
        <v>42</v>
      </c>
      <c r="D151" s="10" t="s">
        <v>209</v>
      </c>
    </row>
    <row r="152" spans="1:4" x14ac:dyDescent="0.25">
      <c r="A152" s="10"/>
      <c r="B152" s="10"/>
      <c r="C152" s="10">
        <v>43</v>
      </c>
      <c r="D152" s="10" t="s">
        <v>210</v>
      </c>
    </row>
    <row r="153" spans="1:4" x14ac:dyDescent="0.25">
      <c r="A153" s="10"/>
      <c r="B153" s="10"/>
      <c r="C153" s="10">
        <v>44</v>
      </c>
      <c r="D153" s="10" t="s">
        <v>98</v>
      </c>
    </row>
    <row r="154" spans="1:4" x14ac:dyDescent="0.25">
      <c r="A154" s="10"/>
      <c r="B154" s="10"/>
      <c r="C154" s="10">
        <v>45</v>
      </c>
      <c r="D154" s="10" t="s">
        <v>212</v>
      </c>
    </row>
    <row r="155" spans="1:4" x14ac:dyDescent="0.25">
      <c r="A155" s="10"/>
      <c r="B155" s="10"/>
      <c r="C155" s="10">
        <v>46</v>
      </c>
      <c r="D155" s="10" t="s">
        <v>213</v>
      </c>
    </row>
    <row r="156" spans="1:4" x14ac:dyDescent="0.25">
      <c r="A156" s="10"/>
      <c r="B156" s="10"/>
      <c r="C156" s="10">
        <v>47</v>
      </c>
      <c r="D156" s="10" t="s">
        <v>131</v>
      </c>
    </row>
    <row r="157" spans="1:4" x14ac:dyDescent="0.25">
      <c r="A157" s="10"/>
      <c r="B157" s="10"/>
      <c r="C157" s="10">
        <v>48</v>
      </c>
      <c r="D157" s="10" t="s">
        <v>215</v>
      </c>
    </row>
    <row r="158" spans="1:4" x14ac:dyDescent="0.25">
      <c r="A158" s="10"/>
      <c r="B158" s="10"/>
      <c r="C158" s="10">
        <v>49</v>
      </c>
      <c r="D158" s="10" t="s">
        <v>216</v>
      </c>
    </row>
    <row r="159" spans="1:4" x14ac:dyDescent="0.25">
      <c r="A159" s="10"/>
      <c r="B159" s="10"/>
      <c r="C159" s="10">
        <v>50</v>
      </c>
      <c r="D159" s="10" t="s">
        <v>217</v>
      </c>
    </row>
    <row r="160" spans="1:4" x14ac:dyDescent="0.25">
      <c r="A160" s="10"/>
      <c r="B160" s="10"/>
      <c r="C160" s="10">
        <v>51</v>
      </c>
      <c r="D160" s="10" t="s">
        <v>219</v>
      </c>
    </row>
    <row r="161" spans="1:4" x14ac:dyDescent="0.25">
      <c r="A161" s="10"/>
      <c r="B161" s="10"/>
      <c r="C161" s="10">
        <v>52</v>
      </c>
      <c r="D161" s="10" t="s">
        <v>220</v>
      </c>
    </row>
    <row r="162" spans="1:4" x14ac:dyDescent="0.25">
      <c r="A162" s="10"/>
      <c r="B162" s="10"/>
      <c r="C162" s="10">
        <v>53</v>
      </c>
      <c r="D162" s="10" t="s">
        <v>221</v>
      </c>
    </row>
    <row r="163" spans="1:4" x14ac:dyDescent="0.25">
      <c r="A163" s="10"/>
      <c r="B163" s="10"/>
      <c r="C163" s="10">
        <v>54</v>
      </c>
      <c r="D163" s="10" t="s">
        <v>222</v>
      </c>
    </row>
    <row r="164" spans="1:4" x14ac:dyDescent="0.25">
      <c r="A164" s="10"/>
      <c r="B164" s="10"/>
      <c r="C164" s="10">
        <v>55</v>
      </c>
      <c r="D164" s="10" t="s">
        <v>223</v>
      </c>
    </row>
    <row r="165" spans="1:4" x14ac:dyDescent="0.25">
      <c r="A165" s="10"/>
      <c r="B165" s="10"/>
      <c r="C165" s="10">
        <v>56</v>
      </c>
      <c r="D165" s="10" t="s">
        <v>224</v>
      </c>
    </row>
    <row r="166" spans="1:4" x14ac:dyDescent="0.25">
      <c r="A166" s="10"/>
      <c r="B166" s="10"/>
      <c r="C166" s="10">
        <v>57</v>
      </c>
      <c r="D166" s="10" t="s">
        <v>225</v>
      </c>
    </row>
    <row r="167" spans="1:4" x14ac:dyDescent="0.25">
      <c r="A167" s="10"/>
      <c r="B167" s="10"/>
      <c r="C167" s="10">
        <v>58</v>
      </c>
      <c r="D167" s="10" t="s">
        <v>227</v>
      </c>
    </row>
    <row r="168" spans="1:4" x14ac:dyDescent="0.25">
      <c r="A168" s="10"/>
      <c r="B168" s="10"/>
      <c r="C168" s="10">
        <v>59</v>
      </c>
      <c r="D168" s="10" t="s">
        <v>132</v>
      </c>
    </row>
    <row r="169" spans="1:4" x14ac:dyDescent="0.25">
      <c r="A169" s="10"/>
      <c r="B169" s="10"/>
      <c r="C169" s="10">
        <v>60</v>
      </c>
      <c r="D169" s="10" t="s">
        <v>228</v>
      </c>
    </row>
    <row r="170" spans="1:4" x14ac:dyDescent="0.25">
      <c r="A170" s="10"/>
      <c r="B170" s="10"/>
      <c r="C170" s="10">
        <v>61</v>
      </c>
      <c r="D170" s="10" t="s">
        <v>229</v>
      </c>
    </row>
    <row r="171" spans="1:4" x14ac:dyDescent="0.25">
      <c r="A171" s="10"/>
      <c r="B171" s="10"/>
      <c r="C171" s="10">
        <v>62</v>
      </c>
      <c r="D171" s="10" t="s">
        <v>230</v>
      </c>
    </row>
    <row r="172" spans="1:4" x14ac:dyDescent="0.25">
      <c r="A172" s="10"/>
      <c r="B172" s="10"/>
      <c r="C172" s="10">
        <v>63</v>
      </c>
      <c r="D172" s="10" t="s">
        <v>231</v>
      </c>
    </row>
    <row r="173" spans="1:4" x14ac:dyDescent="0.25">
      <c r="A173" s="10"/>
      <c r="B173" s="10"/>
      <c r="C173" s="10">
        <v>69</v>
      </c>
      <c r="D173" s="10" t="s">
        <v>237</v>
      </c>
    </row>
    <row r="174" spans="1:4" x14ac:dyDescent="0.25">
      <c r="A174" s="10"/>
      <c r="B174" s="10"/>
      <c r="C174" s="10">
        <v>70</v>
      </c>
      <c r="D174" s="10" t="s">
        <v>238</v>
      </c>
    </row>
    <row r="175" spans="1:4" x14ac:dyDescent="0.25">
      <c r="A175" s="10"/>
      <c r="B175" s="10"/>
      <c r="C175" s="10">
        <v>71</v>
      </c>
      <c r="D175" s="10" t="s">
        <v>239</v>
      </c>
    </row>
    <row r="176" spans="1:4" x14ac:dyDescent="0.25">
      <c r="A176" s="10"/>
      <c r="B176" s="10"/>
      <c r="C176" s="10">
        <v>72</v>
      </c>
      <c r="D176" s="10" t="s">
        <v>240</v>
      </c>
    </row>
    <row r="177" spans="1:6" x14ac:dyDescent="0.25">
      <c r="A177" s="10"/>
      <c r="B177" s="10"/>
      <c r="C177" s="10">
        <v>73</v>
      </c>
      <c r="D177" s="10" t="s">
        <v>133</v>
      </c>
    </row>
    <row r="178" spans="1:6" x14ac:dyDescent="0.25">
      <c r="A178" s="10"/>
      <c r="B178" s="10"/>
      <c r="C178" s="10">
        <v>74</v>
      </c>
      <c r="D178" s="10" t="s">
        <v>242</v>
      </c>
    </row>
    <row r="179" spans="1:6" x14ac:dyDescent="0.25">
      <c r="A179" s="10"/>
      <c r="B179" s="10"/>
      <c r="C179" s="10">
        <v>75</v>
      </c>
      <c r="D179" s="10" t="s">
        <v>243</v>
      </c>
    </row>
    <row r="180" spans="1:6" x14ac:dyDescent="0.25">
      <c r="A180" s="10"/>
      <c r="B180" s="10"/>
      <c r="C180" s="10"/>
      <c r="D180" s="10"/>
    </row>
    <row r="181" spans="1:6" x14ac:dyDescent="0.25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5">
      <c r="A182" s="10"/>
      <c r="B182" s="10"/>
      <c r="C182" s="10">
        <v>65</v>
      </c>
      <c r="D182" s="10" t="s">
        <v>72</v>
      </c>
    </row>
    <row r="183" spans="1:6" x14ac:dyDescent="0.25">
      <c r="A183" s="10"/>
      <c r="B183" s="10"/>
      <c r="C183" s="10">
        <v>66</v>
      </c>
      <c r="D183" s="10" t="s">
        <v>234</v>
      </c>
    </row>
    <row r="184" spans="1:6" x14ac:dyDescent="0.25">
      <c r="A184" s="10"/>
      <c r="B184" s="10"/>
      <c r="C184" s="10">
        <v>67</v>
      </c>
      <c r="D184" s="10" t="s">
        <v>235</v>
      </c>
    </row>
    <row r="185" spans="1:6" x14ac:dyDescent="0.25">
      <c r="A185" s="10"/>
      <c r="B185" s="10"/>
      <c r="C185" s="10">
        <v>68</v>
      </c>
      <c r="D185" s="10" t="s">
        <v>236</v>
      </c>
    </row>
    <row r="186" spans="1:6" x14ac:dyDescent="0.25">
      <c r="A186"/>
      <c r="B186"/>
      <c r="C186" s="89"/>
      <c r="D186"/>
    </row>
    <row r="187" spans="1:6" ht="13" x14ac:dyDescent="0.3">
      <c r="A187" s="17" t="s">
        <v>429</v>
      </c>
      <c r="B187"/>
      <c r="C187" s="89"/>
      <c r="D187"/>
    </row>
    <row r="188" spans="1:6" x14ac:dyDescent="0.25">
      <c r="A188"/>
      <c r="B188"/>
    </row>
    <row r="189" spans="1:6" x14ac:dyDescent="0.25">
      <c r="A189"/>
      <c r="B189" s="126" t="s">
        <v>356</v>
      </c>
      <c r="C189" s="126"/>
      <c r="D189" s="126" t="s">
        <v>354</v>
      </c>
    </row>
    <row r="190" spans="1:6" x14ac:dyDescent="0.25">
      <c r="A190"/>
      <c r="B190"/>
      <c r="C190" s="126"/>
      <c r="D190" s="126"/>
      <c r="E190" s="126"/>
      <c r="F190" s="126"/>
    </row>
    <row r="191" spans="1:6" x14ac:dyDescent="0.25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5">
      <c r="A192"/>
      <c r="B192"/>
      <c r="C192" s="126">
        <v>2</v>
      </c>
      <c r="D192" s="126" t="s">
        <v>94</v>
      </c>
      <c r="E192" s="126"/>
      <c r="F192" s="126"/>
    </row>
    <row r="193" spans="1:6" x14ac:dyDescent="0.25">
      <c r="A193"/>
      <c r="B193"/>
      <c r="C193" s="126">
        <v>6</v>
      </c>
      <c r="D193" s="126" t="s">
        <v>188</v>
      </c>
    </row>
    <row r="194" spans="1:6" x14ac:dyDescent="0.25">
      <c r="A194"/>
      <c r="B194"/>
      <c r="C194" s="126">
        <v>7</v>
      </c>
      <c r="D194" s="126" t="s">
        <v>190</v>
      </c>
      <c r="E194" s="126"/>
      <c r="F194" s="126"/>
    </row>
    <row r="195" spans="1:6" x14ac:dyDescent="0.25">
      <c r="A195"/>
      <c r="B195"/>
      <c r="C195" s="89"/>
      <c r="D195"/>
      <c r="E195" s="126"/>
      <c r="F195" s="126"/>
    </row>
    <row r="196" spans="1:6" x14ac:dyDescent="0.25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5">
      <c r="A197"/>
      <c r="B197"/>
      <c r="C197" s="126">
        <v>4</v>
      </c>
      <c r="D197" s="126" t="s">
        <v>69</v>
      </c>
      <c r="E197" s="126"/>
      <c r="F197" s="126"/>
    </row>
    <row r="198" spans="1:6" x14ac:dyDescent="0.25">
      <c r="A198"/>
      <c r="B198"/>
      <c r="C198" s="126">
        <v>5</v>
      </c>
      <c r="D198" s="126" t="s">
        <v>96</v>
      </c>
      <c r="E198" s="126"/>
      <c r="F198" s="126"/>
    </row>
    <row r="199" spans="1:6" x14ac:dyDescent="0.25">
      <c r="A199"/>
      <c r="B199"/>
      <c r="C199" s="89"/>
      <c r="D199"/>
      <c r="E199" s="126"/>
      <c r="F199" s="126"/>
    </row>
    <row r="200" spans="1:6" x14ac:dyDescent="0.25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5">
      <c r="A201"/>
      <c r="B201"/>
      <c r="C201" s="89"/>
      <c r="D201"/>
      <c r="E201" s="126"/>
      <c r="F201" s="126"/>
    </row>
    <row r="202" spans="1:6" x14ac:dyDescent="0.25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5">
      <c r="A203"/>
      <c r="B203"/>
      <c r="C203" s="126">
        <v>10</v>
      </c>
      <c r="D203" s="126" t="s">
        <v>200</v>
      </c>
      <c r="E203" s="126"/>
      <c r="F203" s="126"/>
    </row>
    <row r="204" spans="1:6" x14ac:dyDescent="0.25">
      <c r="A204"/>
      <c r="B204"/>
      <c r="C204" s="126">
        <v>11</v>
      </c>
      <c r="D204" s="126" t="s">
        <v>206</v>
      </c>
      <c r="E204" s="126"/>
      <c r="F204" s="126"/>
    </row>
    <row r="205" spans="1:6" x14ac:dyDescent="0.25">
      <c r="A205"/>
      <c r="B205"/>
      <c r="C205" s="89"/>
      <c r="D205"/>
      <c r="E205" s="126"/>
      <c r="F205" s="126"/>
    </row>
    <row r="206" spans="1:6" x14ac:dyDescent="0.25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5">
      <c r="A207"/>
      <c r="B207"/>
      <c r="C207" s="126">
        <v>13</v>
      </c>
      <c r="D207" s="126" t="s">
        <v>211</v>
      </c>
      <c r="E207" s="126"/>
      <c r="F207" s="126"/>
    </row>
    <row r="208" spans="1:6" x14ac:dyDescent="0.25">
      <c r="A208"/>
      <c r="B208"/>
      <c r="C208" s="126">
        <v>14</v>
      </c>
      <c r="D208" s="126" t="s">
        <v>214</v>
      </c>
      <c r="E208" s="126"/>
      <c r="F208" s="126"/>
    </row>
    <row r="209" spans="1:6" x14ac:dyDescent="0.25">
      <c r="A209"/>
      <c r="B209"/>
      <c r="C209" s="126">
        <v>15</v>
      </c>
      <c r="D209" s="126" t="s">
        <v>217</v>
      </c>
      <c r="E209" s="126"/>
      <c r="F209" s="126"/>
    </row>
    <row r="210" spans="1:6" x14ac:dyDescent="0.25">
      <c r="A210"/>
      <c r="B210"/>
      <c r="C210" s="126">
        <v>16</v>
      </c>
      <c r="D210" s="126" t="s">
        <v>218</v>
      </c>
      <c r="E210" s="126"/>
      <c r="F210" s="126"/>
    </row>
    <row r="211" spans="1:6" x14ac:dyDescent="0.25">
      <c r="A211"/>
      <c r="B211"/>
      <c r="C211" s="126">
        <v>17</v>
      </c>
      <c r="D211" s="126" t="s">
        <v>226</v>
      </c>
      <c r="E211" s="126"/>
      <c r="F211" s="126"/>
    </row>
    <row r="212" spans="1:6" x14ac:dyDescent="0.25">
      <c r="A212"/>
      <c r="B212"/>
      <c r="C212" s="126">
        <v>21</v>
      </c>
      <c r="D212" s="126" t="s">
        <v>99</v>
      </c>
      <c r="E212" s="126"/>
      <c r="F212" s="126"/>
    </row>
    <row r="213" spans="1:6" x14ac:dyDescent="0.25">
      <c r="A213"/>
      <c r="B213"/>
      <c r="C213" s="126">
        <v>22</v>
      </c>
      <c r="D213" s="126" t="s">
        <v>241</v>
      </c>
      <c r="E213" s="126"/>
      <c r="F213" s="126"/>
    </row>
    <row r="214" spans="1:6" x14ac:dyDescent="0.25">
      <c r="A214"/>
      <c r="B214"/>
      <c r="C214" s="126"/>
      <c r="D214" s="126"/>
      <c r="E214" s="126"/>
      <c r="F214" s="126"/>
    </row>
    <row r="215" spans="1:6" x14ac:dyDescent="0.25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5">
      <c r="A216"/>
      <c r="B216"/>
      <c r="C216" s="126">
        <v>19</v>
      </c>
      <c r="D216" s="126" t="s">
        <v>72</v>
      </c>
      <c r="E216" s="126"/>
      <c r="F216" s="126"/>
    </row>
    <row r="217" spans="1:6" x14ac:dyDescent="0.25">
      <c r="A217"/>
      <c r="B217"/>
      <c r="C217" s="126">
        <v>20</v>
      </c>
      <c r="D217" s="126" t="s">
        <v>73</v>
      </c>
    </row>
    <row r="218" spans="1:6" x14ac:dyDescent="0.25">
      <c r="A218"/>
      <c r="B218"/>
      <c r="C218" s="126"/>
      <c r="D218" s="126"/>
      <c r="E218" s="126"/>
      <c r="F218" s="126"/>
    </row>
    <row r="219" spans="1:6" x14ac:dyDescent="0.25">
      <c r="A219"/>
      <c r="B219"/>
      <c r="C219" s="89"/>
      <c r="D219"/>
      <c r="E219" s="126"/>
      <c r="F219" s="126"/>
    </row>
    <row r="220" spans="1:6" ht="13" x14ac:dyDescent="0.3">
      <c r="A220" s="15" t="s">
        <v>502</v>
      </c>
      <c r="B220" s="89"/>
      <c r="C220" s="126"/>
      <c r="D220" s="126"/>
      <c r="E220" s="126"/>
      <c r="F220" s="126"/>
    </row>
    <row r="221" spans="1:6" x14ac:dyDescent="0.25">
      <c r="A221" s="89" t="s">
        <v>11</v>
      </c>
      <c r="B221" s="89"/>
      <c r="C221" s="126"/>
      <c r="D221" s="126"/>
    </row>
    <row r="222" spans="1:6" x14ac:dyDescent="0.25">
      <c r="A222" s="89" t="s">
        <v>11</v>
      </c>
      <c r="B222" s="89"/>
      <c r="C222" s="126"/>
      <c r="D222" s="126"/>
      <c r="E222" s="126"/>
      <c r="F222" s="126"/>
    </row>
    <row r="223" spans="1:6" x14ac:dyDescent="0.25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5">
      <c r="A224" s="89" t="s">
        <v>11</v>
      </c>
      <c r="B224" s="89"/>
      <c r="C224" s="89"/>
      <c r="D224" s="89"/>
      <c r="E224" s="126"/>
      <c r="F224" s="126"/>
    </row>
    <row r="225" spans="1:6" x14ac:dyDescent="0.25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5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5">
      <c r="A227" s="89"/>
      <c r="B227" s="89"/>
      <c r="C227" s="89"/>
      <c r="D227" s="126"/>
    </row>
    <row r="228" spans="1:6" x14ac:dyDescent="0.25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5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5">
      <c r="A230" s="89"/>
      <c r="B230" s="89"/>
      <c r="C230" s="89">
        <v>5</v>
      </c>
      <c r="D230" s="126" t="s">
        <v>475</v>
      </c>
    </row>
    <row r="231" spans="1:6" x14ac:dyDescent="0.25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5">
      <c r="A232" s="89"/>
      <c r="B232" s="126"/>
      <c r="C232" s="89"/>
      <c r="D232" s="126"/>
      <c r="E232" s="126"/>
      <c r="F232" s="126"/>
    </row>
    <row r="233" spans="1:6" x14ac:dyDescent="0.25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5">
      <c r="A234" s="89"/>
      <c r="B234" s="89"/>
      <c r="C234" s="89">
        <v>8</v>
      </c>
      <c r="D234" s="126" t="s">
        <v>478</v>
      </c>
    </row>
    <row r="235" spans="1:6" x14ac:dyDescent="0.25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5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5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5">
      <c r="A238" s="89"/>
      <c r="B238" s="89"/>
      <c r="C238" s="89"/>
      <c r="D238" s="126"/>
    </row>
    <row r="239" spans="1:6" x14ac:dyDescent="0.25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5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5">
      <c r="A241" s="89"/>
      <c r="B241" s="89"/>
      <c r="C241" s="89"/>
      <c r="D241"/>
      <c r="E241" s="126"/>
      <c r="F241" s="126"/>
    </row>
    <row r="242" spans="1:6" x14ac:dyDescent="0.25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5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5">
      <c r="A244" s="89"/>
      <c r="B244" s="89"/>
      <c r="C244" s="89">
        <v>16</v>
      </c>
      <c r="D244" s="126" t="s">
        <v>486</v>
      </c>
    </row>
    <row r="245" spans="1:6" x14ac:dyDescent="0.25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5">
      <c r="A246" s="89"/>
      <c r="B246" s="89"/>
      <c r="C246" s="89"/>
      <c r="D246"/>
      <c r="E246" s="126"/>
      <c r="F246" s="126"/>
    </row>
    <row r="247" spans="1:6" x14ac:dyDescent="0.25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5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5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5">
      <c r="A250" s="89"/>
      <c r="B250" s="89"/>
      <c r="C250" s="89"/>
      <c r="D250" s="89"/>
      <c r="E250" s="126"/>
      <c r="F250" s="126"/>
    </row>
    <row r="251" spans="1:6" x14ac:dyDescent="0.25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5">
      <c r="A252" s="89"/>
      <c r="B252" s="89"/>
      <c r="C252" s="89">
        <v>22</v>
      </c>
      <c r="D252" s="126" t="s">
        <v>492</v>
      </c>
    </row>
    <row r="253" spans="1:6" x14ac:dyDescent="0.25">
      <c r="A253" s="89"/>
      <c r="B253" s="89"/>
      <c r="C253" s="89"/>
      <c r="D253" s="126"/>
      <c r="E253" s="126"/>
      <c r="F253" s="126"/>
    </row>
    <row r="254" spans="1:6" x14ac:dyDescent="0.25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5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5">
      <c r="A256" s="89"/>
      <c r="B256" s="89"/>
      <c r="C256" s="89"/>
      <c r="D256" s="89"/>
      <c r="E256" s="126"/>
      <c r="F256" s="126"/>
    </row>
    <row r="257" spans="1:6" x14ac:dyDescent="0.25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5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5">
      <c r="A259" s="89"/>
      <c r="B259"/>
      <c r="C259" s="89"/>
      <c r="D259"/>
      <c r="E259" s="126"/>
      <c r="F259" s="126"/>
    </row>
    <row r="260" spans="1:6" ht="13" x14ac:dyDescent="0.3">
      <c r="A260" s="15" t="s">
        <v>358</v>
      </c>
      <c r="B260" s="89"/>
      <c r="C260" s="89"/>
      <c r="D260"/>
    </row>
    <row r="261" spans="1:6" x14ac:dyDescent="0.25">
      <c r="A261" s="89"/>
      <c r="B261" s="89"/>
      <c r="C261" s="89"/>
      <c r="D261"/>
    </row>
    <row r="262" spans="1:6" x14ac:dyDescent="0.25">
      <c r="B262" s="89" t="s">
        <v>360</v>
      </c>
      <c r="D262" s="89" t="s">
        <v>359</v>
      </c>
    </row>
    <row r="264" spans="1:6" x14ac:dyDescent="0.25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5">
      <c r="C265" s="14">
        <v>2</v>
      </c>
      <c r="D265" s="126" t="s">
        <v>445</v>
      </c>
      <c r="E265" s="126"/>
      <c r="F265" s="126"/>
    </row>
    <row r="266" spans="1:6" x14ac:dyDescent="0.25">
      <c r="E266" s="126"/>
      <c r="F266" s="126"/>
    </row>
    <row r="267" spans="1:6" x14ac:dyDescent="0.25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5">
      <c r="C268" s="14">
        <v>4</v>
      </c>
      <c r="D268" s="126" t="s">
        <v>449</v>
      </c>
    </row>
    <row r="269" spans="1:6" x14ac:dyDescent="0.25">
      <c r="C269" s="14">
        <v>5</v>
      </c>
      <c r="D269" s="126" t="s">
        <v>451</v>
      </c>
    </row>
    <row r="271" spans="1:6" x14ac:dyDescent="0.25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5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5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5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751B6-954D-4846-AC2B-B5B2F5B74663}">
  <ds:schemaRefs>
    <ds:schemaRef ds:uri="http://purl.org/dc/elements/1.1/"/>
    <ds:schemaRef ds:uri="http://schemas.microsoft.com/office/2006/documentManagement/typ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8c566321-f672-4e06-a901-b5e72b4c4357"/>
    <ds:schemaRef ds:uri="22f0be0a-36a8-4d1a-945f-e8a2e9519595"/>
    <ds:schemaRef ds:uri="591b7eeb-5105-4999-94f6-a746eb4c6310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99AF37C-861A-454A-9AEF-CCFDF5B0E9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3E3C09-7438-4842-A4F2-CA7D1807F3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JAMES, Paul</cp:lastModifiedBy>
  <cp:lastPrinted>2022-11-08T11:16:28Z</cp:lastPrinted>
  <dcterms:created xsi:type="dcterms:W3CDTF">2006-08-30T09:48:05Z</dcterms:created>
  <dcterms:modified xsi:type="dcterms:W3CDTF">2023-03-14T08:50:40Z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  <property fmtid="{D5CDD505-2E9C-101B-9397-08002B2CF9AE}" pid="3" name="MediaServiceImageTags">
    <vt:lpwstr/>
  </property>
</Properties>
</file>