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Sub-regional/Main tables/LEPs/"/>
    </mc:Choice>
  </mc:AlternateContent>
  <xr:revisionPtr revIDLastSave="0" documentId="13_ncr:1_{E0D66016-226C-4426-B0A1-E24E8F385972}" xr6:coauthVersionLast="47" xr6:coauthVersionMax="47" xr10:uidLastSave="{00000000-0000-0000-0000-000000000000}"/>
  <bookViews>
    <workbookView xWindow="-110" yWindow="-110" windowWidth="22780" windowHeight="14540" tabRatio="880" firstSheet="1" activeTab="5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J30" i="109"/>
  <c r="AI30" i="109"/>
  <c r="AH30" i="109"/>
  <c r="AU29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K36" i="109"/>
  <c r="AK32" i="109"/>
  <c r="AU54" i="109"/>
  <c r="AK30" i="109"/>
  <c r="AK29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<sst xmlns="http://schemas.openxmlformats.org/spreadsheetml/2006/main" count="2355" uniqueCount="531">
  <si>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</si>
  <si>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</si>
  <si>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</si>
  <si>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</si>
  <si>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</si>
  <si>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</si>
  <si>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</si>
  <si>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</si>
  <si>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</si>
  <si>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</si>
  <si>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</si>
  <si>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</si>
  <si>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</si>
  <si>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</si>
  <si>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</si>
  <si>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</si>
  <si>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</si>
  <si>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</si>
  <si>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</si>
  <si>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</si>
  <si>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</si>
  <si>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</si>
  <si>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</si>
  <si>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</si>
  <si>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</si>
  <si>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</si>
  <si>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</si>
  <si>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</si>
  <si>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</si>
  <si>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</si>
  <si>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</si>
  <si>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</si>
  <si>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</si>
  <si>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</si>
  <si>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</si>
  <si>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</si>
  <si>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</si>
  <si>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</si>
  <si>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</si>
  <si>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</si>
  <si>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</si>
  <si>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</si>
  <si>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</si>
  <si>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</si>
  <si>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</si>
  <si>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</si>
  <si>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</si>
  <si>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</si>
  <si>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</si>
  <si>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</si>
  <si>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</si>
  <si>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</si>
  <si>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</si>
  <si>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</si>
  <si>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</si>
  <si>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</si>
  <si>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</si>
  <si>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</si>
  <si>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</si>
  <si>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</si>
  <si>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</si>
  <si>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</si>
  <si>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</si>
  <si>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</si>
  <si>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</si>
  <si>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</si>
  <si>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</si>
  <si>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</si>
  <si>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</si>
  <si>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</si>
  <si>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</si>
  <si>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</si>
  <si>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</si>
  <si>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</si>
  <si>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</si>
  <si>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</si>
  <si>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</si>
  <si>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</si>
  <si>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</si>
  <si>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</si>
  <si>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</si>
  <si>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</si>
  <si>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</si>
  <si>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</si>
  <si>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</si>
  <si>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</si>
  <si>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</si>
  <si>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</si>
  <si>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</si>
  <si>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</si>
  <si>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</si>
  <si>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</si>
  <si>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</si>
  <si>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</si>
  <si>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</si>
  <si>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</si>
  <si>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</si>
  <si>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</si>
  <si>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</si>
  <si>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</si>
  <si>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</si>
  <si>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</si>
  <si>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</si>
  <si>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</si>
  <si>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</si>
  <si>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</si>
  <si>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</si>
  <si>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</si>
  <si>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</si>
  <si>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</si>
  <si>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</si>
  <si>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</si>
  <si>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</si>
  <si>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</si>
  <si>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</si>
  <si>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</si>
  <si>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</si>
  <si>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</si>
  <si>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</si>
  <si>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</si>
  <si>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</si>
  <si>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</si>
  <si>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</si>
  <si>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</si>
  <si>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</si>
  <si>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</si>
  <si>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</si>
  <si>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</si>
  <si>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</si>
  <si>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</si>
  <si>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</si>
  <si>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</si>
  <si>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</si>
  <si>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</si>
  <si>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</si>
  <si>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</si>
  <si>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</si>
  <si>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</si>
  <si>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</si>
  <si>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</si>
  <si>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</si>
  <si>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</si>
  <si>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</si>
  <si>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</si>
  <si>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</si>
  <si>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</si>
  <si>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</si>
  <si>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</si>
  <si>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</si>
  <si>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</si>
  <si>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</si>
  <si>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</si>
  <si>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</si>
  <si>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</si>
  <si>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</si>
  <si>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</si>
  <si>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</si>
  <si>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</si>
  <si>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</si>
  <si>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</si>
  <si>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</si>
  <si>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</si>
  <si>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</si>
  <si>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</si>
  <si>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</si>
  <si>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</si>
  <si>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</si>
  <si>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</si>
  <si>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</si>
  <si>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</si>
  <si>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</si>
  <si>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</si>
  <si>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</si>
  <si>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</si>
  <si>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</si>
  <si>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</si>
  <si>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</si>
  <si>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</si>
  <si>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</si>
  <si>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</si>
  <si>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</si>
  <si>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</si>
  <si>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</si>
  <si>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</si>
  <si>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</si>
  <si>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</si>
  <si>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</si>
  <si>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</si>
  <si>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</si>
  <si>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</si>
  <si>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</si>
  <si>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</si>
  <si>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</si>
  <si>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</si>
  <si>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</si>
  <si>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</si>
  <si>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</si>
  <si>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</si>
  <si>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</si>
  <si>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</si>
  <si>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</si>
  <si>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</si>
  <si>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</si>
  <si>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</si>
  <si>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</si>
  <si>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</si>
  <si>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</si>
  <si>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</si>
  <si>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</si>
  <si>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</si>
  <si>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</si>
  <si>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</si>
  <si>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</si>
  <si>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</si>
  <si>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</si>
  <si>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</si>
  <si>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</si>
  <si>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</si>
  <si>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</si>
  <si>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</si>
  <si>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</si>
  <si>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</si>
  <si>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</si>
  <si>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</si>
  <si>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</si>
  <si>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</si>
  <si>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</si>
  <si>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</si>
  <si>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</si>
  <si>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</si>
  <si>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</si>
  <si>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</si>
  <si>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</si>
  <si>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</si>
  <si>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</si>
  <si>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</si>
  <si>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</si>
  <si>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</si>
  <si>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</si>
  <si>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</si>
  <si>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</si>
  <si>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</si>
  <si>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</si>
  <si>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</si>
  <si>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</si>
  <si>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</si>
  <si>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</si>
  <si>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</si>
  <si>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</si>
  <si>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</si>
  <si>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</si>
  <si>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</si>
  <si>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</si>
  <si>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</si>
  <si>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</si>
  <si>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</si>
  <si>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</si>
  <si>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</si>
  <si>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</si>
  <si>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</si>
  <si>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</si>
  <si>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</si>
  <si>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</si>
  <si>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</si>
  <si>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</si>
  <si>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</si>
  <si>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</si>
  <si>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</si>
  <si>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</si>
  <si>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</si>
  <si>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</si>
  <si>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</si>
  <si>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</si>
  <si>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</si>
  <si>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</si>
  <si>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</si>
  <si>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</si>
  <si>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</si>
  <si>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</si>
  <si>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</si>
  <si>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</si>
  <si>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</si>
  <si>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</si>
  <si>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</si>
  <si>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</si>
  <si>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</si>
  <si>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</si>
  <si>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</si>
  <si>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</si>
  <si>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</si>
  <si>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</si>
  <si>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</si>
  <si>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</si>
  <si>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</si>
  <si>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</si>
  <si>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</si>
  <si>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</si>
  <si>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</si>
  <si>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</si>
  <si>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</si>
  <si>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</si>
  <si>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</si>
  <si>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</si>
  <si>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</si>
  <si>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</si>
  <si>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</si>
  <si>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</si>
  <si>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</si>
  <si>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</si>
  <si>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</si>
  <si>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</si>
  <si>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</si>
  <si>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</si>
  <si>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</si>
  <si>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</si>
  <si>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</si>
  <si>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</si>
  <si>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</si>
  <si>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</si>
  <si>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</si>
  <si>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</si>
  <si>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</si>
  <si>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</si>
  <si>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</si>
  <si>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</si>
  <si>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</si>
  <si>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</si>
  <si>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</si>
  <si>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</si>
  <si>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</si>
  <si>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</si>
  <si>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</si>
  <si>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</si>
  <si>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</si>
  <si>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</si>
  <si>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</si>
  <si>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</si>
  <si>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</si>
  <si>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</si>
  <si>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</si>
  <si>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</si>
  <si>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</si>
  <si>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</si>
  <si>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</si>
  <si>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</si>
  <si>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</si>
  <si>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</si>
  <si>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</si>
  <si>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</si>
  <si>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</si>
  <si>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</si>
  <si>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</si>
  <si>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</si>
  <si>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</si>
  <si>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</si>
  <si>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</si>
  <si>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</si>
  <si>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</si>
  <si>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</si>
  <si>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</si>
  <si>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</si>
  <si>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</si>
  <si>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</si>
  <si>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</si>
  <si>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</si>
  <si>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</si>
  <si>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</si>
  <si>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</si>
  <si>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</si>
  <si>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</si>
  <si>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</si>
  <si>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</si>
  <si>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</si>
  <si>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</si>
  <si>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</si>
  <si>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</si>
  <si>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</si>
  <si>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</si>
  <si>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</si>
  <si>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</si>
  <si>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</si>
  <si>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</si>
  <si>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</si>
  <si>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</si>
  <si>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</si>
  <si>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</si>
  <si>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</si>
  <si>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</si>
  <si>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</si>
  <si>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</si>
  <si>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</si>
  <si>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</si>
  <si>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</si>
  <si>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</si>
  <si>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</si>
  <si>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</si>
  <si>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</si>
  <si>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</si>
  <si>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</si>
  <si>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</si>
  <si>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</si>
  <si>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</si>
  <si>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</si>
  <si>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</si>
  <si>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</si>
  <si>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</si>
  <si>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</si>
  <si>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</si>
  <si>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</si>
  <si>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</si>
  <si>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</si>
  <si>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</si>
  <si>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</si>
  <si>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</si>
  <si>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</si>
  <si>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</si>
  <si>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</si>
  <si>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</si>
  <si>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</si>
  <si>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</si>
  <si>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</si>
  <si>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</si>
  <si>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</si>
  <si>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</si>
  <si>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</si>
  <si>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</si>
  <si>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</si>
  <si>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</si>
  <si>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</si>
  <si>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</si>
  <si>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</si>
  <si>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</si>
  <si>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</si>
  <si>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</si>
  <si>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</si>
  <si>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</si>
  <si>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</si>
  <si>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</si>
  <si>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</si>
  <si>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</si>
  <si>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</si>
  <si>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</si>
  <si>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</si>
  <si>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</si>
  <si>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</si>
  <si>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</si>
  <si>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</si>
  <si>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</si>
  <si>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</si>
  <si>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</si>
  <si>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</si>
  <si>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</si>
  <si>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</si>
  <si>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</si>
  <si>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</si>
  <si>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</si>
  <si>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</si>
  <si>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</si>
  <si>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</si>
  <si>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</si>
  <si>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</si>
  <si>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</si>
  <si>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</si>
  <si>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</si>
  <si>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</si>
  <si>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</si>
  <si>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</si>
  <si>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</si>
  <si>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</si>
  <si>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</si>
  <si>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</si>
  <si>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</si>
  <si>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</si>
  <si>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</si>
  <si>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</si>
  <si>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</si>
  <si>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</si>
  <si>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</si>
  <si>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</si>
  <si>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</si>
  <si>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</si>
  <si>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</si>
  <si>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</si>
  <si>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</si>
  <si>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</si>
  <si>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</si>
  <si>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</si>
  <si>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</si>
  <si>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</si>
  <si>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</si>
  <si>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</si>
  <si>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</si>
  <si>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</si>
  <si>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</si>
  <si>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</si>
  <si>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</si>
  <si>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</si>
  <si>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</si>
  <si>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</si>
  <si>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</si>
  <si>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</si>
  <si>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</si>
  <si>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</si>
  <si>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</si>
  <si>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</si>
  <si>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</si>
  <si>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1. Black Country</t>
  </si>
  <si>
    <t>Nuffield - Rev 13547</t>
  </si>
  <si>
    <t>Date database created</t>
  </si>
  <si>
    <t>Black Country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</si>
  <si>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</si>
  <si>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</si>
  <si>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</si>
  <si>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</si>
  <si>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</si>
  <si>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</si>
  <si>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</si>
  <si>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</si>
  <si>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</si>
  <si>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</si>
  <si>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</si>
  <si>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</si>
  <si>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</si>
  <si>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</si>
  <si>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</si>
  <si>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</si>
  <si>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</si>
  <si>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</si>
  <si>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automation/Data/Results/Workbooks/LEPs/BC_LEP/BC_LEP_Database.Main.xlsx</t>
  </si>
  <si>
    <t>28-02-2024 09:50:27</t>
  </si>
  <si>
    <t>29 02 2024 03:47:48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</si>
</sst>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-0.37337526450476055</c:v>
                </c:pt>
                <c:pt idx="2">
                  <c:v>3.3504114333352764</c:v>
                </c:pt>
                <c:pt idx="3">
                  <c:v>0.11266705941839206</c:v>
                </c:pt>
                <c:pt idx="4">
                  <c:v>-0.91907005465534652</c:v>
                </c:pt>
                <c:pt idx="5">
                  <c:v>1.6590222007271782</c:v>
                </c:pt>
                <c:pt idx="7">
                  <c:v>-4.6461918152840065</c:v>
                </c:pt>
                <c:pt idx="8">
                  <c:v>1.3439505911638783E-2</c:v>
                </c:pt>
                <c:pt idx="9">
                  <c:v>-4.3794892507493248</c:v>
                </c:pt>
                <c:pt idx="10">
                  <c:v>-2.8612738674500982</c:v>
                </c:pt>
                <c:pt idx="11">
                  <c:v>5.8041699319459461</c:v>
                </c:pt>
                <c:pt idx="12">
                  <c:v>0.43075771892968628</c:v>
                </c:pt>
                <c:pt idx="13">
                  <c:v>1.0043982331081835</c:v>
                </c:pt>
                <c:pt idx="14">
                  <c:v>4.317919695720529</c:v>
                </c:pt>
                <c:pt idx="15">
                  <c:v>-2.0137012202789295</c:v>
                </c:pt>
                <c:pt idx="17">
                  <c:v>2.4315646878177999</c:v>
                </c:pt>
                <c:pt idx="18">
                  <c:v>-0.30613985664943444</c:v>
                </c:pt>
                <c:pt idx="19">
                  <c:v>-1.1087550815141123</c:v>
                </c:pt>
                <c:pt idx="20">
                  <c:v>-0.36967947018972103</c:v>
                </c:pt>
                <c:pt idx="22">
                  <c:v>3.1077352720811469</c:v>
                </c:pt>
                <c:pt idx="24">
                  <c:v>-1.7105723243751592</c:v>
                </c:pt>
                <c:pt idx="25">
                  <c:v>1.2745642296063897</c:v>
                </c:pt>
                <c:pt idx="26">
                  <c:v>-2.128023882976382</c:v>
                </c:pt>
                <c:pt idx="27">
                  <c:v>-1.4328664326009766</c:v>
                </c:pt>
                <c:pt idx="29">
                  <c:v>-2.5711502018754384</c:v>
                </c:pt>
                <c:pt idx="30">
                  <c:v>-17.715115116248825</c:v>
                </c:pt>
                <c:pt idx="31">
                  <c:v>-0.8795336388493058</c:v>
                </c:pt>
                <c:pt idx="32">
                  <c:v>-17.766261616063083</c:v>
                </c:pt>
                <c:pt idx="33">
                  <c:v>-11.097776560099071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0.33785827979151417</c:v>
                </c:pt>
                <c:pt idx="2">
                  <c:v>0.82663545718055786</c:v>
                </c:pt>
                <c:pt idx="3">
                  <c:v>0.58235672652706683</c:v>
                </c:pt>
                <c:pt idx="4">
                  <c:v>0.40041978615537044</c:v>
                </c:pt>
                <c:pt idx="5">
                  <c:v>0.69566210813678531</c:v>
                </c:pt>
                <c:pt idx="7">
                  <c:v>-0.18359253748900795</c:v>
                </c:pt>
                <c:pt idx="8">
                  <c:v>2.4028950014032269E-2</c:v>
                </c:pt>
                <c:pt idx="9">
                  <c:v>0.69374342982508885</c:v>
                </c:pt>
                <c:pt idx="10">
                  <c:v>0.56082936389389992</c:v>
                </c:pt>
                <c:pt idx="11">
                  <c:v>0.62192110201613193</c:v>
                </c:pt>
                <c:pt idx="12">
                  <c:v>-0.25148190668480286</c:v>
                </c:pt>
                <c:pt idx="13">
                  <c:v>0.48468443215556878</c:v>
                </c:pt>
                <c:pt idx="14">
                  <c:v>-1.2649425067379205E-2</c:v>
                </c:pt>
                <c:pt idx="15">
                  <c:v>0.37837864603122995</c:v>
                </c:pt>
                <c:pt idx="17">
                  <c:v>1.1564792740077046</c:v>
                </c:pt>
                <c:pt idx="18">
                  <c:v>0.91311881014866092</c:v>
                </c:pt>
                <c:pt idx="19">
                  <c:v>0.13417283261345503</c:v>
                </c:pt>
                <c:pt idx="20">
                  <c:v>0.49954649968433351</c:v>
                </c:pt>
                <c:pt idx="22">
                  <c:v>7.7920169124201522E-2</c:v>
                </c:pt>
                <c:pt idx="24">
                  <c:v>-0.92945995550864913</c:v>
                </c:pt>
                <c:pt idx="25">
                  <c:v>-0.29741418690564236</c:v>
                </c:pt>
                <c:pt idx="26">
                  <c:v>-0.11526556315361036</c:v>
                </c:pt>
                <c:pt idx="27">
                  <c:v>-0.76949802181702776</c:v>
                </c:pt>
                <c:pt idx="29">
                  <c:v>0.41708541045613057</c:v>
                </c:pt>
                <c:pt idx="30">
                  <c:v>-0.53724519762728962</c:v>
                </c:pt>
                <c:pt idx="31">
                  <c:v>-5.8253698205931848</c:v>
                </c:pt>
                <c:pt idx="32">
                  <c:v>0.57424028723909171</c:v>
                </c:pt>
                <c:pt idx="33">
                  <c:v>9.402185913227612E-2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3.7519999999999905</c:v>
                </c:pt>
                <c:pt idx="1">
                  <c:v>2.9549999999999992</c:v>
                </c:pt>
                <c:pt idx="2">
                  <c:v>3.4950000000000006</c:v>
                </c:pt>
                <c:pt idx="3">
                  <c:v>1.8159999999999974</c:v>
                </c:pt>
                <c:pt idx="4">
                  <c:v>2.2370000000000001</c:v>
                </c:pt>
                <c:pt idx="5">
                  <c:v>2.9649999999999994</c:v>
                </c:pt>
                <c:pt idx="6">
                  <c:v>2.1349999999999989</c:v>
                </c:pt>
                <c:pt idx="7">
                  <c:v>1.865999999999997</c:v>
                </c:pt>
                <c:pt idx="8">
                  <c:v>3.278999999999999</c:v>
                </c:pt>
                <c:pt idx="9">
                  <c:v>2.2860000000000018</c:v>
                </c:pt>
                <c:pt idx="10">
                  <c:v>1.1150000000000002</c:v>
                </c:pt>
                <c:pt idx="11">
                  <c:v>1.1380000000000019</c:v>
                </c:pt>
                <c:pt idx="12">
                  <c:v>1.160000000000001</c:v>
                </c:pt>
                <c:pt idx="13">
                  <c:v>1.1910000000000005</c:v>
                </c:pt>
                <c:pt idx="14">
                  <c:v>1.2129999999999992</c:v>
                </c:pt>
                <c:pt idx="15">
                  <c:v>1.2120000000000011</c:v>
                </c:pt>
                <c:pt idx="16">
                  <c:v>1.213000000000003</c:v>
                </c:pt>
                <c:pt idx="17">
                  <c:v>1.2119999999999991</c:v>
                </c:pt>
                <c:pt idx="18">
                  <c:v>1.212000000000002</c:v>
                </c:pt>
                <c:pt idx="19">
                  <c:v>1.2099999999999966</c:v>
                </c:pt>
                <c:pt idx="20">
                  <c:v>1.2119999999999991</c:v>
                </c:pt>
                <c:pt idx="21">
                  <c:v>1.2130000000000003</c:v>
                </c:pt>
                <c:pt idx="22">
                  <c:v>1.214</c:v>
                </c:pt>
                <c:pt idx="23">
                  <c:v>1.2149999999999963</c:v>
                </c:pt>
                <c:pt idx="24" formatCode="#,##0.00">
                  <c:v>1.2150000000000012</c:v>
                </c:pt>
                <c:pt idx="25">
                  <c:v>1.2149999999999985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5.7999999999999996E-2</c:v>
                </c:pt>
                <c:pt idx="1">
                  <c:v>2.199999999999994E-2</c:v>
                </c:pt>
                <c:pt idx="2">
                  <c:v>0.37600000000000044</c:v>
                </c:pt>
                <c:pt idx="3">
                  <c:v>0</c:v>
                </c:pt>
                <c:pt idx="4">
                  <c:v>1.0000000000000004E-2</c:v>
                </c:pt>
                <c:pt idx="5">
                  <c:v>0.16200000000000017</c:v>
                </c:pt>
                <c:pt idx="6">
                  <c:v>0</c:v>
                </c:pt>
                <c:pt idx="7">
                  <c:v>2.3999999999999959E-2</c:v>
                </c:pt>
                <c:pt idx="8">
                  <c:v>0.23599999999999999</c:v>
                </c:pt>
                <c:pt idx="9">
                  <c:v>0.14499999999999999</c:v>
                </c:pt>
                <c:pt idx="10">
                  <c:v>0.1549999999999995</c:v>
                </c:pt>
                <c:pt idx="11">
                  <c:v>0.14200000000000026</c:v>
                </c:pt>
                <c:pt idx="12">
                  <c:v>0.13600000000000012</c:v>
                </c:pt>
                <c:pt idx="13">
                  <c:v>0.12600000000000014</c:v>
                </c:pt>
                <c:pt idx="14">
                  <c:v>0.1170000000000003</c:v>
                </c:pt>
                <c:pt idx="15">
                  <c:v>0.10899999999999994</c:v>
                </c:pt>
                <c:pt idx="16">
                  <c:v>0.10200000000000022</c:v>
                </c:pt>
                <c:pt idx="17">
                  <c:v>9.6000000000000085E-2</c:v>
                </c:pt>
                <c:pt idx="18">
                  <c:v>9.09999999999999E-2</c:v>
                </c:pt>
                <c:pt idx="19">
                  <c:v>8.600000000000009E-2</c:v>
                </c:pt>
                <c:pt idx="20">
                  <c:v>8.1000000000000044E-2</c:v>
                </c:pt>
                <c:pt idx="21">
                  <c:v>7.7000000000000013E-2</c:v>
                </c:pt>
                <c:pt idx="22">
                  <c:v>7.2999999999999843E-2</c:v>
                </c:pt>
                <c:pt idx="23">
                  <c:v>6.9000000000000075E-2</c:v>
                </c:pt>
                <c:pt idx="24" formatCode="#,##0.00">
                  <c:v>6.5999999999999823E-2</c:v>
                </c:pt>
                <c:pt idx="25">
                  <c:v>6.2999999999999987E-2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5.7300000000000129</c:v>
                </c:pt>
                <c:pt idx="1">
                  <c:v>5.0709999999999997</c:v>
                </c:pt>
                <c:pt idx="2">
                  <c:v>5.1230000000000002</c:v>
                </c:pt>
                <c:pt idx="3">
                  <c:v>5.0430000000000108</c:v>
                </c:pt>
                <c:pt idx="4">
                  <c:v>4.8650000000000011</c:v>
                </c:pt>
                <c:pt idx="5">
                  <c:v>5.225000000000005</c:v>
                </c:pt>
                <c:pt idx="6">
                  <c:v>5.6549999999999923</c:v>
                </c:pt>
                <c:pt idx="7">
                  <c:v>5.4660000000000144</c:v>
                </c:pt>
                <c:pt idx="8">
                  <c:v>2.0090000000000021</c:v>
                </c:pt>
                <c:pt idx="9">
                  <c:v>1.7090000000000003</c:v>
                </c:pt>
                <c:pt idx="10">
                  <c:v>1.9710000000000003</c:v>
                </c:pt>
                <c:pt idx="11">
                  <c:v>1.9320000000000037</c:v>
                </c:pt>
                <c:pt idx="12">
                  <c:v>1.8809999999999991</c:v>
                </c:pt>
                <c:pt idx="13">
                  <c:v>1.8669999999999995</c:v>
                </c:pt>
                <c:pt idx="14">
                  <c:v>1.8610000000000007</c:v>
                </c:pt>
                <c:pt idx="15">
                  <c:v>1.8560000000000028</c:v>
                </c:pt>
                <c:pt idx="16">
                  <c:v>1.8499999999999981</c:v>
                </c:pt>
                <c:pt idx="17">
                  <c:v>1.8449999999999991</c:v>
                </c:pt>
                <c:pt idx="18">
                  <c:v>1.8390000000000035</c:v>
                </c:pt>
                <c:pt idx="19">
                  <c:v>1.8350000000000046</c:v>
                </c:pt>
                <c:pt idx="20">
                  <c:v>1.8309999999999993</c:v>
                </c:pt>
                <c:pt idx="21">
                  <c:v>1.8279999999999992</c:v>
                </c:pt>
                <c:pt idx="22">
                  <c:v>1.826000000000003</c:v>
                </c:pt>
                <c:pt idx="23">
                  <c:v>1.823000000000004</c:v>
                </c:pt>
                <c:pt idx="24" formatCode="#,##0.00">
                  <c:v>1.819999999999997</c:v>
                </c:pt>
                <c:pt idx="25">
                  <c:v>1.8179999999999998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4.1119999999999948</c:v>
                </c:pt>
                <c:pt idx="1">
                  <c:v>3.840999999999994</c:v>
                </c:pt>
                <c:pt idx="2">
                  <c:v>3.6850000000000067</c:v>
                </c:pt>
                <c:pt idx="3">
                  <c:v>2.9519999999999964</c:v>
                </c:pt>
                <c:pt idx="4">
                  <c:v>4.0239999999999947</c:v>
                </c:pt>
                <c:pt idx="5">
                  <c:v>4.3319999999999794</c:v>
                </c:pt>
                <c:pt idx="6">
                  <c:v>3.6979999999999968</c:v>
                </c:pt>
                <c:pt idx="7">
                  <c:v>4.2409999999999952</c:v>
                </c:pt>
                <c:pt idx="8">
                  <c:v>4.3959999999999937</c:v>
                </c:pt>
                <c:pt idx="9">
                  <c:v>4.4059999999999988</c:v>
                </c:pt>
                <c:pt idx="10">
                  <c:v>3.8030000000000097</c:v>
                </c:pt>
                <c:pt idx="11">
                  <c:v>3.6979999999999937</c:v>
                </c:pt>
                <c:pt idx="12">
                  <c:v>3.6620000000000039</c:v>
                </c:pt>
                <c:pt idx="13">
                  <c:v>3.6899999999999959</c:v>
                </c:pt>
                <c:pt idx="14">
                  <c:v>3.835</c:v>
                </c:pt>
                <c:pt idx="15">
                  <c:v>3.9129999999999985</c:v>
                </c:pt>
                <c:pt idx="16">
                  <c:v>3.967000000000009</c:v>
                </c:pt>
                <c:pt idx="17">
                  <c:v>4.0009999999999986</c:v>
                </c:pt>
                <c:pt idx="18">
                  <c:v>4.0210000000000106</c:v>
                </c:pt>
                <c:pt idx="19">
                  <c:v>4.0330000000000021</c:v>
                </c:pt>
                <c:pt idx="20">
                  <c:v>4.0400000000000036</c:v>
                </c:pt>
                <c:pt idx="21">
                  <c:v>4.0450000000000017</c:v>
                </c:pt>
                <c:pt idx="22">
                  <c:v>4.0469999999999944</c:v>
                </c:pt>
                <c:pt idx="23">
                  <c:v>4.0479999999999947</c:v>
                </c:pt>
                <c:pt idx="24" formatCode="#,##0.00">
                  <c:v>4.0490000000000022</c:v>
                </c:pt>
                <c:pt idx="25">
                  <c:v>4.0479999999999974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6.2319999999999931</c:v>
                </c:pt>
                <c:pt idx="1">
                  <c:v>6.3050000000000139</c:v>
                </c:pt>
                <c:pt idx="2">
                  <c:v>6.209999999999992</c:v>
                </c:pt>
                <c:pt idx="3">
                  <c:v>6.340000000000015</c:v>
                </c:pt>
                <c:pt idx="4">
                  <c:v>7.092000000000005</c:v>
                </c:pt>
                <c:pt idx="5">
                  <c:v>7.0119999999999862</c:v>
                </c:pt>
                <c:pt idx="6">
                  <c:v>7.2139999999999738</c:v>
                </c:pt>
                <c:pt idx="7">
                  <c:v>6.3239999999999803</c:v>
                </c:pt>
                <c:pt idx="8">
                  <c:v>6.2050000000000054</c:v>
                </c:pt>
                <c:pt idx="9">
                  <c:v>6.3419999999999943</c:v>
                </c:pt>
                <c:pt idx="10">
                  <c:v>6.2970000000000024</c:v>
                </c:pt>
                <c:pt idx="11">
                  <c:v>6.3040000000000003</c:v>
                </c:pt>
                <c:pt idx="12">
                  <c:v>6.3140000000000027</c:v>
                </c:pt>
                <c:pt idx="13">
                  <c:v>6.3540000000000036</c:v>
                </c:pt>
                <c:pt idx="14">
                  <c:v>6.3559999999999999</c:v>
                </c:pt>
                <c:pt idx="15">
                  <c:v>6.3359999999999932</c:v>
                </c:pt>
                <c:pt idx="16">
                  <c:v>6.3270000000000177</c:v>
                </c:pt>
                <c:pt idx="17">
                  <c:v>6.3149999999999933</c:v>
                </c:pt>
                <c:pt idx="18">
                  <c:v>6.3010000000000117</c:v>
                </c:pt>
                <c:pt idx="19">
                  <c:v>6.2849999999999984</c:v>
                </c:pt>
                <c:pt idx="20">
                  <c:v>6.2709999999999999</c:v>
                </c:pt>
                <c:pt idx="21">
                  <c:v>6.2560000000000073</c:v>
                </c:pt>
                <c:pt idx="22">
                  <c:v>6.2399999999999869</c:v>
                </c:pt>
                <c:pt idx="23">
                  <c:v>6.2240000000000082</c:v>
                </c:pt>
                <c:pt idx="24" formatCode="#,##0.00">
                  <c:v>6.2070000000000025</c:v>
                </c:pt>
                <c:pt idx="25">
                  <c:v>6.1889999999999938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8.2020000000000088</c:v>
                </c:pt>
                <c:pt idx="1">
                  <c:v>10.24199999999999</c:v>
                </c:pt>
                <c:pt idx="2">
                  <c:v>8.9029999999999934</c:v>
                </c:pt>
                <c:pt idx="3">
                  <c:v>7.9330000000000007</c:v>
                </c:pt>
                <c:pt idx="4">
                  <c:v>7.8410000000000037</c:v>
                </c:pt>
                <c:pt idx="5">
                  <c:v>6.9600000000000088</c:v>
                </c:pt>
                <c:pt idx="6">
                  <c:v>7.6329999999999929</c:v>
                </c:pt>
                <c:pt idx="7">
                  <c:v>7.8860000000000099</c:v>
                </c:pt>
                <c:pt idx="8">
                  <c:v>8.3750000000000302</c:v>
                </c:pt>
                <c:pt idx="9">
                  <c:v>8.1669999999999945</c:v>
                </c:pt>
                <c:pt idx="10">
                  <c:v>7.4150000000000249</c:v>
                </c:pt>
                <c:pt idx="11">
                  <c:v>7.7770000000000135</c:v>
                </c:pt>
                <c:pt idx="12">
                  <c:v>7.7420000000000071</c:v>
                </c:pt>
                <c:pt idx="13">
                  <c:v>7.8460000000000072</c:v>
                </c:pt>
                <c:pt idx="14">
                  <c:v>7.8789999999999969</c:v>
                </c:pt>
                <c:pt idx="15">
                  <c:v>7.8680000000000039</c:v>
                </c:pt>
                <c:pt idx="16">
                  <c:v>7.7869999999999919</c:v>
                </c:pt>
                <c:pt idx="17">
                  <c:v>7.7049999999999716</c:v>
                </c:pt>
                <c:pt idx="18">
                  <c:v>7.6230000000000118</c:v>
                </c:pt>
                <c:pt idx="19">
                  <c:v>7.5419999999999954</c:v>
                </c:pt>
                <c:pt idx="20">
                  <c:v>7.4719999999999871</c:v>
                </c:pt>
                <c:pt idx="21">
                  <c:v>7.3980000000000041</c:v>
                </c:pt>
                <c:pt idx="22">
                  <c:v>7.3220000000000001</c:v>
                </c:pt>
                <c:pt idx="23">
                  <c:v>7.2450000000000179</c:v>
                </c:pt>
                <c:pt idx="24" formatCode="#,##0.00">
                  <c:v>7.167999999999993</c:v>
                </c:pt>
                <c:pt idx="25">
                  <c:v>7.0909999999999744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54.814999999999962</c:v>
                </c:pt>
                <c:pt idx="1">
                  <c:v>53.714999999999989</c:v>
                </c:pt>
                <c:pt idx="2">
                  <c:v>54.606000000000122</c:v>
                </c:pt>
                <c:pt idx="3">
                  <c:v>55.423999999999936</c:v>
                </c:pt>
                <c:pt idx="4">
                  <c:v>55.784999999999719</c:v>
                </c:pt>
                <c:pt idx="5">
                  <c:v>54.686999999999884</c:v>
                </c:pt>
                <c:pt idx="6">
                  <c:v>50.178999999999739</c:v>
                </c:pt>
                <c:pt idx="7">
                  <c:v>51.472000000000136</c:v>
                </c:pt>
                <c:pt idx="8">
                  <c:v>52.640000000000008</c:v>
                </c:pt>
                <c:pt idx="9">
                  <c:v>54.775999999999939</c:v>
                </c:pt>
                <c:pt idx="10">
                  <c:v>50.166999999999987</c:v>
                </c:pt>
                <c:pt idx="11">
                  <c:v>50.920999999999907</c:v>
                </c:pt>
                <c:pt idx="12">
                  <c:v>50.061999999999919</c:v>
                </c:pt>
                <c:pt idx="13">
                  <c:v>49.264999999999986</c:v>
                </c:pt>
                <c:pt idx="14">
                  <c:v>48.851999999999933</c:v>
                </c:pt>
                <c:pt idx="15">
                  <c:v>48.282999999999852</c:v>
                </c:pt>
                <c:pt idx="16">
                  <c:v>47.716000000000022</c:v>
                </c:pt>
                <c:pt idx="17">
                  <c:v>47.123999999999953</c:v>
                </c:pt>
                <c:pt idx="18">
                  <c:v>46.562999999999903</c:v>
                </c:pt>
                <c:pt idx="19">
                  <c:v>46.035999999999937</c:v>
                </c:pt>
                <c:pt idx="20">
                  <c:v>45.58600000000002</c:v>
                </c:pt>
                <c:pt idx="21">
                  <c:v>45.133000000000067</c:v>
                </c:pt>
                <c:pt idx="22">
                  <c:v>44.710999999999913</c:v>
                </c:pt>
                <c:pt idx="23">
                  <c:v>44.31599999999991</c:v>
                </c:pt>
                <c:pt idx="24" formatCode="#,##0.00">
                  <c:v>43.948</c:v>
                </c:pt>
                <c:pt idx="25">
                  <c:v>43.609999999999964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35.561000000000007</c:v>
                </c:pt>
                <c:pt idx="1">
                  <c:v>32.780999999999999</c:v>
                </c:pt>
                <c:pt idx="2">
                  <c:v>32.984000000000016</c:v>
                </c:pt>
                <c:pt idx="3">
                  <c:v>31.03799999999994</c:v>
                </c:pt>
                <c:pt idx="4">
                  <c:v>27.86999999999998</c:v>
                </c:pt>
                <c:pt idx="5">
                  <c:v>31.762999999999963</c:v>
                </c:pt>
                <c:pt idx="6">
                  <c:v>29.737999999999992</c:v>
                </c:pt>
                <c:pt idx="7">
                  <c:v>30.231000000000037</c:v>
                </c:pt>
                <c:pt idx="8">
                  <c:v>38.885000000000055</c:v>
                </c:pt>
                <c:pt idx="9">
                  <c:v>39.074999999999903</c:v>
                </c:pt>
                <c:pt idx="10">
                  <c:v>37.015000000000043</c:v>
                </c:pt>
                <c:pt idx="11">
                  <c:v>36.345000000000077</c:v>
                </c:pt>
                <c:pt idx="12">
                  <c:v>36.402999999999928</c:v>
                </c:pt>
                <c:pt idx="13">
                  <c:v>36.595999999999954</c:v>
                </c:pt>
                <c:pt idx="14">
                  <c:v>36.787999999999919</c:v>
                </c:pt>
                <c:pt idx="15">
                  <c:v>36.904000000000053</c:v>
                </c:pt>
                <c:pt idx="16">
                  <c:v>36.984000000000023</c:v>
                </c:pt>
                <c:pt idx="17">
                  <c:v>36.987000000000108</c:v>
                </c:pt>
                <c:pt idx="18">
                  <c:v>37.024999999999991</c:v>
                </c:pt>
                <c:pt idx="19">
                  <c:v>37.043999999999933</c:v>
                </c:pt>
                <c:pt idx="20">
                  <c:v>37.100999999999964</c:v>
                </c:pt>
                <c:pt idx="21">
                  <c:v>37.162999999999904</c:v>
                </c:pt>
                <c:pt idx="22">
                  <c:v>37.229999999999976</c:v>
                </c:pt>
                <c:pt idx="23">
                  <c:v>37.302</c:v>
                </c:pt>
                <c:pt idx="24" formatCode="#,##0.00">
                  <c:v>37.374999999999929</c:v>
                </c:pt>
                <c:pt idx="25">
                  <c:v>37.449999999999932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90.263000000000019</c:v>
                </c:pt>
                <c:pt idx="1">
                  <c:v>87.679000000000045</c:v>
                </c:pt>
                <c:pt idx="2">
                  <c:v>89.740999999999829</c:v>
                </c:pt>
                <c:pt idx="3">
                  <c:v>91.666999999999902</c:v>
                </c:pt>
                <c:pt idx="4">
                  <c:v>92.726000000000127</c:v>
                </c:pt>
                <c:pt idx="5">
                  <c:v>92.065999999999917</c:v>
                </c:pt>
                <c:pt idx="6">
                  <c:v>90.358999999999881</c:v>
                </c:pt>
                <c:pt idx="7">
                  <c:v>91.593999999999909</c:v>
                </c:pt>
                <c:pt idx="8">
                  <c:v>90.236000000000033</c:v>
                </c:pt>
                <c:pt idx="9">
                  <c:v>88.560000000000031</c:v>
                </c:pt>
                <c:pt idx="10">
                  <c:v>87.073999999999927</c:v>
                </c:pt>
                <c:pt idx="11">
                  <c:v>87.468999999999923</c:v>
                </c:pt>
                <c:pt idx="12">
                  <c:v>87.57200000000006</c:v>
                </c:pt>
                <c:pt idx="13">
                  <c:v>87.585999999999999</c:v>
                </c:pt>
                <c:pt idx="14">
                  <c:v>87.716999999999899</c:v>
                </c:pt>
                <c:pt idx="15">
                  <c:v>87.878999999999934</c:v>
                </c:pt>
                <c:pt idx="16">
                  <c:v>87.974000000000032</c:v>
                </c:pt>
                <c:pt idx="17">
                  <c:v>88.052999999999869</c:v>
                </c:pt>
                <c:pt idx="18">
                  <c:v>88.125000000000185</c:v>
                </c:pt>
                <c:pt idx="19">
                  <c:v>88.193999999999875</c:v>
                </c:pt>
                <c:pt idx="20">
                  <c:v>88.283000000000229</c:v>
                </c:pt>
                <c:pt idx="21">
                  <c:v>88.381000000000014</c:v>
                </c:pt>
                <c:pt idx="22">
                  <c:v>88.480000000000103</c:v>
                </c:pt>
                <c:pt idx="23">
                  <c:v>88.604000000000099</c:v>
                </c:pt>
                <c:pt idx="24" formatCode="#,##0.00">
                  <c:v>88.723000000000013</c:v>
                </c:pt>
                <c:pt idx="25">
                  <c:v>88.843000000000146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22.520000000000007</c:v>
                </c:pt>
                <c:pt idx="1">
                  <c:v>21.381000000000057</c:v>
                </c:pt>
                <c:pt idx="2">
                  <c:v>27.172000000000061</c:v>
                </c:pt>
                <c:pt idx="3">
                  <c:v>23.774999999999945</c:v>
                </c:pt>
                <c:pt idx="4">
                  <c:v>25.93000000000001</c:v>
                </c:pt>
                <c:pt idx="5">
                  <c:v>33.457000000000008</c:v>
                </c:pt>
                <c:pt idx="6">
                  <c:v>31.619000000000117</c:v>
                </c:pt>
                <c:pt idx="7">
                  <c:v>30.200999999999908</c:v>
                </c:pt>
                <c:pt idx="8">
                  <c:v>32.64700000000002</c:v>
                </c:pt>
                <c:pt idx="9">
                  <c:v>34.173000000000066</c:v>
                </c:pt>
                <c:pt idx="10">
                  <c:v>32.947999999999908</c:v>
                </c:pt>
                <c:pt idx="11">
                  <c:v>35.003000000000064</c:v>
                </c:pt>
                <c:pt idx="12">
                  <c:v>35.117999999999995</c:v>
                </c:pt>
                <c:pt idx="13">
                  <c:v>35.41099999999993</c:v>
                </c:pt>
                <c:pt idx="14">
                  <c:v>35.740000000000066</c:v>
                </c:pt>
                <c:pt idx="15">
                  <c:v>35.964000000000034</c:v>
                </c:pt>
                <c:pt idx="16">
                  <c:v>36.15000000000007</c:v>
                </c:pt>
                <c:pt idx="17">
                  <c:v>36.330999999999996</c:v>
                </c:pt>
                <c:pt idx="18">
                  <c:v>36.508000000000045</c:v>
                </c:pt>
                <c:pt idx="19">
                  <c:v>36.686000000000028</c:v>
                </c:pt>
                <c:pt idx="20">
                  <c:v>36.874000000000017</c:v>
                </c:pt>
                <c:pt idx="21">
                  <c:v>37.052999999999926</c:v>
                </c:pt>
                <c:pt idx="22">
                  <c:v>37.231999999999985</c:v>
                </c:pt>
                <c:pt idx="23">
                  <c:v>37.40800000000003</c:v>
                </c:pt>
                <c:pt idx="24" formatCode="#,##0.00">
                  <c:v>37.583999999999996</c:v>
                </c:pt>
                <c:pt idx="25">
                  <c:v>37.760999999999989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19.568999999999999</c:v>
                </c:pt>
                <c:pt idx="1">
                  <c:v>19.123000000000008</c:v>
                </c:pt>
                <c:pt idx="2">
                  <c:v>19.49800000000003</c:v>
                </c:pt>
                <c:pt idx="3">
                  <c:v>18.954000000000022</c:v>
                </c:pt>
                <c:pt idx="4">
                  <c:v>21.942000000000029</c:v>
                </c:pt>
                <c:pt idx="5">
                  <c:v>21.905999999999974</c:v>
                </c:pt>
                <c:pt idx="6">
                  <c:v>22.156999999999982</c:v>
                </c:pt>
                <c:pt idx="7">
                  <c:v>24.926000000000013</c:v>
                </c:pt>
                <c:pt idx="8">
                  <c:v>22.942000000000021</c:v>
                </c:pt>
                <c:pt idx="9">
                  <c:v>23.974999999999959</c:v>
                </c:pt>
                <c:pt idx="10">
                  <c:v>24.702000000000005</c:v>
                </c:pt>
                <c:pt idx="11">
                  <c:v>23.942000000000021</c:v>
                </c:pt>
                <c:pt idx="12">
                  <c:v>24.889999999999983</c:v>
                </c:pt>
                <c:pt idx="13">
                  <c:v>25.362000000000034</c:v>
                </c:pt>
                <c:pt idx="14">
                  <c:v>25.704000000000001</c:v>
                </c:pt>
                <c:pt idx="15">
                  <c:v>26.167000000000009</c:v>
                </c:pt>
                <c:pt idx="16">
                  <c:v>26.577000000000055</c:v>
                </c:pt>
                <c:pt idx="17">
                  <c:v>26.948999999999984</c:v>
                </c:pt>
                <c:pt idx="18">
                  <c:v>27.29600000000001</c:v>
                </c:pt>
                <c:pt idx="19">
                  <c:v>27.626000000000037</c:v>
                </c:pt>
                <c:pt idx="20">
                  <c:v>27.94699999999996</c:v>
                </c:pt>
                <c:pt idx="21">
                  <c:v>28.257999999999996</c:v>
                </c:pt>
                <c:pt idx="22">
                  <c:v>28.554999999999989</c:v>
                </c:pt>
                <c:pt idx="23">
                  <c:v>28.835999999999981</c:v>
                </c:pt>
                <c:pt idx="24" formatCode="#,##0.00">
                  <c:v>29.100999999999964</c:v>
                </c:pt>
                <c:pt idx="25">
                  <c:v>29.35199999999999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2.1739999999999959</c:v>
                </c:pt>
                <c:pt idx="1">
                  <c:v>1.5269999999999999</c:v>
                </c:pt>
                <c:pt idx="2">
                  <c:v>1.5420000000000007</c:v>
                </c:pt>
                <c:pt idx="3">
                  <c:v>1.5860000000000003</c:v>
                </c:pt>
                <c:pt idx="4">
                  <c:v>2.1100000000000003</c:v>
                </c:pt>
                <c:pt idx="5">
                  <c:v>1.7079999999999993</c:v>
                </c:pt>
                <c:pt idx="6">
                  <c:v>1.3409999999999975</c:v>
                </c:pt>
                <c:pt idx="7">
                  <c:v>1.5949999999999998</c:v>
                </c:pt>
                <c:pt idx="8">
                  <c:v>1.4139999999999977</c:v>
                </c:pt>
                <c:pt idx="9">
                  <c:v>1.8249999999999975</c:v>
                </c:pt>
                <c:pt idx="10">
                  <c:v>2.1100000000000025</c:v>
                </c:pt>
                <c:pt idx="11">
                  <c:v>2.0890000000000031</c:v>
                </c:pt>
                <c:pt idx="12">
                  <c:v>2.0829999999999993</c:v>
                </c:pt>
                <c:pt idx="13">
                  <c:v>2.0759999999999961</c:v>
                </c:pt>
                <c:pt idx="14">
                  <c:v>2.0719999999999996</c:v>
                </c:pt>
                <c:pt idx="15">
                  <c:v>2.077999999999999</c:v>
                </c:pt>
                <c:pt idx="16">
                  <c:v>2.0810000000000035</c:v>
                </c:pt>
                <c:pt idx="17">
                  <c:v>2.0839999999999956</c:v>
                </c:pt>
                <c:pt idx="18">
                  <c:v>2.0869999999999993</c:v>
                </c:pt>
                <c:pt idx="19">
                  <c:v>2.0900000000000003</c:v>
                </c:pt>
                <c:pt idx="20">
                  <c:v>2.0929999999999982</c:v>
                </c:pt>
                <c:pt idx="21">
                  <c:v>2.0950000000000024</c:v>
                </c:pt>
                <c:pt idx="22">
                  <c:v>2.0980000000000008</c:v>
                </c:pt>
                <c:pt idx="23">
                  <c:v>2.1010000000000004</c:v>
                </c:pt>
                <c:pt idx="24" formatCode="#,##0.00">
                  <c:v>2.1039999999999988</c:v>
                </c:pt>
                <c:pt idx="25">
                  <c:v>2.1059999999999963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7.0790000000000024</c:v>
                </c:pt>
                <c:pt idx="1">
                  <c:v>5.914000000000005</c:v>
                </c:pt>
                <c:pt idx="2">
                  <c:v>6.4790000000000019</c:v>
                </c:pt>
                <c:pt idx="3">
                  <c:v>6.3760000000000083</c:v>
                </c:pt>
                <c:pt idx="4">
                  <c:v>5.8740000000000068</c:v>
                </c:pt>
                <c:pt idx="5">
                  <c:v>6.5380000000000287</c:v>
                </c:pt>
                <c:pt idx="6">
                  <c:v>7.5250000000000172</c:v>
                </c:pt>
                <c:pt idx="7">
                  <c:v>7.0699999999999887</c:v>
                </c:pt>
                <c:pt idx="8">
                  <c:v>7.0200000000000209</c:v>
                </c:pt>
                <c:pt idx="9">
                  <c:v>6.3940000000000188</c:v>
                </c:pt>
                <c:pt idx="10">
                  <c:v>6.8729999999999754</c:v>
                </c:pt>
                <c:pt idx="11">
                  <c:v>6.9720000000000111</c:v>
                </c:pt>
                <c:pt idx="12">
                  <c:v>6.9980000000000144</c:v>
                </c:pt>
                <c:pt idx="13">
                  <c:v>7.0639999999999894</c:v>
                </c:pt>
                <c:pt idx="14">
                  <c:v>7.1129999999999907</c:v>
                </c:pt>
                <c:pt idx="15">
                  <c:v>7.1500000000000048</c:v>
                </c:pt>
                <c:pt idx="16">
                  <c:v>7.1830000000000052</c:v>
                </c:pt>
                <c:pt idx="17">
                  <c:v>7.21</c:v>
                </c:pt>
                <c:pt idx="18">
                  <c:v>7.2339999999999964</c:v>
                </c:pt>
                <c:pt idx="19">
                  <c:v>7.2579999999999796</c:v>
                </c:pt>
                <c:pt idx="20">
                  <c:v>7.2839999999999945</c:v>
                </c:pt>
                <c:pt idx="21">
                  <c:v>7.3080000000000007</c:v>
                </c:pt>
                <c:pt idx="22">
                  <c:v>7.3309999999999889</c:v>
                </c:pt>
                <c:pt idx="23">
                  <c:v>7.3530000000000237</c:v>
                </c:pt>
                <c:pt idx="24" formatCode="#,##0.00">
                  <c:v>7.3719999999999795</c:v>
                </c:pt>
                <c:pt idx="25">
                  <c:v>7.39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12.460000000000013</c:v>
                </c:pt>
                <c:pt idx="1">
                  <c:v>9.9720000000000066</c:v>
                </c:pt>
                <c:pt idx="2">
                  <c:v>8.5779999999999976</c:v>
                </c:pt>
                <c:pt idx="3">
                  <c:v>10.250000000000007</c:v>
                </c:pt>
                <c:pt idx="4">
                  <c:v>9.2219999999999782</c:v>
                </c:pt>
                <c:pt idx="5">
                  <c:v>10.219000000000026</c:v>
                </c:pt>
                <c:pt idx="6">
                  <c:v>8.9610000000000269</c:v>
                </c:pt>
                <c:pt idx="7">
                  <c:v>9.4129999999999949</c:v>
                </c:pt>
                <c:pt idx="8">
                  <c:v>10.077999999999992</c:v>
                </c:pt>
                <c:pt idx="9">
                  <c:v>10.284000000000022</c:v>
                </c:pt>
                <c:pt idx="10">
                  <c:v>10.441000000000015</c:v>
                </c:pt>
                <c:pt idx="11">
                  <c:v>10.659999999999997</c:v>
                </c:pt>
                <c:pt idx="12">
                  <c:v>10.619999999999992</c:v>
                </c:pt>
                <c:pt idx="13">
                  <c:v>10.572000000000015</c:v>
                </c:pt>
                <c:pt idx="14">
                  <c:v>10.502000000000017</c:v>
                </c:pt>
                <c:pt idx="15">
                  <c:v>10.454000000000013</c:v>
                </c:pt>
                <c:pt idx="16">
                  <c:v>10.418999999999999</c:v>
                </c:pt>
                <c:pt idx="17">
                  <c:v>10.382000000000019</c:v>
                </c:pt>
                <c:pt idx="18">
                  <c:v>10.344999999999967</c:v>
                </c:pt>
                <c:pt idx="19">
                  <c:v>10.307000000000004</c:v>
                </c:pt>
                <c:pt idx="20">
                  <c:v>10.271000000000008</c:v>
                </c:pt>
                <c:pt idx="21">
                  <c:v>10.226999999999988</c:v>
                </c:pt>
                <c:pt idx="22">
                  <c:v>10.184000000000019</c:v>
                </c:pt>
                <c:pt idx="23">
                  <c:v>10.139999999999992</c:v>
                </c:pt>
                <c:pt idx="24" formatCode="#,##0.00">
                  <c:v>10.096999999999998</c:v>
                </c:pt>
                <c:pt idx="25">
                  <c:v>10.053999999999988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7.2259999999999884</c:v>
                </c:pt>
                <c:pt idx="1">
                  <c:v>6.392000000000011</c:v>
                </c:pt>
                <c:pt idx="2">
                  <c:v>6.6840000000000011</c:v>
                </c:pt>
                <c:pt idx="3">
                  <c:v>7.4509999999999987</c:v>
                </c:pt>
                <c:pt idx="4">
                  <c:v>8.2700000000000067</c:v>
                </c:pt>
                <c:pt idx="5">
                  <c:v>7.7229999999999945</c:v>
                </c:pt>
                <c:pt idx="6">
                  <c:v>8.4530000000000012</c:v>
                </c:pt>
                <c:pt idx="7">
                  <c:v>10.059999999999997</c:v>
                </c:pt>
                <c:pt idx="8">
                  <c:v>10.287999999999993</c:v>
                </c:pt>
                <c:pt idx="9">
                  <c:v>10.185</c:v>
                </c:pt>
                <c:pt idx="10">
                  <c:v>10.239999999999995</c:v>
                </c:pt>
                <c:pt idx="11">
                  <c:v>10.218999999999987</c:v>
                </c:pt>
                <c:pt idx="12">
                  <c:v>10.17800000000002</c:v>
                </c:pt>
                <c:pt idx="13">
                  <c:v>10.184999999999985</c:v>
                </c:pt>
                <c:pt idx="14">
                  <c:v>10.246000000000009</c:v>
                </c:pt>
                <c:pt idx="15">
                  <c:v>10.307999999999987</c:v>
                </c:pt>
                <c:pt idx="16">
                  <c:v>10.388000000000003</c:v>
                </c:pt>
                <c:pt idx="17">
                  <c:v>10.476999999999991</c:v>
                </c:pt>
                <c:pt idx="18">
                  <c:v>10.57</c:v>
                </c:pt>
                <c:pt idx="19">
                  <c:v>10.66599999999999</c:v>
                </c:pt>
                <c:pt idx="20">
                  <c:v>10.76200000000002</c:v>
                </c:pt>
                <c:pt idx="21">
                  <c:v>10.857999999999972</c:v>
                </c:pt>
                <c:pt idx="22">
                  <c:v>10.954999999999989</c:v>
                </c:pt>
                <c:pt idx="23">
                  <c:v>11.050999999999997</c:v>
                </c:pt>
                <c:pt idx="24" formatCode="#,##0.00">
                  <c:v>11.144999999999982</c:v>
                </c:pt>
                <c:pt idx="25">
                  <c:v>11.23800000000001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17.408999999999988</c:v>
                </c:pt>
                <c:pt idx="1">
                  <c:v>22.55299999999999</c:v>
                </c:pt>
                <c:pt idx="2">
                  <c:v>19.888999999999907</c:v>
                </c:pt>
                <c:pt idx="3">
                  <c:v>21.208000000000041</c:v>
                </c:pt>
                <c:pt idx="4">
                  <c:v>23.673999999999964</c:v>
                </c:pt>
                <c:pt idx="5">
                  <c:v>28.591999999999977</c:v>
                </c:pt>
                <c:pt idx="6">
                  <c:v>24.307000000000031</c:v>
                </c:pt>
                <c:pt idx="7">
                  <c:v>23.628999999999959</c:v>
                </c:pt>
                <c:pt idx="8">
                  <c:v>26.376999999999974</c:v>
                </c:pt>
                <c:pt idx="9">
                  <c:v>24.794000000000015</c:v>
                </c:pt>
                <c:pt idx="10">
                  <c:v>24.729000000000006</c:v>
                </c:pt>
                <c:pt idx="11">
                  <c:v>25.011999999999976</c:v>
                </c:pt>
                <c:pt idx="12">
                  <c:v>25.118000000000038</c:v>
                </c:pt>
                <c:pt idx="13">
                  <c:v>25.259999999999948</c:v>
                </c:pt>
                <c:pt idx="14">
                  <c:v>25.424999999999962</c:v>
                </c:pt>
                <c:pt idx="15">
                  <c:v>25.55599999999999</c:v>
                </c:pt>
                <c:pt idx="16">
                  <c:v>25.675999999999974</c:v>
                </c:pt>
                <c:pt idx="17">
                  <c:v>25.799999999999972</c:v>
                </c:pt>
                <c:pt idx="18">
                  <c:v>25.928999999999984</c:v>
                </c:pt>
                <c:pt idx="19">
                  <c:v>26.061999999999959</c:v>
                </c:pt>
                <c:pt idx="20">
                  <c:v>26.204000000000004</c:v>
                </c:pt>
                <c:pt idx="21">
                  <c:v>26.34199999999997</c:v>
                </c:pt>
                <c:pt idx="22">
                  <c:v>26.480999999999987</c:v>
                </c:pt>
                <c:pt idx="23">
                  <c:v>26.619000000000014</c:v>
                </c:pt>
                <c:pt idx="24" formatCode="#,##0.00">
                  <c:v>26.755999999999919</c:v>
                </c:pt>
                <c:pt idx="25">
                  <c:v>26.89300000000004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38.409999999999961</c:v>
                </c:pt>
                <c:pt idx="1">
                  <c:v>38.506000000000029</c:v>
                </c:pt>
                <c:pt idx="2">
                  <c:v>41.116999999999983</c:v>
                </c:pt>
                <c:pt idx="3">
                  <c:v>37.309999999999995</c:v>
                </c:pt>
                <c:pt idx="4">
                  <c:v>34.943000000000076</c:v>
                </c:pt>
                <c:pt idx="5">
                  <c:v>40.241000000000078</c:v>
                </c:pt>
                <c:pt idx="6">
                  <c:v>45.658999999999928</c:v>
                </c:pt>
                <c:pt idx="7">
                  <c:v>45.49800000000004</c:v>
                </c:pt>
                <c:pt idx="8">
                  <c:v>39.044000000000004</c:v>
                </c:pt>
                <c:pt idx="9">
                  <c:v>34.294000000000032</c:v>
                </c:pt>
                <c:pt idx="10">
                  <c:v>32.167999999999957</c:v>
                </c:pt>
                <c:pt idx="11">
                  <c:v>32.617000000000026</c:v>
                </c:pt>
                <c:pt idx="12">
                  <c:v>33.143000000000015</c:v>
                </c:pt>
                <c:pt idx="13">
                  <c:v>33.470999999999933</c:v>
                </c:pt>
                <c:pt idx="14">
                  <c:v>33.688999999999957</c:v>
                </c:pt>
                <c:pt idx="15">
                  <c:v>33.85499999999994</c:v>
                </c:pt>
                <c:pt idx="16">
                  <c:v>34.044000000000061</c:v>
                </c:pt>
                <c:pt idx="17">
                  <c:v>34.228999999999949</c:v>
                </c:pt>
                <c:pt idx="18">
                  <c:v>34.412000000000063</c:v>
                </c:pt>
                <c:pt idx="19">
                  <c:v>34.595000000000041</c:v>
                </c:pt>
                <c:pt idx="20">
                  <c:v>34.782999999999966</c:v>
                </c:pt>
                <c:pt idx="21">
                  <c:v>34.963000000000008</c:v>
                </c:pt>
                <c:pt idx="22">
                  <c:v>35.142999999999965</c:v>
                </c:pt>
                <c:pt idx="23">
                  <c:v>35.323000000000036</c:v>
                </c:pt>
                <c:pt idx="24" formatCode="#,##0.00">
                  <c:v>35.502999999999986</c:v>
                </c:pt>
                <c:pt idx="25">
                  <c:v>35.682999999999936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11.415999999999991</c:v>
                </c:pt>
                <c:pt idx="1">
                  <c:v>9.5530000000000044</c:v>
                </c:pt>
                <c:pt idx="2">
                  <c:v>10.447999999999988</c:v>
                </c:pt>
                <c:pt idx="3">
                  <c:v>10.337999999999992</c:v>
                </c:pt>
                <c:pt idx="4">
                  <c:v>9.8310000000000048</c:v>
                </c:pt>
                <c:pt idx="5">
                  <c:v>11.902000000000019</c:v>
                </c:pt>
                <c:pt idx="6">
                  <c:v>10.432000000000013</c:v>
                </c:pt>
                <c:pt idx="7">
                  <c:v>10.223000000000019</c:v>
                </c:pt>
                <c:pt idx="8">
                  <c:v>9.6130000000000013</c:v>
                </c:pt>
                <c:pt idx="9">
                  <c:v>12.170000000000009</c:v>
                </c:pt>
                <c:pt idx="10">
                  <c:v>11.910000000000011</c:v>
                </c:pt>
                <c:pt idx="11">
                  <c:v>11.758999999999981</c:v>
                </c:pt>
                <c:pt idx="12">
                  <c:v>11.238999999999988</c:v>
                </c:pt>
                <c:pt idx="13">
                  <c:v>11.089999999999996</c:v>
                </c:pt>
                <c:pt idx="14">
                  <c:v>11.21900000000001</c:v>
                </c:pt>
                <c:pt idx="15">
                  <c:v>11.285000000000005</c:v>
                </c:pt>
                <c:pt idx="16">
                  <c:v>11.364999999999991</c:v>
                </c:pt>
                <c:pt idx="17">
                  <c:v>11.433000000000005</c:v>
                </c:pt>
                <c:pt idx="18">
                  <c:v>11.497999999999978</c:v>
                </c:pt>
                <c:pt idx="19">
                  <c:v>11.557999999999993</c:v>
                </c:pt>
                <c:pt idx="20">
                  <c:v>11.62099999999999</c:v>
                </c:pt>
                <c:pt idx="21">
                  <c:v>11.687000000000017</c:v>
                </c:pt>
                <c:pt idx="22">
                  <c:v>11.754000000000012</c:v>
                </c:pt>
                <c:pt idx="23">
                  <c:v>11.821000000000005</c:v>
                </c:pt>
                <c:pt idx="24" formatCode="#,##0.00">
                  <c:v>11.886999999999995</c:v>
                </c:pt>
                <c:pt idx="25">
                  <c:v>11.952999999999994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11.099000000000002</c:v>
                </c:pt>
                <c:pt idx="1">
                  <c:v>12.534999999999975</c:v>
                </c:pt>
                <c:pt idx="2">
                  <c:v>11.491999999999996</c:v>
                </c:pt>
                <c:pt idx="3">
                  <c:v>12.468000000000018</c:v>
                </c:pt>
                <c:pt idx="4">
                  <c:v>14.133000000000017</c:v>
                </c:pt>
                <c:pt idx="5">
                  <c:v>16.423999999999992</c:v>
                </c:pt>
                <c:pt idx="6">
                  <c:v>18.160999999999976</c:v>
                </c:pt>
                <c:pt idx="7">
                  <c:v>17.896000000000015</c:v>
                </c:pt>
                <c:pt idx="8">
                  <c:v>16.903999999999964</c:v>
                </c:pt>
                <c:pt idx="9">
                  <c:v>13.682000000000006</c:v>
                </c:pt>
                <c:pt idx="10">
                  <c:v>12.946999999999987</c:v>
                </c:pt>
                <c:pt idx="11">
                  <c:v>12.733000000000006</c:v>
                </c:pt>
                <c:pt idx="12">
                  <c:v>12.586000000000013</c:v>
                </c:pt>
                <c:pt idx="13">
                  <c:v>12.596000000000007</c:v>
                </c:pt>
                <c:pt idx="14">
                  <c:v>12.617999999999999</c:v>
                </c:pt>
                <c:pt idx="15">
                  <c:v>12.604000000000017</c:v>
                </c:pt>
                <c:pt idx="16">
                  <c:v>12.583000000000037</c:v>
                </c:pt>
                <c:pt idx="17">
                  <c:v>12.563999999999993</c:v>
                </c:pt>
                <c:pt idx="18">
                  <c:v>12.549999999999974</c:v>
                </c:pt>
                <c:pt idx="19">
                  <c:v>12.540999999999997</c:v>
                </c:pt>
                <c:pt idx="20">
                  <c:v>12.540000000000017</c:v>
                </c:pt>
                <c:pt idx="21">
                  <c:v>12.544999999999998</c:v>
                </c:pt>
                <c:pt idx="22">
                  <c:v>12.552999999999988</c:v>
                </c:pt>
                <c:pt idx="23">
                  <c:v>12.564000000000014</c:v>
                </c:pt>
                <c:pt idx="24" formatCode="#,##0.00">
                  <c:v>12.577999999999989</c:v>
                </c:pt>
                <c:pt idx="25">
                  <c:v>12.594999999999988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18.261999999999997</c:v>
                </c:pt>
                <c:pt idx="1">
                  <c:v>17.841000000000061</c:v>
                </c:pt>
                <c:pt idx="2">
                  <c:v>19.266000000000009</c:v>
                </c:pt>
                <c:pt idx="3">
                  <c:v>18.013999999999964</c:v>
                </c:pt>
                <c:pt idx="4">
                  <c:v>19.508999999999983</c:v>
                </c:pt>
                <c:pt idx="5">
                  <c:v>16.002999999999975</c:v>
                </c:pt>
                <c:pt idx="6">
                  <c:v>15.483000000000006</c:v>
                </c:pt>
                <c:pt idx="7">
                  <c:v>15.782999999999989</c:v>
                </c:pt>
                <c:pt idx="8">
                  <c:v>15.808999999999996</c:v>
                </c:pt>
                <c:pt idx="9">
                  <c:v>15.454000000000015</c:v>
                </c:pt>
                <c:pt idx="10">
                  <c:v>15.280999999999995</c:v>
                </c:pt>
                <c:pt idx="11">
                  <c:v>15.059999999999995</c:v>
                </c:pt>
                <c:pt idx="12">
                  <c:v>15.225999999999994</c:v>
                </c:pt>
                <c:pt idx="13">
                  <c:v>15.336000000000007</c:v>
                </c:pt>
                <c:pt idx="14">
                  <c:v>15.471999999999996</c:v>
                </c:pt>
                <c:pt idx="15">
                  <c:v>15.554000000000007</c:v>
                </c:pt>
                <c:pt idx="16">
                  <c:v>15.617000000000017</c:v>
                </c:pt>
                <c:pt idx="17">
                  <c:v>15.683000000000014</c:v>
                </c:pt>
                <c:pt idx="18">
                  <c:v>15.74899999999997</c:v>
                </c:pt>
                <c:pt idx="19">
                  <c:v>15.815000000000021</c:v>
                </c:pt>
                <c:pt idx="20">
                  <c:v>15.881999999999978</c:v>
                </c:pt>
                <c:pt idx="21">
                  <c:v>15.949999999999989</c:v>
                </c:pt>
                <c:pt idx="22">
                  <c:v>16.020000000000024</c:v>
                </c:pt>
                <c:pt idx="23">
                  <c:v>16.088999999999999</c:v>
                </c:pt>
                <c:pt idx="24" formatCode="#,##0.00">
                  <c:v>16.157000000000007</c:v>
                </c:pt>
                <c:pt idx="25">
                  <c:v>16.225000000000005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44.774000000000022</c:v>
                </c:pt>
                <c:pt idx="1">
                  <c:v>46.041000000000032</c:v>
                </c:pt>
                <c:pt idx="2">
                  <c:v>42.840999999999909</c:v>
                </c:pt>
                <c:pt idx="3">
                  <c:v>43.630000000000074</c:v>
                </c:pt>
                <c:pt idx="4">
                  <c:v>43.496000000000002</c:v>
                </c:pt>
                <c:pt idx="5">
                  <c:v>44.810000000000109</c:v>
                </c:pt>
                <c:pt idx="6">
                  <c:v>44.828999999999958</c:v>
                </c:pt>
                <c:pt idx="7">
                  <c:v>44.917999999999914</c:v>
                </c:pt>
                <c:pt idx="8">
                  <c:v>44.049000000000028</c:v>
                </c:pt>
                <c:pt idx="9">
                  <c:v>44.405000000000044</c:v>
                </c:pt>
                <c:pt idx="10">
                  <c:v>45.06299999999996</c:v>
                </c:pt>
                <c:pt idx="11">
                  <c:v>45.228000000000044</c:v>
                </c:pt>
                <c:pt idx="12">
                  <c:v>45.410999999999959</c:v>
                </c:pt>
                <c:pt idx="13">
                  <c:v>45.671999999999976</c:v>
                </c:pt>
                <c:pt idx="14">
                  <c:v>45.970000000000056</c:v>
                </c:pt>
                <c:pt idx="15">
                  <c:v>46.277999999999956</c:v>
                </c:pt>
                <c:pt idx="16">
                  <c:v>46.513999999999996</c:v>
                </c:pt>
                <c:pt idx="17">
                  <c:v>46.758999999999979</c:v>
                </c:pt>
                <c:pt idx="18">
                  <c:v>47.01299999999997</c:v>
                </c:pt>
                <c:pt idx="19">
                  <c:v>47.280999999999906</c:v>
                </c:pt>
                <c:pt idx="20">
                  <c:v>47.588000000000008</c:v>
                </c:pt>
                <c:pt idx="21">
                  <c:v>47.8990000000001</c:v>
                </c:pt>
                <c:pt idx="22">
                  <c:v>48.213000000000015</c:v>
                </c:pt>
                <c:pt idx="23">
                  <c:v>48.529000000000075</c:v>
                </c:pt>
                <c:pt idx="24" formatCode="#,##0.00">
                  <c:v>48.845000000000027</c:v>
                </c:pt>
                <c:pt idx="25">
                  <c:v>49.163999999999859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65.00100000000009</c:v>
                </c:pt>
                <c:pt idx="1">
                  <c:v>66.144000000000034</c:v>
                </c:pt>
                <c:pt idx="2">
                  <c:v>67.058999999999969</c:v>
                </c:pt>
                <c:pt idx="3">
                  <c:v>67.074999999999989</c:v>
                </c:pt>
                <c:pt idx="4">
                  <c:v>67.581000000000031</c:v>
                </c:pt>
                <c:pt idx="5">
                  <c:v>60.867000000000111</c:v>
                </c:pt>
                <c:pt idx="6">
                  <c:v>68.400999999999883</c:v>
                </c:pt>
                <c:pt idx="7">
                  <c:v>71.836999999999989</c:v>
                </c:pt>
                <c:pt idx="8">
                  <c:v>68.28900000000003</c:v>
                </c:pt>
                <c:pt idx="9">
                  <c:v>72.830000000000013</c:v>
                </c:pt>
                <c:pt idx="10">
                  <c:v>71.770000000000209</c:v>
                </c:pt>
                <c:pt idx="11">
                  <c:v>73.094999999999985</c:v>
                </c:pt>
                <c:pt idx="12">
                  <c:v>74.036999999999978</c:v>
                </c:pt>
                <c:pt idx="13">
                  <c:v>74.833000000000013</c:v>
                </c:pt>
                <c:pt idx="14">
                  <c:v>75.817999999999969</c:v>
                </c:pt>
                <c:pt idx="15">
                  <c:v>76.514999999999901</c:v>
                </c:pt>
                <c:pt idx="16">
                  <c:v>77.047999999999902</c:v>
                </c:pt>
                <c:pt idx="17">
                  <c:v>77.535999999999703</c:v>
                </c:pt>
                <c:pt idx="18">
                  <c:v>78.007000000000147</c:v>
                </c:pt>
                <c:pt idx="19">
                  <c:v>78.472000000000008</c:v>
                </c:pt>
                <c:pt idx="20">
                  <c:v>78.930000000000092</c:v>
                </c:pt>
                <c:pt idx="21">
                  <c:v>79.383999999999958</c:v>
                </c:pt>
                <c:pt idx="22">
                  <c:v>79.834999999999908</c:v>
                </c:pt>
                <c:pt idx="23">
                  <c:v>80.286999999999992</c:v>
                </c:pt>
                <c:pt idx="24" formatCode="#,##0.00">
                  <c:v>80.741999999999933</c:v>
                </c:pt>
                <c:pt idx="25">
                  <c:v>81.203000000000074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13.651999999999997</c:v>
                </c:pt>
                <c:pt idx="1">
                  <c:v>11.888999999999992</c:v>
                </c:pt>
                <c:pt idx="2">
                  <c:v>12.679000000000009</c:v>
                </c:pt>
                <c:pt idx="3">
                  <c:v>9.8110000000000035</c:v>
                </c:pt>
                <c:pt idx="4">
                  <c:v>11.135999999999996</c:v>
                </c:pt>
                <c:pt idx="5">
                  <c:v>12.683999999999983</c:v>
                </c:pt>
                <c:pt idx="6">
                  <c:v>11.487999999999989</c:v>
                </c:pt>
                <c:pt idx="7">
                  <c:v>11.597000000000007</c:v>
                </c:pt>
                <c:pt idx="8">
                  <c:v>9.9199999999999946</c:v>
                </c:pt>
                <c:pt idx="9">
                  <c:v>8.5460000000000012</c:v>
                </c:pt>
                <c:pt idx="10">
                  <c:v>7.0440000000000094</c:v>
                </c:pt>
                <c:pt idx="11">
                  <c:v>6.91</c:v>
                </c:pt>
                <c:pt idx="12">
                  <c:v>6.839000000000004</c:v>
                </c:pt>
                <c:pt idx="13">
                  <c:v>6.8739999999999961</c:v>
                </c:pt>
                <c:pt idx="14">
                  <c:v>7.0259999999999998</c:v>
                </c:pt>
                <c:pt idx="15">
                  <c:v>7.0900000000000025</c:v>
                </c:pt>
                <c:pt idx="16">
                  <c:v>7.1320000000000103</c:v>
                </c:pt>
                <c:pt idx="17">
                  <c:v>7.1539999999999964</c:v>
                </c:pt>
                <c:pt idx="18">
                  <c:v>7.1630000000000162</c:v>
                </c:pt>
                <c:pt idx="19">
                  <c:v>7.1640000000000033</c:v>
                </c:pt>
                <c:pt idx="20">
                  <c:v>7.1640000000000015</c:v>
                </c:pt>
                <c:pt idx="21">
                  <c:v>7.1630000000000011</c:v>
                </c:pt>
                <c:pt idx="22">
                  <c:v>7.1599999999999975</c:v>
                </c:pt>
                <c:pt idx="23">
                  <c:v>7.1549999999999949</c:v>
                </c:pt>
                <c:pt idx="24">
                  <c:v>7.15</c:v>
                </c:pt>
                <c:pt idx="25">
                  <c:v>7.1439999999999957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69.248999999999967</c:v>
                </c:pt>
                <c:pt idx="1">
                  <c:v>70.262</c:v>
                </c:pt>
                <c:pt idx="2">
                  <c:v>69.719000000000108</c:v>
                </c:pt>
                <c:pt idx="3">
                  <c:v>69.696999999999946</c:v>
                </c:pt>
                <c:pt idx="4">
                  <c:v>70.717999999999734</c:v>
                </c:pt>
                <c:pt idx="5">
                  <c:v>68.658999999999878</c:v>
                </c:pt>
                <c:pt idx="6">
                  <c:v>65.025999999999698</c:v>
                </c:pt>
                <c:pt idx="7">
                  <c:v>65.68200000000013</c:v>
                </c:pt>
                <c:pt idx="8">
                  <c:v>67.220000000000041</c:v>
                </c:pt>
                <c:pt idx="9">
                  <c:v>69.284999999999926</c:v>
                </c:pt>
                <c:pt idx="10">
                  <c:v>63.879000000000019</c:v>
                </c:pt>
                <c:pt idx="11">
                  <c:v>65.001999999999924</c:v>
                </c:pt>
                <c:pt idx="12">
                  <c:v>64.117999999999924</c:v>
                </c:pt>
                <c:pt idx="13">
                  <c:v>63.464999999999996</c:v>
                </c:pt>
                <c:pt idx="14">
                  <c:v>63.086999999999932</c:v>
                </c:pt>
                <c:pt idx="15">
                  <c:v>62.486999999999853</c:v>
                </c:pt>
                <c:pt idx="16">
                  <c:v>61.830000000000034</c:v>
                </c:pt>
                <c:pt idx="17">
                  <c:v>61.14399999999992</c:v>
                </c:pt>
                <c:pt idx="18">
                  <c:v>60.486999999999924</c:v>
                </c:pt>
                <c:pt idx="19">
                  <c:v>59.862999999999928</c:v>
                </c:pt>
                <c:pt idx="20">
                  <c:v>59.329000000000008</c:v>
                </c:pt>
                <c:pt idx="21">
                  <c:v>58.787000000000077</c:v>
                </c:pt>
                <c:pt idx="22">
                  <c:v>58.272999999999897</c:v>
                </c:pt>
                <c:pt idx="23">
                  <c:v>57.78499999999994</c:v>
                </c:pt>
                <c:pt idx="24">
                  <c:v>57.322999999999993</c:v>
                </c:pt>
                <c:pt idx="25">
                  <c:v>56.88999999999993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35.561000000000007</c:v>
                </c:pt>
                <c:pt idx="1">
                  <c:v>32.780999999999999</c:v>
                </c:pt>
                <c:pt idx="2">
                  <c:v>32.984000000000016</c:v>
                </c:pt>
                <c:pt idx="3">
                  <c:v>31.03799999999994</c:v>
                </c:pt>
                <c:pt idx="4">
                  <c:v>27.86999999999998</c:v>
                </c:pt>
                <c:pt idx="5">
                  <c:v>31.762999999999963</c:v>
                </c:pt>
                <c:pt idx="6">
                  <c:v>29.737999999999992</c:v>
                </c:pt>
                <c:pt idx="7">
                  <c:v>30.231000000000037</c:v>
                </c:pt>
                <c:pt idx="8">
                  <c:v>38.885000000000055</c:v>
                </c:pt>
                <c:pt idx="9">
                  <c:v>39.074999999999903</c:v>
                </c:pt>
                <c:pt idx="10">
                  <c:v>37.015000000000043</c:v>
                </c:pt>
                <c:pt idx="11">
                  <c:v>36.345000000000077</c:v>
                </c:pt>
                <c:pt idx="12">
                  <c:v>36.402999999999928</c:v>
                </c:pt>
                <c:pt idx="13">
                  <c:v>36.595999999999954</c:v>
                </c:pt>
                <c:pt idx="14">
                  <c:v>36.787999999999919</c:v>
                </c:pt>
                <c:pt idx="15">
                  <c:v>36.904000000000053</c:v>
                </c:pt>
                <c:pt idx="16">
                  <c:v>36.984000000000023</c:v>
                </c:pt>
                <c:pt idx="17">
                  <c:v>36.987000000000108</c:v>
                </c:pt>
                <c:pt idx="18">
                  <c:v>37.024999999999991</c:v>
                </c:pt>
                <c:pt idx="19">
                  <c:v>37.043999999999933</c:v>
                </c:pt>
                <c:pt idx="20">
                  <c:v>37.100999999999964</c:v>
                </c:pt>
                <c:pt idx="21">
                  <c:v>37.162999999999904</c:v>
                </c:pt>
                <c:pt idx="22">
                  <c:v>37.229999999999976</c:v>
                </c:pt>
                <c:pt idx="23">
                  <c:v>37.302</c:v>
                </c:pt>
                <c:pt idx="24" formatCode="#,##0.00">
                  <c:v>37.374999999999929</c:v>
                </c:pt>
                <c:pt idx="25">
                  <c:v>37.449999999999932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132.35200000000003</c:v>
                </c:pt>
                <c:pt idx="1">
                  <c:v>128.18300000000011</c:v>
                </c:pt>
                <c:pt idx="2">
                  <c:v>136.41099999999992</c:v>
                </c:pt>
                <c:pt idx="3">
                  <c:v>134.39599999999987</c:v>
                </c:pt>
                <c:pt idx="4">
                  <c:v>140.59800000000016</c:v>
                </c:pt>
                <c:pt idx="5">
                  <c:v>147.42899999999989</c:v>
                </c:pt>
                <c:pt idx="6">
                  <c:v>144.13499999999999</c:v>
                </c:pt>
                <c:pt idx="7">
                  <c:v>146.72099999999983</c:v>
                </c:pt>
                <c:pt idx="8">
                  <c:v>145.82500000000007</c:v>
                </c:pt>
                <c:pt idx="9">
                  <c:v>146.70800000000006</c:v>
                </c:pt>
                <c:pt idx="10">
                  <c:v>144.72399999999985</c:v>
                </c:pt>
                <c:pt idx="11">
                  <c:v>146.41399999999999</c:v>
                </c:pt>
                <c:pt idx="12">
                  <c:v>147.58000000000004</c:v>
                </c:pt>
                <c:pt idx="13">
                  <c:v>148.35899999999995</c:v>
                </c:pt>
                <c:pt idx="14">
                  <c:v>149.16099999999997</c:v>
                </c:pt>
                <c:pt idx="15">
                  <c:v>150.00999999999996</c:v>
                </c:pt>
                <c:pt idx="16">
                  <c:v>150.70100000000016</c:v>
                </c:pt>
                <c:pt idx="17">
                  <c:v>151.33299999999986</c:v>
                </c:pt>
                <c:pt idx="18">
                  <c:v>151.92900000000026</c:v>
                </c:pt>
                <c:pt idx="19">
                  <c:v>152.50599999999994</c:v>
                </c:pt>
                <c:pt idx="20">
                  <c:v>153.10400000000021</c:v>
                </c:pt>
                <c:pt idx="21">
                  <c:v>153.69199999999995</c:v>
                </c:pt>
                <c:pt idx="22">
                  <c:v>154.26700000000008</c:v>
                </c:pt>
                <c:pt idx="23">
                  <c:v>154.8480000000001</c:v>
                </c:pt>
                <c:pt idx="24">
                  <c:v>155.40799999999999</c:v>
                </c:pt>
                <c:pt idx="25">
                  <c:v>155.95600000000013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107.27299999999995</c:v>
                </c:pt>
                <c:pt idx="1">
                  <c:v>106.952</c:v>
                </c:pt>
                <c:pt idx="2">
                  <c:v>106.22899999999989</c:v>
                </c:pt>
                <c:pt idx="3">
                  <c:v>106.98700000000007</c:v>
                </c:pt>
                <c:pt idx="4">
                  <c:v>108.05700000000004</c:v>
                </c:pt>
                <c:pt idx="5">
                  <c:v>123.34700000000011</c:v>
                </c:pt>
                <c:pt idx="6">
                  <c:v>124.839</c:v>
                </c:pt>
                <c:pt idx="7">
                  <c:v>125.38400000000001</c:v>
                </c:pt>
                <c:pt idx="8">
                  <c:v>120.73799999999994</c:v>
                </c:pt>
                <c:pt idx="9">
                  <c:v>113.62800000000011</c:v>
                </c:pt>
                <c:pt idx="10">
                  <c:v>111.41799999999995</c:v>
                </c:pt>
                <c:pt idx="11">
                  <c:v>112.06099999999998</c:v>
                </c:pt>
                <c:pt idx="12">
                  <c:v>111.96500000000007</c:v>
                </c:pt>
                <c:pt idx="13">
                  <c:v>112.31399999999988</c:v>
                </c:pt>
                <c:pt idx="14">
                  <c:v>112.88399999999994</c:v>
                </c:pt>
                <c:pt idx="15">
                  <c:v>113.28999999999995</c:v>
                </c:pt>
                <c:pt idx="16">
                  <c:v>113.73900000000009</c:v>
                </c:pt>
                <c:pt idx="17">
                  <c:v>114.17899999999993</c:v>
                </c:pt>
                <c:pt idx="18">
                  <c:v>114.62499999999996</c:v>
                </c:pt>
                <c:pt idx="19">
                  <c:v>115.07699999999997</c:v>
                </c:pt>
                <c:pt idx="20">
                  <c:v>115.55800000000001</c:v>
                </c:pt>
                <c:pt idx="21">
                  <c:v>116.02499999999995</c:v>
                </c:pt>
                <c:pt idx="22">
                  <c:v>116.49899999999995</c:v>
                </c:pt>
                <c:pt idx="23">
                  <c:v>116.97200000000009</c:v>
                </c:pt>
                <c:pt idx="24">
                  <c:v>117.44199999999985</c:v>
                </c:pt>
                <c:pt idx="25">
                  <c:v>117.91199999999995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128.03700000000009</c:v>
                </c:pt>
                <c:pt idx="1">
                  <c:v>130.02600000000012</c:v>
                </c:pt>
                <c:pt idx="2">
                  <c:v>129.16599999999988</c:v>
                </c:pt>
                <c:pt idx="3">
                  <c:v>128.71900000000002</c:v>
                </c:pt>
                <c:pt idx="4">
                  <c:v>130.58600000000001</c:v>
                </c:pt>
                <c:pt idx="5">
                  <c:v>121.68000000000021</c:v>
                </c:pt>
                <c:pt idx="6">
                  <c:v>128.71299999999985</c:v>
                </c:pt>
                <c:pt idx="7">
                  <c:v>132.5379999999999</c:v>
                </c:pt>
                <c:pt idx="8">
                  <c:v>128.14700000000005</c:v>
                </c:pt>
                <c:pt idx="9">
                  <c:v>132.68900000000008</c:v>
                </c:pt>
                <c:pt idx="10">
                  <c:v>132.11400000000015</c:v>
                </c:pt>
                <c:pt idx="11">
                  <c:v>133.38300000000004</c:v>
                </c:pt>
                <c:pt idx="12">
                  <c:v>134.67399999999992</c:v>
                </c:pt>
                <c:pt idx="13">
                  <c:v>135.84100000000001</c:v>
                </c:pt>
                <c:pt idx="14">
                  <c:v>137.26000000000002</c:v>
                </c:pt>
                <c:pt idx="15">
                  <c:v>138.34699999999987</c:v>
                </c:pt>
                <c:pt idx="16">
                  <c:v>139.17899999999992</c:v>
                </c:pt>
                <c:pt idx="17">
                  <c:v>139.9779999999997</c:v>
                </c:pt>
                <c:pt idx="18">
                  <c:v>140.76900000000009</c:v>
                </c:pt>
                <c:pt idx="19">
                  <c:v>141.56799999999993</c:v>
                </c:pt>
                <c:pt idx="20">
                  <c:v>142.40000000000009</c:v>
                </c:pt>
                <c:pt idx="21">
                  <c:v>143.23300000000006</c:v>
                </c:pt>
                <c:pt idx="22">
                  <c:v>144.06799999999993</c:v>
                </c:pt>
                <c:pt idx="23">
                  <c:v>144.90500000000009</c:v>
                </c:pt>
                <c:pt idx="24">
                  <c:v>145.74399999999997</c:v>
                </c:pt>
                <c:pt idx="25">
                  <c:v>146.59199999999993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24.068264624319113</c:v>
                </c:pt>
                <c:pt idx="1">
                  <c:v>26.625473101246715</c:v>
                </c:pt>
                <c:pt idx="2">
                  <c:v>28.085771653663983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24.397996684877445</c:v>
                </c:pt>
                <c:pt idx="1">
                  <c:v>22.454523835435321</c:v>
                </c:pt>
                <c:pt idx="2">
                  <c:v>22.590929295096785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29.161408491935685</c:v>
                </c:pt>
                <c:pt idx="1">
                  <c:v>29.166817817224683</c:v>
                </c:pt>
                <c:pt idx="2">
                  <c:v>29.879833851907513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6.2827111214845983</c:v>
                </c:pt>
                <c:pt idx="1">
                  <c:v>7.4597838748554075</c:v>
                </c:pt>
                <c:pt idx="2">
                  <c:v>7.1750992443633672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13.580727981928998</c:v>
                </c:pt>
                <c:pt idx="1">
                  <c:v>12.873795330052362</c:v>
                </c:pt>
                <c:pt idx="2">
                  <c:v>10.899636742639045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2.5088910954541648</c:v>
                </c:pt>
                <c:pt idx="1">
                  <c:v>1.4196060411855058</c:v>
                </c:pt>
                <c:pt idx="2">
                  <c:v>1.3687292123292913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10.433999999999941</c:v>
                </c:pt>
                <c:pt idx="1">
                  <c:v>-11.929000000000158</c:v>
                </c:pt>
                <c:pt idx="2">
                  <c:v>-2.7050000000000409</c:v>
                </c:pt>
                <c:pt idx="3">
                  <c:v>5.2520000000000806</c:v>
                </c:pt>
                <c:pt idx="4">
                  <c:v>-4.779999999999859</c:v>
                </c:pt>
                <c:pt idx="5">
                  <c:v>-5.6399999999999739</c:v>
                </c:pt>
                <c:pt idx="7">
                  <c:v>-9.367999999999995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14.477999999999781</c:v>
                </c:pt>
                <c:pt idx="1">
                  <c:v>6.4939999999999998</c:v>
                </c:pt>
                <c:pt idx="2">
                  <c:v>11.232000000000284</c:v>
                </c:pt>
                <c:pt idx="3">
                  <c:v>0.43499999999988859</c:v>
                </c:pt>
                <c:pt idx="4">
                  <c:v>-6.9890000000000896</c:v>
                </c:pt>
                <c:pt idx="5">
                  <c:v>9.9999999999986322E-2</c:v>
                </c:pt>
                <c:pt idx="7">
                  <c:v>25.749999999999851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0.33785827979151417</c:v>
                </c:pt>
                <c:pt idx="2">
                  <c:v>-0.4529250948293595</c:v>
                </c:pt>
                <c:pt idx="3">
                  <c:v>-1.5238581822931807</c:v>
                </c:pt>
                <c:pt idx="4">
                  <c:v>-0.64061251803311237</c:v>
                </c:pt>
                <c:pt idx="6">
                  <c:v>0.63943799718395589</c:v>
                </c:pt>
                <c:pt idx="7">
                  <c:v>1.015315128919303</c:v>
                </c:pt>
                <c:pt idx="8">
                  <c:v>0.81284590388843725</c:v>
                </c:pt>
                <c:pt idx="10">
                  <c:v>2.6209318608694021</c:v>
                </c:pt>
                <c:pt idx="11">
                  <c:v>-0.99918943505745705</c:v>
                </c:pt>
                <c:pt idx="12">
                  <c:v>1.7149769261126657E-2</c:v>
                </c:pt>
                <c:pt idx="14">
                  <c:v>-0.59586355601790597</c:v>
                </c:pt>
                <c:pt idx="15">
                  <c:v>0.20906693595830195</c:v>
                </c:pt>
                <c:pt idx="16">
                  <c:v>1.2284736216228387</c:v>
                </c:pt>
                <c:pt idx="17">
                  <c:v>1.0350002614567977</c:v>
                </c:pt>
                <c:pt idx="19">
                  <c:v>-0.72646798716868854</c:v>
                </c:pt>
                <c:pt idx="20">
                  <c:v>-0.84160253337166591</c:v>
                </c:pt>
                <c:pt idx="21">
                  <c:v>-0.75004388141534095</c:v>
                </c:pt>
                <c:pt idx="22">
                  <c:v>1.027645973990321</c:v>
                </c:pt>
                <c:pt idx="23">
                  <c:v>-0.65427900649316362</c:v>
                </c:pt>
                <c:pt idx="25">
                  <c:v>-2.3115432204955932</c:v>
                </c:pt>
                <c:pt idx="26">
                  <c:v>-0.85348650079991595</c:v>
                </c:pt>
                <c:pt idx="27">
                  <c:v>-1.0729794457711606</c:v>
                </c:pt>
                <c:pt idx="29">
                  <c:v>-2.575695435677039E-2</c:v>
                </c:pt>
                <c:pt idx="30">
                  <c:v>0.30578605020139538</c:v>
                </c:pt>
                <c:pt idx="31">
                  <c:v>2.3973494046154453</c:v>
                </c:pt>
                <c:pt idx="32">
                  <c:v>0.88265278414836335</c:v>
                </c:pt>
                <c:pt idx="33">
                  <c:v>-0.77556114572724377</c:v>
                </c:pt>
                <c:pt idx="34">
                  <c:v>0.30481449939876448</c:v>
                </c:pt>
                <c:pt idx="36">
                  <c:v>1.5664239951518555</c:v>
                </c:pt>
                <c:pt idx="37">
                  <c:v>1.1377767326286925</c:v>
                </c:pt>
                <c:pt idx="38">
                  <c:v>1.2139169166406338</c:v>
                </c:pt>
                <c:pt idx="39">
                  <c:v>0.84489120237103421</c:v>
                </c:pt>
                <c:pt idx="40">
                  <c:v>1.2023789149196329</c:v>
                </c:pt>
                <c:pt idx="42">
                  <c:v>2.4312429117910428</c:v>
                </c:pt>
                <c:pt idx="43">
                  <c:v>0.18144870741847452</c:v>
                </c:pt>
                <c:pt idx="44">
                  <c:v>0.87796003337696771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-0.37337526450476055</c:v>
                </c:pt>
                <c:pt idx="2">
                  <c:v>-3.6622466247607899</c:v>
                </c:pt>
                <c:pt idx="3">
                  <c:v>-5.5314923934030924</c:v>
                </c:pt>
                <c:pt idx="4">
                  <c:v>-4.0276415475848264</c:v>
                </c:pt>
                <c:pt idx="6">
                  <c:v>-1.8689250007423386</c:v>
                </c:pt>
                <c:pt idx="7">
                  <c:v>-4.4666441857345696</c:v>
                </c:pt>
                <c:pt idx="8">
                  <c:v>-3.1025589234831674</c:v>
                </c:pt>
                <c:pt idx="10">
                  <c:v>6.4041828574912252E-2</c:v>
                </c:pt>
                <c:pt idx="11">
                  <c:v>-2.4758492005482191</c:v>
                </c:pt>
                <c:pt idx="12">
                  <c:v>-1.9207405214853979</c:v>
                </c:pt>
                <c:pt idx="14">
                  <c:v>0.50276623722214087</c:v>
                </c:pt>
                <c:pt idx="15">
                  <c:v>-4.4462029664625309</c:v>
                </c:pt>
                <c:pt idx="16">
                  <c:v>0.64361733842834834</c:v>
                </c:pt>
                <c:pt idx="17">
                  <c:v>-0.42659864220010446</c:v>
                </c:pt>
                <c:pt idx="19">
                  <c:v>-2.8905948066148546</c:v>
                </c:pt>
                <c:pt idx="20">
                  <c:v>-1.3669735552202855</c:v>
                </c:pt>
                <c:pt idx="21">
                  <c:v>-4.0009482738341262</c:v>
                </c:pt>
                <c:pt idx="22">
                  <c:v>-5.9577859556225743</c:v>
                </c:pt>
                <c:pt idx="23">
                  <c:v>-3.1229162525711396</c:v>
                </c:pt>
                <c:pt idx="25">
                  <c:v>-3.3252465421505062</c:v>
                </c:pt>
                <c:pt idx="26">
                  <c:v>-0.75235063022514037</c:v>
                </c:pt>
                <c:pt idx="27">
                  <c:v>-1.2032504156469948</c:v>
                </c:pt>
                <c:pt idx="29">
                  <c:v>0.87853818106069514</c:v>
                </c:pt>
                <c:pt idx="30">
                  <c:v>0.36728400179126819</c:v>
                </c:pt>
                <c:pt idx="31">
                  <c:v>1.1253808607709637</c:v>
                </c:pt>
                <c:pt idx="32">
                  <c:v>4.0826567591197849</c:v>
                </c:pt>
                <c:pt idx="33">
                  <c:v>2.7709283196662549</c:v>
                </c:pt>
                <c:pt idx="34">
                  <c:v>1.6357512405575259</c:v>
                </c:pt>
                <c:pt idx="36">
                  <c:v>4.1039892807151146</c:v>
                </c:pt>
                <c:pt idx="37">
                  <c:v>2.3836416957406126</c:v>
                </c:pt>
                <c:pt idx="38">
                  <c:v>4.359043474068125</c:v>
                </c:pt>
                <c:pt idx="39">
                  <c:v>2.4078316496529473</c:v>
                </c:pt>
                <c:pt idx="40">
                  <c:v>3.341997239909289</c:v>
                </c:pt>
                <c:pt idx="42">
                  <c:v>1.0824780049382143</c:v>
                </c:pt>
                <c:pt idx="43">
                  <c:v>2.8916956355351076</c:v>
                </c:pt>
                <c:pt idx="44">
                  <c:v>2.3709231839532441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4.5774974136772428</c:v>
                </c:pt>
                <c:pt idx="1">
                  <c:v>0.69201524200674669</c:v>
                </c:pt>
                <c:pt idx="2">
                  <c:v>2.9930944009992508</c:v>
                </c:pt>
                <c:pt idx="3">
                  <c:v>5.1542589531288385</c:v>
                </c:pt>
                <c:pt idx="4">
                  <c:v>2.4425641748270408</c:v>
                </c:pt>
                <c:pt idx="5">
                  <c:v>5.0800275505037042</c:v>
                </c:pt>
                <c:pt idx="6">
                  <c:v>1.1187493194401918</c:v>
                </c:pt>
                <c:pt idx="7">
                  <c:v>2.0007437974605669</c:v>
                </c:pt>
                <c:pt idx="8">
                  <c:v>0.25577593056647085</c:v>
                </c:pt>
                <c:pt idx="9">
                  <c:v>0.13924639804599881</c:v>
                </c:pt>
                <c:pt idx="10">
                  <c:v>1.2286623207428526</c:v>
                </c:pt>
                <c:pt idx="11">
                  <c:v>-1.8208598813696</c:v>
                </c:pt>
                <c:pt idx="12">
                  <c:v>-1.7111638899785344</c:v>
                </c:pt>
                <c:pt idx="13">
                  <c:v>-1.1454016233127984</c:v>
                </c:pt>
                <c:pt idx="14">
                  <c:v>-5.2856804277349063</c:v>
                </c:pt>
                <c:pt idx="15">
                  <c:v>-1.2420308498583594</c:v>
                </c:pt>
                <c:pt idx="16">
                  <c:v>-1.3189842234734712</c:v>
                </c:pt>
                <c:pt idx="17">
                  <c:v>1.2566193889385886</c:v>
                </c:pt>
                <c:pt idx="18">
                  <c:v>-2.3355105976272217</c:v>
                </c:pt>
                <c:pt idx="19">
                  <c:v>1.1342026211764111E-2</c:v>
                </c:pt>
                <c:pt idx="20">
                  <c:v>-4.0319923731036234</c:v>
                </c:pt>
                <c:pt idx="21">
                  <c:v>2.9140118242830582E-2</c:v>
                </c:pt>
                <c:pt idx="22">
                  <c:v>-4.7014229179198175</c:v>
                </c:pt>
                <c:pt idx="23">
                  <c:v>-2.1715058425757583</c:v>
                </c:pt>
                <c:pt idx="24">
                  <c:v>-2.8445599821079082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0.94986798175329312</c:v>
                </c:pt>
                <c:pt idx="1">
                  <c:v>5.7277890459681693</c:v>
                </c:pt>
                <c:pt idx="2">
                  <c:v>3.589502176478117</c:v>
                </c:pt>
                <c:pt idx="3">
                  <c:v>5.3230041975837139</c:v>
                </c:pt>
                <c:pt idx="4">
                  <c:v>4.06580526507366</c:v>
                </c:pt>
                <c:pt idx="5">
                  <c:v>7.321838806588687</c:v>
                </c:pt>
                <c:pt idx="6">
                  <c:v>-0.9654004292887679</c:v>
                </c:pt>
                <c:pt idx="7">
                  <c:v>1.5546339542473007</c:v>
                </c:pt>
                <c:pt idx="8">
                  <c:v>2.0055450900176526</c:v>
                </c:pt>
                <c:pt idx="9">
                  <c:v>0.35926196910627883</c:v>
                </c:pt>
                <c:pt idx="10">
                  <c:v>-0.11073066724030411</c:v>
                </c:pt>
                <c:pt idx="11">
                  <c:v>-5.7088674878368266</c:v>
                </c:pt>
                <c:pt idx="12">
                  <c:v>-2.748217722069775</c:v>
                </c:pt>
                <c:pt idx="13">
                  <c:v>0.52804888144205409</c:v>
                </c:pt>
                <c:pt idx="14">
                  <c:v>-2.4920967712845616</c:v>
                </c:pt>
                <c:pt idx="15">
                  <c:v>-2.0757801583428694</c:v>
                </c:pt>
                <c:pt idx="16">
                  <c:v>-0.86506790564814295</c:v>
                </c:pt>
                <c:pt idx="17">
                  <c:v>8.0006797686798805</c:v>
                </c:pt>
                <c:pt idx="18">
                  <c:v>0.29107967908543664</c:v>
                </c:pt>
                <c:pt idx="19">
                  <c:v>-3.927278604421669E-2</c:v>
                </c:pt>
                <c:pt idx="20">
                  <c:v>-4.2219020336524835</c:v>
                </c:pt>
                <c:pt idx="21">
                  <c:v>4.3231462047913514</c:v>
                </c:pt>
                <c:pt idx="22">
                  <c:v>2.9967665001403248</c:v>
                </c:pt>
                <c:pt idx="23">
                  <c:v>2.2023990760164018</c:v>
                </c:pt>
                <c:pt idx="24">
                  <c:v>-1.7781444306629366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5.2695126556839895</c:v>
                </c:pt>
                <c:pt idx="1">
                  <c:v>15.669945079458827</c:v>
                </c:pt>
                <c:pt idx="2">
                  <c:v>4.7431777662560819</c:v>
                </c:pt>
                <c:pt idx="3">
                  <c:v>-3.5320237713481362</c:v>
                </c:pt>
                <c:pt idx="4">
                  <c:v>-8.9920971243795407</c:v>
                </c:pt>
                <c:pt idx="5">
                  <c:v>-1.067549182476867</c:v>
                </c:pt>
                <c:pt idx="6">
                  <c:v>-4.0028522548607981</c:v>
                </c:pt>
                <c:pt idx="7">
                  <c:v>-6.8729287604955758</c:v>
                </c:pt>
                <c:pt idx="8">
                  <c:v>-10.583184407837955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6.677657027721466</c:v>
                </c:pt>
                <c:pt idx="1">
                  <c:v>20.300150445724185</c:v>
                </c:pt>
                <c:pt idx="2">
                  <c:v>2.8433099168421592</c:v>
                </c:pt>
                <c:pt idx="3">
                  <c:v>-8.4570852099066016</c:v>
                </c:pt>
                <c:pt idx="4">
                  <c:v>-4.9048959538335097</c:v>
                </c:pt>
                <c:pt idx="5">
                  <c:v>8.2524866617211003</c:v>
                </c:pt>
                <c:pt idx="6">
                  <c:v>0.10124417113887318</c:v>
                </c:pt>
                <c:pt idx="7">
                  <c:v>5.1991655761567301</c:v>
                </c:pt>
                <c:pt idx="8">
                  <c:v>-4.2620326355647435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25.579593238439752</c:v>
                </c:pt>
                <c:pt idx="1">
                  <c:v>27.401695875639383</c:v>
                </c:pt>
                <c:pt idx="2">
                  <c:v>28.168559828983248</c:v>
                </c:pt>
                <c:pt idx="3">
                  <c:v>28.699744694795182</c:v>
                </c:pt>
                <c:pt idx="4">
                  <c:v>27.526629945729738</c:v>
                </c:pt>
                <c:pt idx="5">
                  <c:v>29.880785800881412</c:v>
                </c:pt>
                <c:pt idx="6">
                  <c:v>31.399053311348673</c:v>
                </c:pt>
                <c:pt idx="7">
                  <c:v>32.04154656777888</c:v>
                </c:pt>
                <c:pt idx="8">
                  <c:v>33.297068548179425</c:v>
                </c:pt>
                <c:pt idx="9">
                  <c:v>33.670781149647787</c:v>
                </c:pt>
                <c:pt idx="10">
                  <c:v>34.458283214558655</c:v>
                </c:pt>
                <c:pt idx="11">
                  <c:v>30.950054034029716</c:v>
                </c:pt>
                <c:pt idx="12">
                  <c:v>31.211993316457065</c:v>
                </c:pt>
                <c:pt idx="13">
                  <c:v>31.522566255083103</c:v>
                </c:pt>
                <c:pt idx="14">
                  <c:v>31.904695381422535</c:v>
                </c:pt>
                <c:pt idx="15">
                  <c:v>32.22615843098864</c:v>
                </c:pt>
                <c:pt idx="16">
                  <c:v>32.526246360270804</c:v>
                </c:pt>
                <c:pt idx="17">
                  <c:v>32.823681202214082</c:v>
                </c:pt>
                <c:pt idx="18">
                  <c:v>33.13042388283143</c:v>
                </c:pt>
                <c:pt idx="19">
                  <c:v>33.432236125865728</c:v>
                </c:pt>
                <c:pt idx="20">
                  <c:v>33.757242360926597</c:v>
                </c:pt>
                <c:pt idx="21">
                  <c:v>34.075590166704309</c:v>
                </c:pt>
                <c:pt idx="22">
                  <c:v>34.399140780529471</c:v>
                </c:pt>
                <c:pt idx="23">
                  <c:v>34.73038864761304</c:v>
                </c:pt>
                <c:pt idx="24">
                  <c:v>35.066762457075669</c:v>
                </c:pt>
                <c:pt idx="25">
                  <c:v>35.408151196311948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10.282587629093728</c:v>
                </c:pt>
                <c:pt idx="1">
                  <c:v>11.109478713863156</c:v>
                </c:pt>
                <c:pt idx="2">
                  <c:v>11.474032415352582</c:v>
                </c:pt>
                <c:pt idx="3">
                  <c:v>11.616670819068126</c:v>
                </c:pt>
                <c:pt idx="4">
                  <c:v>12.717243041478392</c:v>
                </c:pt>
                <c:pt idx="5">
                  <c:v>12.511934815118927</c:v>
                </c:pt>
                <c:pt idx="6">
                  <c:v>11.586411528116834</c:v>
                </c:pt>
                <c:pt idx="7">
                  <c:v>12.942880567812312</c:v>
                </c:pt>
                <c:pt idx="8">
                  <c:v>12.67809337636805</c:v>
                </c:pt>
                <c:pt idx="9">
                  <c:v>12.674366859929494</c:v>
                </c:pt>
                <c:pt idx="10">
                  <c:v>13.203950057125674</c:v>
                </c:pt>
                <c:pt idx="11">
                  <c:v>15.369630190071724</c:v>
                </c:pt>
                <c:pt idx="12">
                  <c:v>15.633850992007403</c:v>
                </c:pt>
                <c:pt idx="13">
                  <c:v>15.880918861873369</c:v>
                </c:pt>
                <c:pt idx="14">
                  <c:v>16.141714249389651</c:v>
                </c:pt>
                <c:pt idx="15">
                  <c:v>16.398688936426073</c:v>
                </c:pt>
                <c:pt idx="16">
                  <c:v>16.632739225410038</c:v>
                </c:pt>
                <c:pt idx="17">
                  <c:v>16.857037765177928</c:v>
                </c:pt>
                <c:pt idx="18">
                  <c:v>17.088390198860765</c:v>
                </c:pt>
                <c:pt idx="19">
                  <c:v>17.332789646674787</c:v>
                </c:pt>
                <c:pt idx="20">
                  <c:v>17.587668595400455</c:v>
                </c:pt>
                <c:pt idx="21">
                  <c:v>17.842367475900307</c:v>
                </c:pt>
                <c:pt idx="22">
                  <c:v>18.095040021004476</c:v>
                </c:pt>
                <c:pt idx="23">
                  <c:v>18.357435983638016</c:v>
                </c:pt>
                <c:pt idx="24">
                  <c:v>18.639187137724537</c:v>
                </c:pt>
                <c:pt idx="25">
                  <c:v>18.931739103093843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22.377811895442257</c:v>
                </c:pt>
                <c:pt idx="1">
                  <c:v>21.147922737477582</c:v>
                </c:pt>
                <c:pt idx="2">
                  <c:v>21.373272016484531</c:v>
                </c:pt>
                <c:pt idx="3">
                  <c:v>21.389519267710163</c:v>
                </c:pt>
                <c:pt idx="4">
                  <c:v>22.292308176904612</c:v>
                </c:pt>
                <c:pt idx="5">
                  <c:v>23.692567314037618</c:v>
                </c:pt>
                <c:pt idx="6">
                  <c:v>24.089672943557421</c:v>
                </c:pt>
                <c:pt idx="7">
                  <c:v>23.173002025289225</c:v>
                </c:pt>
                <c:pt idx="8">
                  <c:v>25.387472391358397</c:v>
                </c:pt>
                <c:pt idx="9">
                  <c:v>25.522442469208741</c:v>
                </c:pt>
                <c:pt idx="10">
                  <c:v>26.685661715036868</c:v>
                </c:pt>
                <c:pt idx="11">
                  <c:v>26.537113256952846</c:v>
                </c:pt>
                <c:pt idx="12">
                  <c:v>26.764829987412725</c:v>
                </c:pt>
                <c:pt idx="13">
                  <c:v>27.046421478353572</c:v>
                </c:pt>
                <c:pt idx="14">
                  <c:v>27.387056553464774</c:v>
                </c:pt>
                <c:pt idx="15">
                  <c:v>27.673922841497888</c:v>
                </c:pt>
                <c:pt idx="16">
                  <c:v>27.930870573373916</c:v>
                </c:pt>
                <c:pt idx="17">
                  <c:v>28.174412322317384</c:v>
                </c:pt>
                <c:pt idx="18">
                  <c:v>28.414114414731127</c:v>
                </c:pt>
                <c:pt idx="19">
                  <c:v>28.65343845519612</c:v>
                </c:pt>
                <c:pt idx="20">
                  <c:v>28.921174488978188</c:v>
                </c:pt>
                <c:pt idx="21">
                  <c:v>29.185548361479622</c:v>
                </c:pt>
                <c:pt idx="22">
                  <c:v>29.454938667119137</c:v>
                </c:pt>
                <c:pt idx="23">
                  <c:v>29.720744595972111</c:v>
                </c:pt>
                <c:pt idx="24">
                  <c:v>29.999021411339609</c:v>
                </c:pt>
                <c:pt idx="25">
                  <c:v>30.275163891514985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20.190295533415998</c:v>
                </c:pt>
                <c:pt idx="1">
                  <c:v>21.70156410510868</c:v>
                </c:pt>
                <c:pt idx="2">
                  <c:v>22.504275666399398</c:v>
                </c:pt>
                <c:pt idx="3">
                  <c:v>22.874578467079271</c:v>
                </c:pt>
                <c:pt idx="4">
                  <c:v>23.07166554117379</c:v>
                </c:pt>
                <c:pt idx="5">
                  <c:v>21.674771905892207</c:v>
                </c:pt>
                <c:pt idx="6">
                  <c:v>24.616500003749774</c:v>
                </c:pt>
                <c:pt idx="7">
                  <c:v>26.243237289701206</c:v>
                </c:pt>
                <c:pt idx="8">
                  <c:v>25.449093962651098</c:v>
                </c:pt>
                <c:pt idx="9">
                  <c:v>27.315802663195473</c:v>
                </c:pt>
                <c:pt idx="10">
                  <c:v>26.829030859021046</c:v>
                </c:pt>
                <c:pt idx="11">
                  <c:v>27.84604930574497</c:v>
                </c:pt>
                <c:pt idx="12">
                  <c:v>28.172919765327556</c:v>
                </c:pt>
                <c:pt idx="13">
                  <c:v>28.521900909903302</c:v>
                </c:pt>
                <c:pt idx="14">
                  <c:v>28.919138288718457</c:v>
                </c:pt>
                <c:pt idx="15">
                  <c:v>29.254758568518618</c:v>
                </c:pt>
                <c:pt idx="16">
                  <c:v>29.570348500553241</c:v>
                </c:pt>
                <c:pt idx="17">
                  <c:v>29.875101977132218</c:v>
                </c:pt>
                <c:pt idx="18">
                  <c:v>30.136415853810732</c:v>
                </c:pt>
                <c:pt idx="19">
                  <c:v>30.430130862116254</c:v>
                </c:pt>
                <c:pt idx="20">
                  <c:v>30.719924226145515</c:v>
                </c:pt>
                <c:pt idx="21">
                  <c:v>31.013531048485373</c:v>
                </c:pt>
                <c:pt idx="22">
                  <c:v>31.304813699953783</c:v>
                </c:pt>
                <c:pt idx="23">
                  <c:v>31.600065314680563</c:v>
                </c:pt>
                <c:pt idx="24">
                  <c:v>31.888189360094408</c:v>
                </c:pt>
                <c:pt idx="25">
                  <c:v>32.15203505660476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20.456879175385708</c:v>
                </c:pt>
                <c:pt idx="1">
                  <c:v>21.055623593171266</c:v>
                </c:pt>
                <c:pt idx="2">
                  <c:v>19.699149496513829</c:v>
                </c:pt>
                <c:pt idx="3">
                  <c:v>19.701836017610951</c:v>
                </c:pt>
                <c:pt idx="4">
                  <c:v>19.412369086952417</c:v>
                </c:pt>
                <c:pt idx="5">
                  <c:v>19.540374765671238</c:v>
                </c:pt>
                <c:pt idx="6">
                  <c:v>20.300023917060319</c:v>
                </c:pt>
                <c:pt idx="7">
                  <c:v>19.859628265893946</c:v>
                </c:pt>
                <c:pt idx="8">
                  <c:v>19.555534387074609</c:v>
                </c:pt>
                <c:pt idx="9">
                  <c:v>20.765597855160525</c:v>
                </c:pt>
                <c:pt idx="10">
                  <c:v>21.982938940498279</c:v>
                </c:pt>
                <c:pt idx="11">
                  <c:v>22.24757306017797</c:v>
                </c:pt>
                <c:pt idx="12">
                  <c:v>22.465319219316946</c:v>
                </c:pt>
                <c:pt idx="13">
                  <c:v>22.754448756782882</c:v>
                </c:pt>
                <c:pt idx="14">
                  <c:v>23.075806562352689</c:v>
                </c:pt>
                <c:pt idx="15">
                  <c:v>23.36668850989928</c:v>
                </c:pt>
                <c:pt idx="16">
                  <c:v>23.657690395630262</c:v>
                </c:pt>
                <c:pt idx="17">
                  <c:v>23.950359633841479</c:v>
                </c:pt>
                <c:pt idx="18">
                  <c:v>24.226544812781121</c:v>
                </c:pt>
                <c:pt idx="19">
                  <c:v>24.484415491909797</c:v>
                </c:pt>
                <c:pt idx="20">
                  <c:v>24.754342307593173</c:v>
                </c:pt>
                <c:pt idx="21">
                  <c:v>25.037498639394563</c:v>
                </c:pt>
                <c:pt idx="22">
                  <c:v>25.291167337923142</c:v>
                </c:pt>
                <c:pt idx="23">
                  <c:v>25.549403136739386</c:v>
                </c:pt>
                <c:pt idx="24">
                  <c:v>25.804776118367801</c:v>
                </c:pt>
                <c:pt idx="25">
                  <c:v>26.048744205571939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23.181834838611632</c:v>
                </c:pt>
                <c:pt idx="1">
                  <c:v>21.826206115414511</c:v>
                </c:pt>
                <c:pt idx="2">
                  <c:v>20.995130824054332</c:v>
                </c:pt>
                <c:pt idx="3">
                  <c:v>22.355232032549083</c:v>
                </c:pt>
                <c:pt idx="4">
                  <c:v>22.389596756490537</c:v>
                </c:pt>
                <c:pt idx="5">
                  <c:v>22.80619365915933</c:v>
                </c:pt>
                <c:pt idx="6">
                  <c:v>23.880882131659078</c:v>
                </c:pt>
                <c:pt idx="7">
                  <c:v>24.162927613730837</c:v>
                </c:pt>
                <c:pt idx="8">
                  <c:v>25.683521007827142</c:v>
                </c:pt>
                <c:pt idx="9">
                  <c:v>25.456333561960083</c:v>
                </c:pt>
                <c:pt idx="10">
                  <c:v>27.886221209663034</c:v>
                </c:pt>
                <c:pt idx="11">
                  <c:v>29.570554921212487</c:v>
                </c:pt>
                <c:pt idx="12">
                  <c:v>29.864256531862942</c:v>
                </c:pt>
                <c:pt idx="13">
                  <c:v>30.241167428856798</c:v>
                </c:pt>
                <c:pt idx="14">
                  <c:v>30.689591351831908</c:v>
                </c:pt>
                <c:pt idx="15">
                  <c:v>31.080990691346837</c:v>
                </c:pt>
                <c:pt idx="16">
                  <c:v>31.458809587616525</c:v>
                </c:pt>
                <c:pt idx="17">
                  <c:v>31.840493012835317</c:v>
                </c:pt>
                <c:pt idx="18">
                  <c:v>32.243816569038422</c:v>
                </c:pt>
                <c:pt idx="19">
                  <c:v>32.643303922806837</c:v>
                </c:pt>
                <c:pt idx="20">
                  <c:v>33.067746380898612</c:v>
                </c:pt>
                <c:pt idx="21">
                  <c:v>33.488339561866702</c:v>
                </c:pt>
                <c:pt idx="22">
                  <c:v>33.911620627770603</c:v>
                </c:pt>
                <c:pt idx="23">
                  <c:v>34.346763324747137</c:v>
                </c:pt>
                <c:pt idx="24">
                  <c:v>34.780492502895754</c:v>
                </c:pt>
                <c:pt idx="25">
                  <c:v>35.208060016251721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8.0026378401913014</c:v>
                </c:pt>
                <c:pt idx="1">
                  <c:v>7.8918188838311778</c:v>
                </c:pt>
                <c:pt idx="2">
                  <c:v>7.9566676567861307</c:v>
                </c:pt>
                <c:pt idx="3">
                  <c:v>8.0950719656552472</c:v>
                </c:pt>
                <c:pt idx="4">
                  <c:v>7.5275931013521156</c:v>
                </c:pt>
                <c:pt idx="5">
                  <c:v>7.6396337675645318</c:v>
                </c:pt>
                <c:pt idx="6">
                  <c:v>7.7316004319096399</c:v>
                </c:pt>
                <c:pt idx="7">
                  <c:v>8.4433808137116042</c:v>
                </c:pt>
                <c:pt idx="8">
                  <c:v>8.6189110609179558</c:v>
                </c:pt>
                <c:pt idx="9">
                  <c:v>8.0778177441015497</c:v>
                </c:pt>
                <c:pt idx="10">
                  <c:v>8.7583830870047237</c:v>
                </c:pt>
                <c:pt idx="11">
                  <c:v>7.3737508482823548</c:v>
                </c:pt>
                <c:pt idx="12">
                  <c:v>7.3971727148162119</c:v>
                </c:pt>
                <c:pt idx="13">
                  <c:v>7.4315513350589963</c:v>
                </c:pt>
                <c:pt idx="14">
                  <c:v>7.4817460731228964</c:v>
                </c:pt>
                <c:pt idx="15">
                  <c:v>7.5158864549179052</c:v>
                </c:pt>
                <c:pt idx="16">
                  <c:v>7.5472509978041025</c:v>
                </c:pt>
                <c:pt idx="17">
                  <c:v>7.5743287865842346</c:v>
                </c:pt>
                <c:pt idx="18">
                  <c:v>7.6021161370731614</c:v>
                </c:pt>
                <c:pt idx="19">
                  <c:v>7.6227281728263474</c:v>
                </c:pt>
                <c:pt idx="20">
                  <c:v>7.6471815463463866</c:v>
                </c:pt>
                <c:pt idx="21">
                  <c:v>7.67512157304356</c:v>
                </c:pt>
                <c:pt idx="22">
                  <c:v>7.701147212751394</c:v>
                </c:pt>
                <c:pt idx="23">
                  <c:v>7.7271501834338672</c:v>
                </c:pt>
                <c:pt idx="24">
                  <c:v>7.7601480627335855</c:v>
                </c:pt>
                <c:pt idx="25">
                  <c:v>7.7929826577159558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7.4533977210465165</c:v>
                </c:pt>
                <c:pt idx="1">
                  <c:v>9.6402914284411612</c:v>
                </c:pt>
                <c:pt idx="2">
                  <c:v>9.6565284049571467</c:v>
                </c:pt>
                <c:pt idx="3">
                  <c:v>9.3633055853096216</c:v>
                </c:pt>
                <c:pt idx="4">
                  <c:v>9.4873040570003813</c:v>
                </c:pt>
                <c:pt idx="5">
                  <c:v>9.0328897579836394</c:v>
                </c:pt>
                <c:pt idx="6">
                  <c:v>10.067518877132974</c:v>
                </c:pt>
                <c:pt idx="7">
                  <c:v>10.260715582861984</c:v>
                </c:pt>
                <c:pt idx="8">
                  <c:v>10.639545655659225</c:v>
                </c:pt>
                <c:pt idx="9">
                  <c:v>10.956729770428341</c:v>
                </c:pt>
                <c:pt idx="10">
                  <c:v>11.033633555444206</c:v>
                </c:pt>
                <c:pt idx="11">
                  <c:v>10.775479689673926</c:v>
                </c:pt>
                <c:pt idx="12">
                  <c:v>10.914720817465346</c:v>
                </c:pt>
                <c:pt idx="13">
                  <c:v>11.060559549407602</c:v>
                </c:pt>
                <c:pt idx="14">
                  <c:v>11.224799784077442</c:v>
                </c:pt>
                <c:pt idx="15">
                  <c:v>11.362405938440382</c:v>
                </c:pt>
                <c:pt idx="16">
                  <c:v>11.489489309434774</c:v>
                </c:pt>
                <c:pt idx="17">
                  <c:v>11.613532197854431</c:v>
                </c:pt>
                <c:pt idx="18">
                  <c:v>11.742761029893552</c:v>
                </c:pt>
                <c:pt idx="19">
                  <c:v>11.866871312785403</c:v>
                </c:pt>
                <c:pt idx="20">
                  <c:v>11.990685196717719</c:v>
                </c:pt>
                <c:pt idx="21">
                  <c:v>12.103423596120086</c:v>
                </c:pt>
                <c:pt idx="22">
                  <c:v>12.211814813659844</c:v>
                </c:pt>
                <c:pt idx="23">
                  <c:v>12.338007919448868</c:v>
                </c:pt>
                <c:pt idx="24">
                  <c:v>12.464333097647028</c:v>
                </c:pt>
                <c:pt idx="25">
                  <c:v>12.588267509691507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4.3847456175225963</c:v>
                </c:pt>
                <c:pt idx="1">
                  <c:v>4.9115292651673448</c:v>
                </c:pt>
                <c:pt idx="2">
                  <c:v>5.1879496914215499</c:v>
                </c:pt>
                <c:pt idx="3">
                  <c:v>4.5116944284687861</c:v>
                </c:pt>
                <c:pt idx="4">
                  <c:v>4.7548846718762015</c:v>
                </c:pt>
                <c:pt idx="5">
                  <c:v>4.4444232941510675</c:v>
                </c:pt>
                <c:pt idx="6">
                  <c:v>4.8746564590373813</c:v>
                </c:pt>
                <c:pt idx="7">
                  <c:v>4.6762088076401831</c:v>
                </c:pt>
                <c:pt idx="8">
                  <c:v>4.5919056855440186</c:v>
                </c:pt>
                <c:pt idx="9">
                  <c:v>4.4270085893151148</c:v>
                </c:pt>
                <c:pt idx="10">
                  <c:v>4.7001992247175384</c:v>
                </c:pt>
                <c:pt idx="11">
                  <c:v>5.2480015015099708</c:v>
                </c:pt>
                <c:pt idx="12">
                  <c:v>5.345221490821066</c:v>
                </c:pt>
                <c:pt idx="13">
                  <c:v>5.4525264924214936</c:v>
                </c:pt>
                <c:pt idx="14">
                  <c:v>5.5767874409855107</c:v>
                </c:pt>
                <c:pt idx="15">
                  <c:v>5.69735112555668</c:v>
                </c:pt>
                <c:pt idx="16">
                  <c:v>5.8022048469176415</c:v>
                </c:pt>
                <c:pt idx="17">
                  <c:v>5.9054388598480552</c:v>
                </c:pt>
                <c:pt idx="18">
                  <c:v>5.9915946681660941</c:v>
                </c:pt>
                <c:pt idx="19">
                  <c:v>6.1068670381465351</c:v>
                </c:pt>
                <c:pt idx="20">
                  <c:v>6.2043813731658952</c:v>
                </c:pt>
                <c:pt idx="21">
                  <c:v>6.3003570587587214</c:v>
                </c:pt>
                <c:pt idx="22">
                  <c:v>6.3821898289626704</c:v>
                </c:pt>
                <c:pt idx="23">
                  <c:v>6.5008449120898337</c:v>
                </c:pt>
                <c:pt idx="24">
                  <c:v>6.5855470290785822</c:v>
                </c:pt>
                <c:pt idx="25">
                  <c:v>6.7057443147351909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6.1358370109161919</c:v>
                </c:pt>
                <c:pt idx="1">
                  <c:v>5.4715088391413085</c:v>
                </c:pt>
                <c:pt idx="2">
                  <c:v>5.9313934480462036</c:v>
                </c:pt>
                <c:pt idx="3">
                  <c:v>6.1979401114567683</c:v>
                </c:pt>
                <c:pt idx="4">
                  <c:v>6.3931837189110849</c:v>
                </c:pt>
                <c:pt idx="5">
                  <c:v>7.5269975158661104</c:v>
                </c:pt>
                <c:pt idx="6">
                  <c:v>6.9017045137573643</c:v>
                </c:pt>
                <c:pt idx="7">
                  <c:v>7.3001313924002416</c:v>
                </c:pt>
                <c:pt idx="8">
                  <c:v>6.6834593502709652</c:v>
                </c:pt>
                <c:pt idx="9">
                  <c:v>7.4707121265529315</c:v>
                </c:pt>
                <c:pt idx="10">
                  <c:v>7.6662439139121092</c:v>
                </c:pt>
                <c:pt idx="11">
                  <c:v>7.1276068497315004</c:v>
                </c:pt>
                <c:pt idx="12">
                  <c:v>7.0290115605976364</c:v>
                </c:pt>
                <c:pt idx="13">
                  <c:v>7.0459875372715786</c:v>
                </c:pt>
                <c:pt idx="14">
                  <c:v>7.1380119569636653</c:v>
                </c:pt>
                <c:pt idx="15">
                  <c:v>7.2223067456246826</c:v>
                </c:pt>
                <c:pt idx="16">
                  <c:v>7.297705325039022</c:v>
                </c:pt>
                <c:pt idx="17">
                  <c:v>7.370373356019579</c:v>
                </c:pt>
                <c:pt idx="18">
                  <c:v>7.4458324890492058</c:v>
                </c:pt>
                <c:pt idx="19">
                  <c:v>7.5229663488957987</c:v>
                </c:pt>
                <c:pt idx="20">
                  <c:v>7.6072543395279677</c:v>
                </c:pt>
                <c:pt idx="21">
                  <c:v>7.6826981623624411</c:v>
                </c:pt>
                <c:pt idx="22">
                  <c:v>7.7674684028824732</c:v>
                </c:pt>
                <c:pt idx="23">
                  <c:v>7.8576607391102531</c:v>
                </c:pt>
                <c:pt idx="24">
                  <c:v>7.9399584690172924</c:v>
                </c:pt>
                <c:pt idx="25">
                  <c:v>8.0255058830183881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27.396421917111965</c:v>
                </c:pt>
                <c:pt idx="1">
                  <c:v>25.170550804360605</c:v>
                </c:pt>
                <c:pt idx="2">
                  <c:v>25.785441661630305</c:v>
                </c:pt>
                <c:pt idx="3">
                  <c:v>25.848239309712579</c:v>
                </c:pt>
                <c:pt idx="4">
                  <c:v>26.610150107326568</c:v>
                </c:pt>
                <c:pt idx="5">
                  <c:v>27.483441028271102</c:v>
                </c:pt>
                <c:pt idx="6">
                  <c:v>27.354400172788637</c:v>
                </c:pt>
                <c:pt idx="7">
                  <c:v>28.465554515110426</c:v>
                </c:pt>
                <c:pt idx="8">
                  <c:v>28.199689935393781</c:v>
                </c:pt>
                <c:pt idx="9">
                  <c:v>27.784113801495693</c:v>
                </c:pt>
                <c:pt idx="10">
                  <c:v>28.712103349013955</c:v>
                </c:pt>
                <c:pt idx="11">
                  <c:v>26.91749460760585</c:v>
                </c:pt>
                <c:pt idx="12">
                  <c:v>27.018214358900138</c:v>
                </c:pt>
                <c:pt idx="13">
                  <c:v>27.152195990895187</c:v>
                </c:pt>
                <c:pt idx="14">
                  <c:v>27.330556269373972</c:v>
                </c:pt>
                <c:pt idx="15">
                  <c:v>27.446946831196055</c:v>
                </c:pt>
                <c:pt idx="16">
                  <c:v>27.540457403062423</c:v>
                </c:pt>
                <c:pt idx="17">
                  <c:v>27.625940695322363</c:v>
                </c:pt>
                <c:pt idx="18">
                  <c:v>27.73575360821561</c:v>
                </c:pt>
                <c:pt idx="19">
                  <c:v>27.840756390091904</c:v>
                </c:pt>
                <c:pt idx="20">
                  <c:v>27.964722540825782</c:v>
                </c:pt>
                <c:pt idx="21">
                  <c:v>28.091064625918978</c:v>
                </c:pt>
                <c:pt idx="22">
                  <c:v>28.221526994759124</c:v>
                </c:pt>
                <c:pt idx="23">
                  <c:v>28.341929193923672</c:v>
                </c:pt>
                <c:pt idx="24">
                  <c:v>28.479739611900644</c:v>
                </c:pt>
                <c:pt idx="25">
                  <c:v>28.60137268177365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45.161833904360776</c:v>
                </c:pt>
                <c:pt idx="1">
                  <c:v>46.115132316247113</c:v>
                </c:pt>
                <c:pt idx="2">
                  <c:v>47.259612307060692</c:v>
                </c:pt>
                <c:pt idx="3">
                  <c:v>45.025754410125678</c:v>
                </c:pt>
                <c:pt idx="4">
                  <c:v>46.156371669307269</c:v>
                </c:pt>
                <c:pt idx="5">
                  <c:v>49.138399456658071</c:v>
                </c:pt>
                <c:pt idx="6">
                  <c:v>47.20739248200384</c:v>
                </c:pt>
                <c:pt idx="7">
                  <c:v>48.978127392640417</c:v>
                </c:pt>
                <c:pt idx="8">
                  <c:v>47.505286060506641</c:v>
                </c:pt>
                <c:pt idx="9">
                  <c:v>45.16515184624641</c:v>
                </c:pt>
                <c:pt idx="10">
                  <c:v>47.317539575288471</c:v>
                </c:pt>
                <c:pt idx="11">
                  <c:v>44.057363760533121</c:v>
                </c:pt>
                <c:pt idx="12">
                  <c:v>44.011200769834474</c:v>
                </c:pt>
                <c:pt idx="13">
                  <c:v>43.955441614926634</c:v>
                </c:pt>
                <c:pt idx="14">
                  <c:v>43.947499598574666</c:v>
                </c:pt>
                <c:pt idx="15">
                  <c:v>43.850294522272151</c:v>
                </c:pt>
                <c:pt idx="16">
                  <c:v>43.690925580091651</c:v>
                </c:pt>
                <c:pt idx="17">
                  <c:v>43.482759299845604</c:v>
                </c:pt>
                <c:pt idx="18">
                  <c:v>43.258909287446805</c:v>
                </c:pt>
                <c:pt idx="19">
                  <c:v>43.041504008103537</c:v>
                </c:pt>
                <c:pt idx="20">
                  <c:v>42.846698593311238</c:v>
                </c:pt>
                <c:pt idx="21">
                  <c:v>42.635041701430175</c:v>
                </c:pt>
                <c:pt idx="22">
                  <c:v>42.399505020870976</c:v>
                </c:pt>
                <c:pt idx="23">
                  <c:v>42.160105531344598</c:v>
                </c:pt>
                <c:pt idx="24">
                  <c:v>41.896682124452767</c:v>
                </c:pt>
                <c:pt idx="25">
                  <c:v>41.608672087451644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12.677210249266139</c:v>
                </c:pt>
                <c:pt idx="1">
                  <c:v>11.793133470142468</c:v>
                </c:pt>
                <c:pt idx="2">
                  <c:v>11.397119315294333</c:v>
                </c:pt>
                <c:pt idx="3">
                  <c:v>11.404814543975085</c:v>
                </c:pt>
                <c:pt idx="4">
                  <c:v>11.296172004140891</c:v>
                </c:pt>
                <c:pt idx="5">
                  <c:v>10.999553279205763</c:v>
                </c:pt>
                <c:pt idx="6">
                  <c:v>10.405000766087859</c:v>
                </c:pt>
                <c:pt idx="7">
                  <c:v>11.127101017212677</c:v>
                </c:pt>
                <c:pt idx="8">
                  <c:v>10.890168824319764</c:v>
                </c:pt>
                <c:pt idx="9">
                  <c:v>9.4948630690001199</c:v>
                </c:pt>
                <c:pt idx="10">
                  <c:v>9.2883893892272287</c:v>
                </c:pt>
                <c:pt idx="11">
                  <c:v>10.351050636282958</c:v>
                </c:pt>
                <c:pt idx="12">
                  <c:v>10.248469899483082</c:v>
                </c:pt>
                <c:pt idx="13">
                  <c:v>10.104476054035839</c:v>
                </c:pt>
                <c:pt idx="14">
                  <c:v>9.9597913614158546</c:v>
                </c:pt>
                <c:pt idx="15">
                  <c:v>9.7532263685531753</c:v>
                </c:pt>
                <c:pt idx="16">
                  <c:v>9.4607210997804341</c:v>
                </c:pt>
                <c:pt idx="17">
                  <c:v>9.1843745318693095</c:v>
                </c:pt>
                <c:pt idx="18">
                  <c:v>8.8807744282214749</c:v>
                </c:pt>
                <c:pt idx="19">
                  <c:v>8.5511369924143903</c:v>
                </c:pt>
                <c:pt idx="20">
                  <c:v>8.2166974189228004</c:v>
                </c:pt>
                <c:pt idx="21">
                  <c:v>7.8675035476835111</c:v>
                </c:pt>
                <c:pt idx="22">
                  <c:v>7.54313583564889</c:v>
                </c:pt>
                <c:pt idx="23">
                  <c:v>7.1367812383036151</c:v>
                </c:pt>
                <c:pt idx="24">
                  <c:v>6.7893254966577024</c:v>
                </c:pt>
                <c:pt idx="25">
                  <c:v>6.5401716671574537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4.080435662613568</c:v>
                </c:pt>
                <c:pt idx="1">
                  <c:v>3.5904698845939773</c:v>
                </c:pt>
                <c:pt idx="2">
                  <c:v>4.3377884149111736</c:v>
                </c:pt>
                <c:pt idx="3">
                  <c:v>3.2697117352010374</c:v>
                </c:pt>
                <c:pt idx="4">
                  <c:v>3.2934022970348686</c:v>
                </c:pt>
                <c:pt idx="5">
                  <c:v>4.3313158907234133</c:v>
                </c:pt>
                <c:pt idx="6">
                  <c:v>3.5746174495726151</c:v>
                </c:pt>
                <c:pt idx="7">
                  <c:v>3.2279705212636527</c:v>
                </c:pt>
                <c:pt idx="8">
                  <c:v>3.8565027737642148</c:v>
                </c:pt>
                <c:pt idx="9">
                  <c:v>3.8065912759839788</c:v>
                </c:pt>
                <c:pt idx="10">
                  <c:v>3.1859142674106149</c:v>
                </c:pt>
                <c:pt idx="11">
                  <c:v>3.1215382572709167</c:v>
                </c:pt>
                <c:pt idx="12">
                  <c:v>3.1487476259115184</c:v>
                </c:pt>
                <c:pt idx="13">
                  <c:v>3.203848969870474</c:v>
                </c:pt>
                <c:pt idx="14">
                  <c:v>3.2681127852174154</c:v>
                </c:pt>
                <c:pt idx="15">
                  <c:v>3.3169662328551017</c:v>
                </c:pt>
                <c:pt idx="16">
                  <c:v>3.3596052987640523</c:v>
                </c:pt>
                <c:pt idx="17">
                  <c:v>3.4018847035326054</c:v>
                </c:pt>
                <c:pt idx="18">
                  <c:v>3.4422752034404591</c:v>
                </c:pt>
                <c:pt idx="19">
                  <c:v>3.4815354747554808</c:v>
                </c:pt>
                <c:pt idx="20">
                  <c:v>3.5211529679083551</c:v>
                </c:pt>
                <c:pt idx="21">
                  <c:v>3.5609264400854461</c:v>
                </c:pt>
                <c:pt idx="22">
                  <c:v>3.5994012675522753</c:v>
                </c:pt>
                <c:pt idx="23">
                  <c:v>3.6386238873945409</c:v>
                </c:pt>
                <c:pt idx="24">
                  <c:v>3.6767096855280021</c:v>
                </c:pt>
                <c:pt idx="25">
                  <c:v>3.713963148852669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26.661298653155974</c:v>
                </c:pt>
                <c:pt idx="1">
                  <c:v>27.83055534218758</c:v>
                </c:pt>
                <c:pt idx="2">
                  <c:v>26.20716600711464</c:v>
                </c:pt>
                <c:pt idx="3">
                  <c:v>26.962480865521833</c:v>
                </c:pt>
                <c:pt idx="4">
                  <c:v>27.624335576488789</c:v>
                </c:pt>
                <c:pt idx="5">
                  <c:v>28.622677836919472</c:v>
                </c:pt>
                <c:pt idx="6">
                  <c:v>25.724720859878769</c:v>
                </c:pt>
                <c:pt idx="7">
                  <c:v>25.635212164857723</c:v>
                </c:pt>
                <c:pt idx="8">
                  <c:v>26.539787075308933</c:v>
                </c:pt>
                <c:pt idx="9">
                  <c:v>28.343637186861049</c:v>
                </c:pt>
                <c:pt idx="10">
                  <c:v>23.336997409184566</c:v>
                </c:pt>
                <c:pt idx="11">
                  <c:v>23.284028694537515</c:v>
                </c:pt>
                <c:pt idx="12">
                  <c:v>23.062878214521525</c:v>
                </c:pt>
                <c:pt idx="13">
                  <c:v>22.870752113240098</c:v>
                </c:pt>
                <c:pt idx="14">
                  <c:v>22.744157348813665</c:v>
                </c:pt>
                <c:pt idx="15">
                  <c:v>22.590240240806626</c:v>
                </c:pt>
                <c:pt idx="16">
                  <c:v>22.413003695326051</c:v>
                </c:pt>
                <c:pt idx="17">
                  <c:v>22.222437634560436</c:v>
                </c:pt>
                <c:pt idx="18">
                  <c:v>22.027109296027</c:v>
                </c:pt>
                <c:pt idx="19">
                  <c:v>21.830954845194878</c:v>
                </c:pt>
                <c:pt idx="20">
                  <c:v>21.656406703999824</c:v>
                </c:pt>
                <c:pt idx="21">
                  <c:v>21.486195839295121</c:v>
                </c:pt>
                <c:pt idx="22">
                  <c:v>21.329162939683638</c:v>
                </c:pt>
                <c:pt idx="23">
                  <c:v>21.169965149019212</c:v>
                </c:pt>
                <c:pt idx="24">
                  <c:v>21.008785389477087</c:v>
                </c:pt>
                <c:pt idx="25">
                  <c:v>20.844900637900004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21.939953590862331</c:v>
                </c:pt>
                <c:pt idx="1">
                  <c:v>19.266645040314831</c:v>
                </c:pt>
                <c:pt idx="2">
                  <c:v>19.142441405836848</c:v>
                </c:pt>
                <c:pt idx="3">
                  <c:v>18.733869847113901</c:v>
                </c:pt>
                <c:pt idx="4">
                  <c:v>17.544630040894642</c:v>
                </c:pt>
                <c:pt idx="5">
                  <c:v>18.67563056886091</c:v>
                </c:pt>
                <c:pt idx="6">
                  <c:v>16.649291473084322</c:v>
                </c:pt>
                <c:pt idx="7">
                  <c:v>17.534964933690933</c:v>
                </c:pt>
                <c:pt idx="8">
                  <c:v>19.903460972146664</c:v>
                </c:pt>
                <c:pt idx="9">
                  <c:v>21.339556958033437</c:v>
                </c:pt>
                <c:pt idx="10">
                  <c:v>17.433599719002551</c:v>
                </c:pt>
                <c:pt idx="11">
                  <c:v>18.461197175676674</c:v>
                </c:pt>
                <c:pt idx="12">
                  <c:v>18.233341932301251</c:v>
                </c:pt>
                <c:pt idx="13">
                  <c:v>17.957262374998237</c:v>
                </c:pt>
                <c:pt idx="14">
                  <c:v>17.749038953573283</c:v>
                </c:pt>
                <c:pt idx="15">
                  <c:v>17.553314521586643</c:v>
                </c:pt>
                <c:pt idx="16">
                  <c:v>17.328481183368844</c:v>
                </c:pt>
                <c:pt idx="17">
                  <c:v>17.097629540171514</c:v>
                </c:pt>
                <c:pt idx="18">
                  <c:v>16.888440145799777</c:v>
                </c:pt>
                <c:pt idx="19">
                  <c:v>16.670066580082185</c:v>
                </c:pt>
                <c:pt idx="20">
                  <c:v>16.451366174416059</c:v>
                </c:pt>
                <c:pt idx="21">
                  <c:v>16.228679713840986</c:v>
                </c:pt>
                <c:pt idx="22">
                  <c:v>16.009762247200502</c:v>
                </c:pt>
                <c:pt idx="23">
                  <c:v>15.795926991542348</c:v>
                </c:pt>
                <c:pt idx="24">
                  <c:v>15.577790865560063</c:v>
                </c:pt>
                <c:pt idx="25">
                  <c:v>15.357819560659681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9.601572239263696</c:v>
                </c:pt>
                <c:pt idx="1">
                  <c:v>8.9838529469678683</c:v>
                </c:pt>
                <c:pt idx="2">
                  <c:v>10.009486938188639</c:v>
                </c:pt>
                <c:pt idx="3">
                  <c:v>9.6592983910193162</c:v>
                </c:pt>
                <c:pt idx="4">
                  <c:v>10.070314235423767</c:v>
                </c:pt>
                <c:pt idx="5">
                  <c:v>9.669103498426562</c:v>
                </c:pt>
                <c:pt idx="6">
                  <c:v>9.4349713612709696</c:v>
                </c:pt>
                <c:pt idx="7">
                  <c:v>10.017404449920406</c:v>
                </c:pt>
                <c:pt idx="8">
                  <c:v>8.8205941600197484</c:v>
                </c:pt>
                <c:pt idx="9">
                  <c:v>8.4461052767901936</c:v>
                </c:pt>
                <c:pt idx="10">
                  <c:v>8.3501192749530908</c:v>
                </c:pt>
                <c:pt idx="11">
                  <c:v>8.3467833222147334</c:v>
                </c:pt>
                <c:pt idx="12">
                  <c:v>8.28326499554794</c:v>
                </c:pt>
                <c:pt idx="13">
                  <c:v>8.1775334814271989</c:v>
                </c:pt>
                <c:pt idx="14">
                  <c:v>8.0892341259772955</c:v>
                </c:pt>
                <c:pt idx="15">
                  <c:v>8.0010898829984018</c:v>
                </c:pt>
                <c:pt idx="16">
                  <c:v>7.9311174928615538</c:v>
                </c:pt>
                <c:pt idx="17">
                  <c:v>7.8632794378411086</c:v>
                </c:pt>
                <c:pt idx="18">
                  <c:v>7.8040556929264611</c:v>
                </c:pt>
                <c:pt idx="19">
                  <c:v>7.7512092978902878</c:v>
                </c:pt>
                <c:pt idx="20">
                  <c:v>7.7037808446922726</c:v>
                </c:pt>
                <c:pt idx="21">
                  <c:v>7.6547808052974835</c:v>
                </c:pt>
                <c:pt idx="22">
                  <c:v>7.6064529848607432</c:v>
                </c:pt>
                <c:pt idx="23">
                  <c:v>7.5605604201529015</c:v>
                </c:pt>
                <c:pt idx="24">
                  <c:v>7.5181269307002916</c:v>
                </c:pt>
                <c:pt idx="25">
                  <c:v>7.4850513693049479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40.033207993116129</c:v>
                </c:pt>
                <c:pt idx="1">
                  <c:v>37.959200933851498</c:v>
                </c:pt>
                <c:pt idx="2">
                  <c:v>38.406042557451286</c:v>
                </c:pt>
                <c:pt idx="3">
                  <c:v>38.25971965827393</c:v>
                </c:pt>
                <c:pt idx="4">
                  <c:v>39.543933941939848</c:v>
                </c:pt>
                <c:pt idx="5">
                  <c:v>38.549226321705412</c:v>
                </c:pt>
                <c:pt idx="6">
                  <c:v>41.942520287753212</c:v>
                </c:pt>
                <c:pt idx="7">
                  <c:v>42.545881975677794</c:v>
                </c:pt>
                <c:pt idx="8">
                  <c:v>40.176890723472624</c:v>
                </c:pt>
                <c:pt idx="9">
                  <c:v>41.061869374214055</c:v>
                </c:pt>
                <c:pt idx="10">
                  <c:v>39.805845710644</c:v>
                </c:pt>
                <c:pt idx="11">
                  <c:v>41.393943044685422</c:v>
                </c:pt>
                <c:pt idx="12">
                  <c:v>41.844931238740649</c:v>
                </c:pt>
                <c:pt idx="13">
                  <c:v>42.350589082901635</c:v>
                </c:pt>
                <c:pt idx="14">
                  <c:v>42.916675554131622</c:v>
                </c:pt>
                <c:pt idx="15">
                  <c:v>43.392777484738282</c:v>
                </c:pt>
                <c:pt idx="16">
                  <c:v>43.834033264990289</c:v>
                </c:pt>
                <c:pt idx="17">
                  <c:v>44.261168458521553</c:v>
                </c:pt>
                <c:pt idx="18">
                  <c:v>44.711112044394433</c:v>
                </c:pt>
                <c:pt idx="19">
                  <c:v>45.143675221735613</c:v>
                </c:pt>
                <c:pt idx="20">
                  <c:v>45.573022045842748</c:v>
                </c:pt>
                <c:pt idx="21">
                  <c:v>46.013827133101913</c:v>
                </c:pt>
                <c:pt idx="22">
                  <c:v>46.443055625807503</c:v>
                </c:pt>
                <c:pt idx="23">
                  <c:v>46.901801054867207</c:v>
                </c:pt>
                <c:pt idx="24">
                  <c:v>47.363787799760779</c:v>
                </c:pt>
                <c:pt idx="25">
                  <c:v>47.806525479323881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8.9170316585108402</c:v>
                </c:pt>
                <c:pt idx="1">
                  <c:v>10.106101074173056</c:v>
                </c:pt>
                <c:pt idx="2">
                  <c:v>9.5986225024087677</c:v>
                </c:pt>
                <c:pt idx="3">
                  <c:v>9.6299066863696687</c:v>
                </c:pt>
                <c:pt idx="4">
                  <c:v>9.378679267001468</c:v>
                </c:pt>
                <c:pt idx="5">
                  <c:v>11.482295485656088</c:v>
                </c:pt>
                <c:pt idx="6">
                  <c:v>11.590410131388957</c:v>
                </c:pt>
                <c:pt idx="7">
                  <c:v>11.344925892794908</c:v>
                </c:pt>
                <c:pt idx="8">
                  <c:v>10.053805296838453</c:v>
                </c:pt>
                <c:pt idx="9">
                  <c:v>10.028377892597494</c:v>
                </c:pt>
                <c:pt idx="10">
                  <c:v>9.1467848880288667</c:v>
                </c:pt>
                <c:pt idx="11">
                  <c:v>9.1758400468276218</c:v>
                </c:pt>
                <c:pt idx="12">
                  <c:v>9.1844571380669038</c:v>
                </c:pt>
                <c:pt idx="13">
                  <c:v>9.210293413907582</c:v>
                </c:pt>
                <c:pt idx="14">
                  <c:v>9.2505254747091605</c:v>
                </c:pt>
                <c:pt idx="15">
                  <c:v>9.2777953908540791</c:v>
                </c:pt>
                <c:pt idx="16">
                  <c:v>9.2968299020191143</c:v>
                </c:pt>
                <c:pt idx="17">
                  <c:v>9.3131543526631386</c:v>
                </c:pt>
                <c:pt idx="18">
                  <c:v>9.3244936175580975</c:v>
                </c:pt>
                <c:pt idx="19">
                  <c:v>9.3351285229610639</c:v>
                </c:pt>
                <c:pt idx="20">
                  <c:v>9.3471102762113247</c:v>
                </c:pt>
                <c:pt idx="21">
                  <c:v>9.3625583708309765</c:v>
                </c:pt>
                <c:pt idx="22">
                  <c:v>9.37711750592808</c:v>
                </c:pt>
                <c:pt idx="23">
                  <c:v>9.3897924934936547</c:v>
                </c:pt>
                <c:pt idx="24">
                  <c:v>9.4118499942447968</c:v>
                </c:pt>
                <c:pt idx="25">
                  <c:v>9.4378645671143033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0.6993128148444463</c:v>
                </c:pt>
                <c:pt idx="1">
                  <c:v>0.47173256635525901</c:v>
                </c:pt>
                <c:pt idx="2">
                  <c:v>0.49885847169290004</c:v>
                </c:pt>
                <c:pt idx="3">
                  <c:v>0.43077282967818448</c:v>
                </c:pt>
                <c:pt idx="4">
                  <c:v>0.50545336541669728</c:v>
                </c:pt>
                <c:pt idx="5">
                  <c:v>0.44667082132503055</c:v>
                </c:pt>
                <c:pt idx="6">
                  <c:v>0.38144392549890049</c:v>
                </c:pt>
                <c:pt idx="7">
                  <c:v>0.4126788318053074</c:v>
                </c:pt>
                <c:pt idx="8">
                  <c:v>0.43019657578683396</c:v>
                </c:pt>
                <c:pt idx="9">
                  <c:v>0.3674632446263803</c:v>
                </c:pt>
                <c:pt idx="10">
                  <c:v>0.45801284753679466</c:v>
                </c:pt>
                <c:pt idx="11">
                  <c:v>0.3645185551270369</c:v>
                </c:pt>
                <c:pt idx="12">
                  <c:v>0.36837199390000896</c:v>
                </c:pt>
                <c:pt idx="13">
                  <c:v>0.37247662949025234</c:v>
                </c:pt>
                <c:pt idx="14">
                  <c:v>0.37743251040047854</c:v>
                </c:pt>
                <c:pt idx="15">
                  <c:v>0.38277272703856241</c:v>
                </c:pt>
                <c:pt idx="16">
                  <c:v>0.38662147821452203</c:v>
                </c:pt>
                <c:pt idx="17">
                  <c:v>0.39031216870364399</c:v>
                </c:pt>
                <c:pt idx="18">
                  <c:v>0.39284658912898462</c:v>
                </c:pt>
                <c:pt idx="19">
                  <c:v>0.39768680302589765</c:v>
                </c:pt>
                <c:pt idx="20">
                  <c:v>0.40122905537118175</c:v>
                </c:pt>
                <c:pt idx="21">
                  <c:v>0.40465445234531033</c:v>
                </c:pt>
                <c:pt idx="22">
                  <c:v>0.40707829975570736</c:v>
                </c:pt>
                <c:pt idx="23">
                  <c:v>0.41171031268201219</c:v>
                </c:pt>
                <c:pt idx="24">
                  <c:v>0.41416854463929925</c:v>
                </c:pt>
                <c:pt idx="25">
                  <c:v>0.41874006149257798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33.039305303843605</c:v>
                </c:pt>
                <c:pt idx="1">
                  <c:v>34.189149003085063</c:v>
                </c:pt>
                <c:pt idx="2">
                  <c:v>35.184989148868603</c:v>
                </c:pt>
                <c:pt idx="3">
                  <c:v>34.562793579659036</c:v>
                </c:pt>
                <c:pt idx="4">
                  <c:v>36.447825021672365</c:v>
                </c:pt>
                <c:pt idx="5">
                  <c:v>34.223800198352485</c:v>
                </c:pt>
                <c:pt idx="6">
                  <c:v>33.259163684145598</c:v>
                </c:pt>
                <c:pt idx="7">
                  <c:v>33.681160277601073</c:v>
                </c:pt>
                <c:pt idx="8">
                  <c:v>32.137963975215584</c:v>
                </c:pt>
                <c:pt idx="9">
                  <c:v>30.736255514037822</c:v>
                </c:pt>
                <c:pt idx="10">
                  <c:v>30.191807825248862</c:v>
                </c:pt>
                <c:pt idx="11">
                  <c:v>28.186875545796408</c:v>
                </c:pt>
                <c:pt idx="12">
                  <c:v>28.034001030325136</c:v>
                </c:pt>
                <c:pt idx="13">
                  <c:v>27.943508274047673</c:v>
                </c:pt>
                <c:pt idx="14">
                  <c:v>27.87387875554511</c:v>
                </c:pt>
                <c:pt idx="15">
                  <c:v>27.72715045001522</c:v>
                </c:pt>
                <c:pt idx="16">
                  <c:v>27.556822563616176</c:v>
                </c:pt>
                <c:pt idx="17">
                  <c:v>27.370792648561636</c:v>
                </c:pt>
                <c:pt idx="18">
                  <c:v>27.178178816456285</c:v>
                </c:pt>
                <c:pt idx="19">
                  <c:v>26.983741102677048</c:v>
                </c:pt>
                <c:pt idx="20">
                  <c:v>26.790030333732599</c:v>
                </c:pt>
                <c:pt idx="21">
                  <c:v>26.640518371175819</c:v>
                </c:pt>
                <c:pt idx="22">
                  <c:v>26.490998570592144</c:v>
                </c:pt>
                <c:pt idx="23">
                  <c:v>26.338156398184605</c:v>
                </c:pt>
                <c:pt idx="24">
                  <c:v>26.167489744477511</c:v>
                </c:pt>
                <c:pt idx="25">
                  <c:v>25.969905791596378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8.3395096194587595</c:v>
                </c:pt>
                <c:pt idx="1">
                  <c:v>8.3125318052839425</c:v>
                </c:pt>
                <c:pt idx="2">
                  <c:v>8.5681483493012731</c:v>
                </c:pt>
                <c:pt idx="3">
                  <c:v>8.3959847076245175</c:v>
                </c:pt>
                <c:pt idx="4">
                  <c:v>7.9688909618676895</c:v>
                </c:pt>
                <c:pt idx="5">
                  <c:v>9.0886906437377402</c:v>
                </c:pt>
                <c:pt idx="6">
                  <c:v>8.9232366047213141</c:v>
                </c:pt>
                <c:pt idx="7">
                  <c:v>9.8278451024031508</c:v>
                </c:pt>
                <c:pt idx="8">
                  <c:v>9.5519284739734296</c:v>
                </c:pt>
                <c:pt idx="9">
                  <c:v>8.8480017178491579</c:v>
                </c:pt>
                <c:pt idx="10">
                  <c:v>9.1178307619805707</c:v>
                </c:pt>
                <c:pt idx="11">
                  <c:v>11.069942965242005</c:v>
                </c:pt>
                <c:pt idx="12">
                  <c:v>11.258454709502855</c:v>
                </c:pt>
                <c:pt idx="13">
                  <c:v>11.435940115857161</c:v>
                </c:pt>
                <c:pt idx="14">
                  <c:v>11.62156070301517</c:v>
                </c:pt>
                <c:pt idx="15">
                  <c:v>11.78604783936143</c:v>
                </c:pt>
                <c:pt idx="16">
                  <c:v>11.94186366440317</c:v>
                </c:pt>
                <c:pt idx="17">
                  <c:v>12.100500429488477</c:v>
                </c:pt>
                <c:pt idx="18">
                  <c:v>12.264062508872897</c:v>
                </c:pt>
                <c:pt idx="19">
                  <c:v>12.43103395439759</c:v>
                </c:pt>
                <c:pt idx="20">
                  <c:v>12.602585511050291</c:v>
                </c:pt>
                <c:pt idx="21">
                  <c:v>12.766810752398852</c:v>
                </c:pt>
                <c:pt idx="22">
                  <c:v>12.928585566961596</c:v>
                </c:pt>
                <c:pt idx="23">
                  <c:v>13.098481143490654</c:v>
                </c:pt>
                <c:pt idx="24">
                  <c:v>13.268370130834549</c:v>
                </c:pt>
                <c:pt idx="25">
                  <c:v>13.440976966771922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22.556040057468326</c:v>
                </c:pt>
                <c:pt idx="1">
                  <c:v>21.419891198961661</c:v>
                </c:pt>
                <c:pt idx="2">
                  <c:v>21.667953124371625</c:v>
                </c:pt>
                <c:pt idx="3">
                  <c:v>22.57750804022016</c:v>
                </c:pt>
                <c:pt idx="4">
                  <c:v>23.080935372543752</c:v>
                </c:pt>
                <c:pt idx="5">
                  <c:v>23.017676946693587</c:v>
                </c:pt>
                <c:pt idx="6">
                  <c:v>21.877360281524915</c:v>
                </c:pt>
                <c:pt idx="7">
                  <c:v>22.023418013640295</c:v>
                </c:pt>
                <c:pt idx="8">
                  <c:v>22.659305985348219</c:v>
                </c:pt>
                <c:pt idx="9">
                  <c:v>21.73705414319814</c:v>
                </c:pt>
                <c:pt idx="10">
                  <c:v>18.31625402877377</c:v>
                </c:pt>
                <c:pt idx="11">
                  <c:v>22.188847874516046</c:v>
                </c:pt>
                <c:pt idx="12">
                  <c:v>22.107286832977351</c:v>
                </c:pt>
                <c:pt idx="13">
                  <c:v>22.035946161926312</c:v>
                </c:pt>
                <c:pt idx="14">
                  <c:v>22.027570187934732</c:v>
                </c:pt>
                <c:pt idx="15">
                  <c:v>21.943097050143233</c:v>
                </c:pt>
                <c:pt idx="16">
                  <c:v>21.91325251627153</c:v>
                </c:pt>
                <c:pt idx="17">
                  <c:v>21.871598024162115</c:v>
                </c:pt>
                <c:pt idx="18">
                  <c:v>21.814882993012898</c:v>
                </c:pt>
                <c:pt idx="19">
                  <c:v>21.743717441077035</c:v>
                </c:pt>
                <c:pt idx="20">
                  <c:v>21.680422789747805</c:v>
                </c:pt>
                <c:pt idx="21">
                  <c:v>21.605502339081955</c:v>
                </c:pt>
                <c:pt idx="22">
                  <c:v>21.552797941786192</c:v>
                </c:pt>
                <c:pt idx="23">
                  <c:v>21.497863051439854</c:v>
                </c:pt>
                <c:pt idx="24">
                  <c:v>21.412751283646585</c:v>
                </c:pt>
                <c:pt idx="25">
                  <c:v>21.313020528914095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20.417005623951219</c:v>
                </c:pt>
                <c:pt idx="1">
                  <c:v>19.438612700450896</c:v>
                </c:pt>
                <c:pt idx="2">
                  <c:v>21.935470487478952</c:v>
                </c:pt>
                <c:pt idx="3">
                  <c:v>19.719637833647667</c:v>
                </c:pt>
                <c:pt idx="4">
                  <c:v>21.32350457496057</c:v>
                </c:pt>
                <c:pt idx="5">
                  <c:v>24.123007113083549</c:v>
                </c:pt>
                <c:pt idx="6">
                  <c:v>23.88136762911607</c:v>
                </c:pt>
                <c:pt idx="7">
                  <c:v>23.087763648248085</c:v>
                </c:pt>
                <c:pt idx="8">
                  <c:v>23.963126578775771</c:v>
                </c:pt>
                <c:pt idx="9">
                  <c:v>24.835414702497786</c:v>
                </c:pt>
                <c:pt idx="10">
                  <c:v>21.951501270507791</c:v>
                </c:pt>
                <c:pt idx="11">
                  <c:v>23.538523415936403</c:v>
                </c:pt>
                <c:pt idx="12">
                  <c:v>23.564459125696953</c:v>
                </c:pt>
                <c:pt idx="13">
                  <c:v>23.646775857071241</c:v>
                </c:pt>
                <c:pt idx="14">
                  <c:v>23.76150599150451</c:v>
                </c:pt>
                <c:pt idx="15">
                  <c:v>23.846902034062865</c:v>
                </c:pt>
                <c:pt idx="16">
                  <c:v>23.893901298346027</c:v>
                </c:pt>
                <c:pt idx="17">
                  <c:v>23.930204860436774</c:v>
                </c:pt>
                <c:pt idx="18">
                  <c:v>23.963570411963783</c:v>
                </c:pt>
                <c:pt idx="19">
                  <c:v>23.992134123253773</c:v>
                </c:pt>
                <c:pt idx="20">
                  <c:v>24.028312827150742</c:v>
                </c:pt>
                <c:pt idx="21">
                  <c:v>24.056495129784309</c:v>
                </c:pt>
                <c:pt idx="22">
                  <c:v>24.085265954934602</c:v>
                </c:pt>
                <c:pt idx="23">
                  <c:v>24.111124870500475</c:v>
                </c:pt>
                <c:pt idx="24">
                  <c:v>24.133919848495381</c:v>
                </c:pt>
                <c:pt idx="25">
                  <c:v>24.153900346524193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9.9359847376257004</c:v>
                </c:pt>
                <c:pt idx="1">
                  <c:v>9.6203569958692263</c:v>
                </c:pt>
                <c:pt idx="2">
                  <c:v>9.7502072772979496</c:v>
                </c:pt>
                <c:pt idx="3">
                  <c:v>9.6280714033618509</c:v>
                </c:pt>
                <c:pt idx="4">
                  <c:v>10.441831648369295</c:v>
                </c:pt>
                <c:pt idx="5">
                  <c:v>11.487443580203083</c:v>
                </c:pt>
                <c:pt idx="6">
                  <c:v>11.160257153468606</c:v>
                </c:pt>
                <c:pt idx="7">
                  <c:v>10.041157722278529</c:v>
                </c:pt>
                <c:pt idx="8">
                  <c:v>10.375070492135517</c:v>
                </c:pt>
                <c:pt idx="9">
                  <c:v>9.8320405541299731</c:v>
                </c:pt>
                <c:pt idx="10">
                  <c:v>8.6428835980951746</c:v>
                </c:pt>
                <c:pt idx="11">
                  <c:v>7.4222574786159399</c:v>
                </c:pt>
                <c:pt idx="12">
                  <c:v>7.3874786818368072</c:v>
                </c:pt>
                <c:pt idx="13">
                  <c:v>7.3637088021520025</c:v>
                </c:pt>
                <c:pt idx="14">
                  <c:v>7.3473213671467903</c:v>
                </c:pt>
                <c:pt idx="15">
                  <c:v>7.3188128388141793</c:v>
                </c:pt>
                <c:pt idx="16">
                  <c:v>7.2680708677606027</c:v>
                </c:pt>
                <c:pt idx="17">
                  <c:v>7.2081857856809135</c:v>
                </c:pt>
                <c:pt idx="18">
                  <c:v>7.1634194312932342</c:v>
                </c:pt>
                <c:pt idx="19">
                  <c:v>7.1161225971057265</c:v>
                </c:pt>
                <c:pt idx="20">
                  <c:v>7.0701728930023542</c:v>
                </c:pt>
                <c:pt idx="21">
                  <c:v>7.0238590889177983</c:v>
                </c:pt>
                <c:pt idx="22">
                  <c:v>6.9811337352328744</c:v>
                </c:pt>
                <c:pt idx="23">
                  <c:v>6.9399515447754574</c:v>
                </c:pt>
                <c:pt idx="24">
                  <c:v>6.9022734791954461</c:v>
                </c:pt>
                <c:pt idx="25">
                  <c:v>6.864739167432238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46.62225547448098</c:v>
                </c:pt>
                <c:pt idx="1">
                  <c:v>43.667444359899605</c:v>
                </c:pt>
                <c:pt idx="2">
                  <c:v>44.49169258209308</c:v>
                </c:pt>
                <c:pt idx="3">
                  <c:v>41.73384276879213</c:v>
                </c:pt>
                <c:pt idx="4">
                  <c:v>42.105791817742215</c:v>
                </c:pt>
                <c:pt idx="5">
                  <c:v>45.472494733851818</c:v>
                </c:pt>
                <c:pt idx="6">
                  <c:v>45.124821620365857</c:v>
                </c:pt>
                <c:pt idx="7">
                  <c:v>45.098174614034143</c:v>
                </c:pt>
                <c:pt idx="8">
                  <c:v>43.086616671143076</c:v>
                </c:pt>
                <c:pt idx="9">
                  <c:v>41.766910652938115</c:v>
                </c:pt>
                <c:pt idx="10">
                  <c:v>37.733870308121773</c:v>
                </c:pt>
                <c:pt idx="11">
                  <c:v>39.188980961743738</c:v>
                </c:pt>
                <c:pt idx="12">
                  <c:v>39.024145056368319</c:v>
                </c:pt>
                <c:pt idx="13">
                  <c:v>38.710202458239699</c:v>
                </c:pt>
                <c:pt idx="14">
                  <c:v>38.401791370336731</c:v>
                </c:pt>
                <c:pt idx="15">
                  <c:v>38.141407341486826</c:v>
                </c:pt>
                <c:pt idx="16">
                  <c:v>37.835937569073302</c:v>
                </c:pt>
                <c:pt idx="17">
                  <c:v>37.466018314813894</c:v>
                </c:pt>
                <c:pt idx="18">
                  <c:v>37.126105869006359</c:v>
                </c:pt>
                <c:pt idx="19">
                  <c:v>36.815849268009735</c:v>
                </c:pt>
                <c:pt idx="20">
                  <c:v>36.544688208114245</c:v>
                </c:pt>
                <c:pt idx="21">
                  <c:v>36.260106044695895</c:v>
                </c:pt>
                <c:pt idx="22">
                  <c:v>36.002678115868079</c:v>
                </c:pt>
                <c:pt idx="23">
                  <c:v>35.745761961412363</c:v>
                </c:pt>
                <c:pt idx="24">
                  <c:v>35.491813424455017</c:v>
                </c:pt>
                <c:pt idx="25">
                  <c:v>35.249982103219963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35.862180867533482</c:v>
                </c:pt>
                <c:pt idx="1">
                  <c:v>38.511174589502538</c:v>
                </c:pt>
                <c:pt idx="2">
                  <c:v>39.64259224433583</c:v>
                </c:pt>
                <c:pt idx="3">
                  <c:v>40.316415513863305</c:v>
                </c:pt>
                <c:pt idx="4">
                  <c:v>40.243872987208128</c:v>
                </c:pt>
                <c:pt idx="5">
                  <c:v>42.392720616000339</c:v>
                </c:pt>
                <c:pt idx="6">
                  <c:v>42.985464839465507</c:v>
                </c:pt>
                <c:pt idx="7">
                  <c:v>44.98442713559119</c:v>
                </c:pt>
                <c:pt idx="8">
                  <c:v>45.975161924547479</c:v>
                </c:pt>
                <c:pt idx="9">
                  <c:v>46.345148009577279</c:v>
                </c:pt>
                <c:pt idx="10">
                  <c:v>47.662233271684329</c:v>
                </c:pt>
                <c:pt idx="11">
                  <c:v>46.319684224101437</c:v>
                </c:pt>
                <c:pt idx="12">
                  <c:v>46.845844308464464</c:v>
                </c:pt>
                <c:pt idx="13">
                  <c:v>47.403485116956475</c:v>
                </c:pt>
                <c:pt idx="14">
                  <c:v>48.046409630812185</c:v>
                </c:pt>
                <c:pt idx="15">
                  <c:v>48.624847367414716</c:v>
                </c:pt>
                <c:pt idx="16">
                  <c:v>49.158985585680838</c:v>
                </c:pt>
                <c:pt idx="17">
                  <c:v>49.680718967392011</c:v>
                </c:pt>
                <c:pt idx="18">
                  <c:v>50.218814081692194</c:v>
                </c:pt>
                <c:pt idx="19">
                  <c:v>50.765025772540511</c:v>
                </c:pt>
                <c:pt idx="20">
                  <c:v>51.344910956327055</c:v>
                </c:pt>
                <c:pt idx="21">
                  <c:v>51.91795764260462</c:v>
                </c:pt>
                <c:pt idx="22">
                  <c:v>52.494180801533943</c:v>
                </c:pt>
                <c:pt idx="23">
                  <c:v>53.087824631251053</c:v>
                </c:pt>
                <c:pt idx="24">
                  <c:v>53.705949594800202</c:v>
                </c:pt>
                <c:pt idx="25">
                  <c:v>54.339890299405795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86.206821442855599</c:v>
                </c:pt>
                <c:pt idx="1">
                  <c:v>85.731316551172029</c:v>
                </c:pt>
                <c:pt idx="2">
                  <c:v>84.571828003452083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87.713907644760397</c:v>
                </c:pt>
                <c:pt idx="6">
                  <c:v>92.887078996026588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103.38385272421922</c:v>
                </c:pt>
                <c:pt idx="11">
                  <c:v>106.20129054408828</c:v>
                </c:pt>
                <c:pt idx="12">
                  <c:v>107.26732550392018</c:v>
                </c:pt>
                <c:pt idx="13">
                  <c:v>108.56393857389655</c:v>
                </c:pt>
                <c:pt idx="14">
                  <c:v>110.07159275636782</c:v>
                </c:pt>
                <c:pt idx="15">
                  <c:v>111.37636061126263</c:v>
                </c:pt>
                <c:pt idx="16">
                  <c:v>112.61771905717394</c:v>
                </c:pt>
                <c:pt idx="17">
                  <c:v>113.84036694612638</c:v>
                </c:pt>
                <c:pt idx="18">
                  <c:v>115.02089165036139</c:v>
                </c:pt>
                <c:pt idx="19">
                  <c:v>116.211288732029</c:v>
                </c:pt>
                <c:pt idx="20">
                  <c:v>117.46318740361549</c:v>
                </c:pt>
                <c:pt idx="21">
                  <c:v>118.72491761122626</c:v>
                </c:pt>
                <c:pt idx="22">
                  <c:v>119.96254033276666</c:v>
                </c:pt>
                <c:pt idx="23">
                  <c:v>121.21697637213919</c:v>
                </c:pt>
                <c:pt idx="24">
                  <c:v>122.47247939269757</c:v>
                </c:pt>
                <c:pt idx="25">
                  <c:v>123.68400316994341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53.373040106788572</c:v>
                </c:pt>
                <c:pt idx="1">
                  <c:v>53.085699220941592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54.773115656466352</c:v>
                </c:pt>
                <c:pt idx="5">
                  <c:v>56.127385363836453</c:v>
                </c:pt>
                <c:pt idx="6">
                  <c:v>56.929880454625994</c:v>
                </c:pt>
                <c:pt idx="7">
                  <c:v>59.145991111724442</c:v>
                </c:pt>
                <c:pt idx="8">
                  <c:v>58.733511687785949</c:v>
                </c:pt>
                <c:pt idx="9">
                  <c:v>58.71638203189363</c:v>
                </c:pt>
                <c:pt idx="10">
                  <c:v>60.870563130092535</c:v>
                </c:pt>
                <c:pt idx="11">
                  <c:v>57.442333496803599</c:v>
                </c:pt>
                <c:pt idx="12">
                  <c:v>57.704340942600403</c:v>
                </c:pt>
                <c:pt idx="13">
                  <c:v>58.142820905054862</c:v>
                </c:pt>
                <c:pt idx="14">
                  <c:v>58.75190152452349</c:v>
                </c:pt>
                <c:pt idx="15">
                  <c:v>59.244897095735702</c:v>
                </c:pt>
                <c:pt idx="16">
                  <c:v>59.677107882257957</c:v>
                </c:pt>
                <c:pt idx="17">
                  <c:v>60.089613895628659</c:v>
                </c:pt>
                <c:pt idx="18">
                  <c:v>60.518057932397625</c:v>
                </c:pt>
                <c:pt idx="19">
                  <c:v>60.960189262745985</c:v>
                </c:pt>
                <c:pt idx="20">
                  <c:v>61.414224996583748</c:v>
                </c:pt>
                <c:pt idx="21">
                  <c:v>61.852665016203787</c:v>
                </c:pt>
                <c:pt idx="22">
                  <c:v>62.284147253015504</c:v>
                </c:pt>
                <c:pt idx="23">
                  <c:v>62.765592948006486</c:v>
                </c:pt>
                <c:pt idx="24">
                  <c:v>63.229726270377128</c:v>
                </c:pt>
                <c:pt idx="25">
                  <c:v>63.713873046934694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57.839044153626915</c:v>
                </c:pt>
                <c:pt idx="1">
                  <c:v>57.908265786389578</c:v>
                </c:pt>
                <c:pt idx="2">
                  <c:v>58.656731622355025</c:v>
                </c:pt>
                <c:pt idx="3">
                  <c:v>56.430568954100764</c:v>
                </c:pt>
                <c:pt idx="4">
                  <c:v>57.452543673448162</c:v>
                </c:pt>
                <c:pt idx="5">
                  <c:v>60.137952735863834</c:v>
                </c:pt>
                <c:pt idx="6">
                  <c:v>57.612393248091699</c:v>
                </c:pt>
                <c:pt idx="7">
                  <c:v>60.105228409853098</c:v>
                </c:pt>
                <c:pt idx="8">
                  <c:v>58.395454884826407</c:v>
                </c:pt>
                <c:pt idx="9">
                  <c:v>54.660014915246528</c:v>
                </c:pt>
                <c:pt idx="10">
                  <c:v>56.605928964515698</c:v>
                </c:pt>
                <c:pt idx="11">
                  <c:v>54.408414396816077</c:v>
                </c:pt>
                <c:pt idx="12">
                  <c:v>54.259670669317558</c:v>
                </c:pt>
                <c:pt idx="13">
                  <c:v>54.05991766896247</c:v>
                </c:pt>
                <c:pt idx="14">
                  <c:v>53.907290959990519</c:v>
                </c:pt>
                <c:pt idx="15">
                  <c:v>53.603520890825322</c:v>
                </c:pt>
                <c:pt idx="16">
                  <c:v>53.151646679872087</c:v>
                </c:pt>
                <c:pt idx="17">
                  <c:v>52.667133831714914</c:v>
                </c:pt>
                <c:pt idx="18">
                  <c:v>52.139683715668284</c:v>
                </c:pt>
                <c:pt idx="19">
                  <c:v>51.592641000517929</c:v>
                </c:pt>
                <c:pt idx="20">
                  <c:v>51.063396012234037</c:v>
                </c:pt>
                <c:pt idx="21">
                  <c:v>50.502545249113687</c:v>
                </c:pt>
                <c:pt idx="22">
                  <c:v>49.942640856519866</c:v>
                </c:pt>
                <c:pt idx="23">
                  <c:v>49.296886769648211</c:v>
                </c:pt>
                <c:pt idx="24">
                  <c:v>48.68600762111047</c:v>
                </c:pt>
                <c:pt idx="25">
                  <c:v>48.148843754609096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62.283260145895568</c:v>
                </c:pt>
                <c:pt idx="1">
                  <c:v>59.671523214064266</c:v>
                </c:pt>
                <c:pt idx="2">
                  <c:v>59.696882766051296</c:v>
                </c:pt>
                <c:pt idx="3">
                  <c:v>58.625360838856096</c:v>
                </c:pt>
                <c:pt idx="4">
                  <c:v>58.532682149842067</c:v>
                </c:pt>
                <c:pt idx="5">
                  <c:v>61.298727794930358</c:v>
                </c:pt>
                <c:pt idx="6">
                  <c:v>55.383601143806672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61.935890697668654</c:v>
                </c:pt>
                <c:pt idx="10">
                  <c:v>52.306630670550817</c:v>
                </c:pt>
                <c:pt idx="11">
                  <c:v>53.213547449699838</c:v>
                </c:pt>
                <c:pt idx="12">
                  <c:v>52.728232768282233</c:v>
                </c:pt>
                <c:pt idx="13">
                  <c:v>52.209396939536006</c:v>
                </c:pt>
                <c:pt idx="14">
                  <c:v>51.850543213581659</c:v>
                </c:pt>
                <c:pt idx="15">
                  <c:v>51.461610878246773</c:v>
                </c:pt>
                <c:pt idx="16">
                  <c:v>51.032207670320496</c:v>
                </c:pt>
                <c:pt idx="17">
                  <c:v>50.585231316105663</c:v>
                </c:pt>
                <c:pt idx="18">
                  <c:v>50.161880338193697</c:v>
                </c:pt>
                <c:pt idx="19">
                  <c:v>49.733766197922833</c:v>
                </c:pt>
                <c:pt idx="20">
                  <c:v>49.332706691016512</c:v>
                </c:pt>
                <c:pt idx="21">
                  <c:v>48.930582798519033</c:v>
                </c:pt>
                <c:pt idx="22">
                  <c:v>48.544779439297159</c:v>
                </c:pt>
                <c:pt idx="23">
                  <c:v>48.165076448109005</c:v>
                </c:pt>
                <c:pt idx="24">
                  <c:v>47.781412871265445</c:v>
                </c:pt>
                <c:pt idx="25">
                  <c:v>47.401734716717307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48.50352353155295</c:v>
                </c:pt>
                <c:pt idx="3">
                  <c:v>48.320399174321786</c:v>
                </c:pt>
                <c:pt idx="4">
                  <c:v>49.428066574358013</c:v>
                </c:pt>
                <c:pt idx="5">
                  <c:v>50.478192628686529</c:v>
                </c:pt>
                <c:pt idx="6">
                  <c:v>53.914374344641068</c:v>
                </c:pt>
                <c:pt idx="7">
                  <c:v>54.303486700278015</c:v>
                </c:pt>
                <c:pt idx="8">
                  <c:v>50.660892596097916</c:v>
                </c:pt>
                <c:pt idx="9">
                  <c:v>51.457710511437924</c:v>
                </c:pt>
                <c:pt idx="10">
                  <c:v>49.410643446209662</c:v>
                </c:pt>
                <c:pt idx="11">
                  <c:v>50.93430164664008</c:v>
                </c:pt>
                <c:pt idx="12">
                  <c:v>51.397760370707559</c:v>
                </c:pt>
                <c:pt idx="13">
                  <c:v>51.933359126299464</c:v>
                </c:pt>
                <c:pt idx="14">
                  <c:v>52.544633539241261</c:v>
                </c:pt>
                <c:pt idx="15">
                  <c:v>53.053345602630927</c:v>
                </c:pt>
                <c:pt idx="16">
                  <c:v>53.517484645223924</c:v>
                </c:pt>
                <c:pt idx="17">
                  <c:v>53.964634979888338</c:v>
                </c:pt>
                <c:pt idx="18">
                  <c:v>54.428452251081517</c:v>
                </c:pt>
                <c:pt idx="19">
                  <c:v>54.876490547722575</c:v>
                </c:pt>
                <c:pt idx="20">
                  <c:v>55.321361377425255</c:v>
                </c:pt>
                <c:pt idx="21">
                  <c:v>55.7810399562782</c:v>
                </c:pt>
                <c:pt idx="22">
                  <c:v>56.227251431491297</c:v>
                </c:pt>
                <c:pt idx="23">
                  <c:v>56.703303861042876</c:v>
                </c:pt>
                <c:pt idx="24">
                  <c:v>57.189806338644878</c:v>
                </c:pt>
                <c:pt idx="25">
                  <c:v>57.663130107930762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41.378814923302365</c:v>
                </c:pt>
                <c:pt idx="1">
                  <c:v>42.501680808369002</c:v>
                </c:pt>
                <c:pt idx="2">
                  <c:v>43.753137498169878</c:v>
                </c:pt>
                <c:pt idx="3">
                  <c:v>42.95877828728355</c:v>
                </c:pt>
                <c:pt idx="4">
                  <c:v>44.416715983540058</c:v>
                </c:pt>
                <c:pt idx="5">
                  <c:v>43.312490842090227</c:v>
                </c:pt>
                <c:pt idx="6">
                  <c:v>42.182400288866916</c:v>
                </c:pt>
                <c:pt idx="7">
                  <c:v>43.509005380004226</c:v>
                </c:pt>
                <c:pt idx="8">
                  <c:v>41.689892449189017</c:v>
                </c:pt>
                <c:pt idx="9">
                  <c:v>39.58425723188698</c:v>
                </c:pt>
                <c:pt idx="10">
                  <c:v>39.309638587229429</c:v>
                </c:pt>
                <c:pt idx="11">
                  <c:v>39.256818511038411</c:v>
                </c:pt>
                <c:pt idx="12">
                  <c:v>39.292455739827993</c:v>
                </c:pt>
                <c:pt idx="13">
                  <c:v>39.379448389904837</c:v>
                </c:pt>
                <c:pt idx="14">
                  <c:v>39.495439458560284</c:v>
                </c:pt>
                <c:pt idx="15">
                  <c:v>39.513198289376646</c:v>
                </c:pt>
                <c:pt idx="16">
                  <c:v>39.498686228019345</c:v>
                </c:pt>
                <c:pt idx="17">
                  <c:v>39.47129307805011</c:v>
                </c:pt>
                <c:pt idx="18">
                  <c:v>39.442241325329178</c:v>
                </c:pt>
                <c:pt idx="19">
                  <c:v>39.414775057074635</c:v>
                </c:pt>
                <c:pt idx="20">
                  <c:v>39.392615844782888</c:v>
                </c:pt>
                <c:pt idx="21">
                  <c:v>39.407329123574669</c:v>
                </c:pt>
                <c:pt idx="22">
                  <c:v>39.419584137553741</c:v>
                </c:pt>
                <c:pt idx="23">
                  <c:v>39.43663754167526</c:v>
                </c:pt>
                <c:pt idx="24">
                  <c:v>39.435859875312062</c:v>
                </c:pt>
                <c:pt idx="25">
                  <c:v>39.410882758368302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42.973045681419549</c:v>
                </c:pt>
                <c:pt idx="1">
                  <c:v>40.858503899412554</c:v>
                </c:pt>
                <c:pt idx="2">
                  <c:v>43.603423611850573</c:v>
                </c:pt>
                <c:pt idx="3">
                  <c:v>42.297145873867827</c:v>
                </c:pt>
                <c:pt idx="4">
                  <c:v>44.404439947504322</c:v>
                </c:pt>
                <c:pt idx="5">
                  <c:v>47.140684059777136</c:v>
                </c:pt>
                <c:pt idx="6">
                  <c:v>45.758727910640985</c:v>
                </c:pt>
                <c:pt idx="7">
                  <c:v>45.111181661888381</c:v>
                </c:pt>
                <c:pt idx="8">
                  <c:v>46.62243256412399</c:v>
                </c:pt>
                <c:pt idx="9">
                  <c:v>46.572468845695923</c:v>
                </c:pt>
                <c:pt idx="10">
                  <c:v>40.267755299281561</c:v>
                </c:pt>
                <c:pt idx="11">
                  <c:v>45.727371290452453</c:v>
                </c:pt>
                <c:pt idx="12">
                  <c:v>45.671745958674308</c:v>
                </c:pt>
                <c:pt idx="13">
                  <c:v>45.682722018997552</c:v>
                </c:pt>
                <c:pt idx="14">
                  <c:v>45.789076179439242</c:v>
                </c:pt>
                <c:pt idx="15">
                  <c:v>45.789999084206102</c:v>
                </c:pt>
                <c:pt idx="16">
                  <c:v>45.807153814617557</c:v>
                </c:pt>
                <c:pt idx="17">
                  <c:v>45.801802884598885</c:v>
                </c:pt>
                <c:pt idx="18">
                  <c:v>45.77845340497668</c:v>
                </c:pt>
                <c:pt idx="19">
                  <c:v>45.735851564330808</c:v>
                </c:pt>
                <c:pt idx="20">
                  <c:v>45.708735616898551</c:v>
                </c:pt>
                <c:pt idx="21">
                  <c:v>45.661997468866261</c:v>
                </c:pt>
                <c:pt idx="22">
                  <c:v>45.638063896720794</c:v>
                </c:pt>
                <c:pt idx="23">
                  <c:v>45.608987921940326</c:v>
                </c:pt>
                <c:pt idx="24">
                  <c:v>45.546671132141967</c:v>
                </c:pt>
                <c:pt idx="25">
                  <c:v>45.466920875438291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56.558240212106682</c:v>
                </c:pt>
                <c:pt idx="1">
                  <c:v>53.287801355768835</c:v>
                </c:pt>
                <c:pt idx="2">
                  <c:v>54.241899859391026</c:v>
                </c:pt>
                <c:pt idx="3">
                  <c:v>51.36191417215398</c:v>
                </c:pt>
                <c:pt idx="4">
                  <c:v>52.54762346611151</c:v>
                </c:pt>
                <c:pt idx="5">
                  <c:v>56.959938314054902</c:v>
                </c:pt>
                <c:pt idx="6">
                  <c:v>56.285078773834464</c:v>
                </c:pt>
                <c:pt idx="7">
                  <c:v>55.13933233631267</c:v>
                </c:pt>
                <c:pt idx="8">
                  <c:v>53.461687163278597</c:v>
                </c:pt>
                <c:pt idx="9">
                  <c:v>51.59895120706809</c:v>
                </c:pt>
                <c:pt idx="10">
                  <c:v>46.376753906216948</c:v>
                </c:pt>
                <c:pt idx="11">
                  <c:v>46.611238440359678</c:v>
                </c:pt>
                <c:pt idx="12">
                  <c:v>46.411623738205122</c:v>
                </c:pt>
                <c:pt idx="13">
                  <c:v>46.073911260391704</c:v>
                </c:pt>
                <c:pt idx="14">
                  <c:v>45.749112737483522</c:v>
                </c:pt>
                <c:pt idx="15">
                  <c:v>45.460220180301008</c:v>
                </c:pt>
                <c:pt idx="16">
                  <c:v>45.104008436833908</c:v>
                </c:pt>
                <c:pt idx="17">
                  <c:v>44.674204100494805</c:v>
                </c:pt>
                <c:pt idx="18">
                  <c:v>44.289525300299594</c:v>
                </c:pt>
                <c:pt idx="19">
                  <c:v>43.931971865115464</c:v>
                </c:pt>
                <c:pt idx="20">
                  <c:v>43.614861101116603</c:v>
                </c:pt>
                <c:pt idx="21">
                  <c:v>43.283965133613691</c:v>
                </c:pt>
                <c:pt idx="22">
                  <c:v>42.983811851100953</c:v>
                </c:pt>
                <c:pt idx="23">
                  <c:v>42.685713506187824</c:v>
                </c:pt>
                <c:pt idx="24">
                  <c:v>42.394086903650461</c:v>
                </c:pt>
                <c:pt idx="25">
                  <c:v>42.114721270652204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35.862180867533482</c:v>
                </c:pt>
                <c:pt idx="1">
                  <c:v>38.511174589502538</c:v>
                </c:pt>
                <c:pt idx="2">
                  <c:v>39.64259224433583</c:v>
                </c:pt>
                <c:pt idx="3">
                  <c:v>40.316415513863305</c:v>
                </c:pt>
                <c:pt idx="4">
                  <c:v>40.243872987208128</c:v>
                </c:pt>
                <c:pt idx="5">
                  <c:v>42.392720616000339</c:v>
                </c:pt>
                <c:pt idx="6">
                  <c:v>42.985464839465507</c:v>
                </c:pt>
                <c:pt idx="7">
                  <c:v>44.98442713559119</c:v>
                </c:pt>
                <c:pt idx="8">
                  <c:v>45.975161924547479</c:v>
                </c:pt>
                <c:pt idx="9">
                  <c:v>46.345148009577279</c:v>
                </c:pt>
                <c:pt idx="10">
                  <c:v>47.662233271684329</c:v>
                </c:pt>
                <c:pt idx="11">
                  <c:v>46.319684224101437</c:v>
                </c:pt>
                <c:pt idx="12">
                  <c:v>46.845844308464464</c:v>
                </c:pt>
                <c:pt idx="13">
                  <c:v>47.403485116956475</c:v>
                </c:pt>
                <c:pt idx="14">
                  <c:v>48.046409630812185</c:v>
                </c:pt>
                <c:pt idx="15">
                  <c:v>48.624847367414716</c:v>
                </c:pt>
                <c:pt idx="16">
                  <c:v>49.158985585680838</c:v>
                </c:pt>
                <c:pt idx="17">
                  <c:v>49.680718967392011</c:v>
                </c:pt>
                <c:pt idx="18">
                  <c:v>50.218814081692194</c:v>
                </c:pt>
                <c:pt idx="19">
                  <c:v>50.765025772540511</c:v>
                </c:pt>
                <c:pt idx="20">
                  <c:v>51.344910956327055</c:v>
                </c:pt>
                <c:pt idx="21">
                  <c:v>51.91795764260462</c:v>
                </c:pt>
                <c:pt idx="22">
                  <c:v>52.494180801533943</c:v>
                </c:pt>
                <c:pt idx="23">
                  <c:v>53.087824631251053</c:v>
                </c:pt>
                <c:pt idx="24">
                  <c:v>53.705949594800202</c:v>
                </c:pt>
                <c:pt idx="25">
                  <c:v>54.339890299405795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86.206821442855599</c:v>
                </c:pt>
                <c:pt idx="1">
                  <c:v>85.731316551172029</c:v>
                </c:pt>
                <c:pt idx="2">
                  <c:v>84.571828003452083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87.713907644760397</c:v>
                </c:pt>
                <c:pt idx="6">
                  <c:v>92.887078996026588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103.38385272421922</c:v>
                </c:pt>
                <c:pt idx="11">
                  <c:v>106.20129054408828</c:v>
                </c:pt>
                <c:pt idx="12">
                  <c:v>107.26732550392018</c:v>
                </c:pt>
                <c:pt idx="13">
                  <c:v>108.56393857389655</c:v>
                </c:pt>
                <c:pt idx="14">
                  <c:v>110.07159275636782</c:v>
                </c:pt>
                <c:pt idx="15">
                  <c:v>111.37636061126263</c:v>
                </c:pt>
                <c:pt idx="16">
                  <c:v>112.61771905717394</c:v>
                </c:pt>
                <c:pt idx="17">
                  <c:v>113.84036694612638</c:v>
                </c:pt>
                <c:pt idx="18">
                  <c:v>115.02089165036139</c:v>
                </c:pt>
                <c:pt idx="19">
                  <c:v>116.211288732029</c:v>
                </c:pt>
                <c:pt idx="20">
                  <c:v>117.46318740361549</c:v>
                </c:pt>
                <c:pt idx="21">
                  <c:v>118.72491761122626</c:v>
                </c:pt>
                <c:pt idx="22">
                  <c:v>119.96254033276666</c:v>
                </c:pt>
                <c:pt idx="23">
                  <c:v>121.21697637213919</c:v>
                </c:pt>
                <c:pt idx="24">
                  <c:v>122.47247939269757</c:v>
                </c:pt>
                <c:pt idx="25">
                  <c:v>123.68400316994341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53.373040106788572</c:v>
                </c:pt>
                <c:pt idx="1">
                  <c:v>53.085699220941592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54.773115656466352</c:v>
                </c:pt>
                <c:pt idx="5">
                  <c:v>56.127385363836453</c:v>
                </c:pt>
                <c:pt idx="6">
                  <c:v>56.929880454625994</c:v>
                </c:pt>
                <c:pt idx="7">
                  <c:v>59.145991111724442</c:v>
                </c:pt>
                <c:pt idx="8">
                  <c:v>58.733511687785949</c:v>
                </c:pt>
                <c:pt idx="9">
                  <c:v>58.71638203189363</c:v>
                </c:pt>
                <c:pt idx="10">
                  <c:v>60.870563130092535</c:v>
                </c:pt>
                <c:pt idx="11">
                  <c:v>57.442333496803599</c:v>
                </c:pt>
                <c:pt idx="12">
                  <c:v>57.704340942600403</c:v>
                </c:pt>
                <c:pt idx="13">
                  <c:v>58.142820905054862</c:v>
                </c:pt>
                <c:pt idx="14">
                  <c:v>58.75190152452349</c:v>
                </c:pt>
                <c:pt idx="15">
                  <c:v>59.244897095735702</c:v>
                </c:pt>
                <c:pt idx="16">
                  <c:v>59.677107882257957</c:v>
                </c:pt>
                <c:pt idx="17">
                  <c:v>60.089613895628659</c:v>
                </c:pt>
                <c:pt idx="18">
                  <c:v>60.518057932397625</c:v>
                </c:pt>
                <c:pt idx="19">
                  <c:v>60.960189262745985</c:v>
                </c:pt>
                <c:pt idx="20">
                  <c:v>61.414224996583748</c:v>
                </c:pt>
                <c:pt idx="21">
                  <c:v>61.852665016203787</c:v>
                </c:pt>
                <c:pt idx="22">
                  <c:v>62.284147253015504</c:v>
                </c:pt>
                <c:pt idx="23">
                  <c:v>62.765592948006486</c:v>
                </c:pt>
                <c:pt idx="24">
                  <c:v>63.229726270377128</c:v>
                </c:pt>
                <c:pt idx="25">
                  <c:v>63.713873046934694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57.839044153626915</c:v>
                </c:pt>
                <c:pt idx="1">
                  <c:v>57.908265786389578</c:v>
                </c:pt>
                <c:pt idx="2">
                  <c:v>58.656731622355025</c:v>
                </c:pt>
                <c:pt idx="3">
                  <c:v>56.430568954100764</c:v>
                </c:pt>
                <c:pt idx="4">
                  <c:v>57.452543673448162</c:v>
                </c:pt>
                <c:pt idx="5">
                  <c:v>60.137952735863834</c:v>
                </c:pt>
                <c:pt idx="6">
                  <c:v>57.612393248091699</c:v>
                </c:pt>
                <c:pt idx="7">
                  <c:v>60.105228409853098</c:v>
                </c:pt>
                <c:pt idx="8">
                  <c:v>58.395454884826407</c:v>
                </c:pt>
                <c:pt idx="9">
                  <c:v>54.660014915246528</c:v>
                </c:pt>
                <c:pt idx="10">
                  <c:v>56.605928964515698</c:v>
                </c:pt>
                <c:pt idx="11">
                  <c:v>54.408414396816077</c:v>
                </c:pt>
                <c:pt idx="12">
                  <c:v>54.259670669317558</c:v>
                </c:pt>
                <c:pt idx="13">
                  <c:v>54.05991766896247</c:v>
                </c:pt>
                <c:pt idx="14">
                  <c:v>53.907290959990519</c:v>
                </c:pt>
                <c:pt idx="15">
                  <c:v>53.603520890825322</c:v>
                </c:pt>
                <c:pt idx="16">
                  <c:v>53.151646679872087</c:v>
                </c:pt>
                <c:pt idx="17">
                  <c:v>52.667133831714914</c:v>
                </c:pt>
                <c:pt idx="18">
                  <c:v>52.139683715668284</c:v>
                </c:pt>
                <c:pt idx="19">
                  <c:v>51.592641000517929</c:v>
                </c:pt>
                <c:pt idx="20">
                  <c:v>51.063396012234037</c:v>
                </c:pt>
                <c:pt idx="21">
                  <c:v>50.502545249113687</c:v>
                </c:pt>
                <c:pt idx="22">
                  <c:v>49.942640856519866</c:v>
                </c:pt>
                <c:pt idx="23">
                  <c:v>49.296886769648211</c:v>
                </c:pt>
                <c:pt idx="24">
                  <c:v>48.68600762111047</c:v>
                </c:pt>
                <c:pt idx="25">
                  <c:v>48.148843754609096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62.283260145895568</c:v>
                </c:pt>
                <c:pt idx="1">
                  <c:v>59.671523214064266</c:v>
                </c:pt>
                <c:pt idx="2">
                  <c:v>59.696882766051296</c:v>
                </c:pt>
                <c:pt idx="3">
                  <c:v>58.625360838856096</c:v>
                </c:pt>
                <c:pt idx="4">
                  <c:v>58.532682149842067</c:v>
                </c:pt>
                <c:pt idx="5">
                  <c:v>61.298727794930358</c:v>
                </c:pt>
                <c:pt idx="6">
                  <c:v>55.383601143806672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61.935890697668654</c:v>
                </c:pt>
                <c:pt idx="10">
                  <c:v>52.306630670550817</c:v>
                </c:pt>
                <c:pt idx="11">
                  <c:v>53.213547449699838</c:v>
                </c:pt>
                <c:pt idx="12">
                  <c:v>52.728232768282233</c:v>
                </c:pt>
                <c:pt idx="13">
                  <c:v>52.209396939536006</c:v>
                </c:pt>
                <c:pt idx="14">
                  <c:v>51.850543213581659</c:v>
                </c:pt>
                <c:pt idx="15">
                  <c:v>51.461610878246773</c:v>
                </c:pt>
                <c:pt idx="16">
                  <c:v>51.032207670320496</c:v>
                </c:pt>
                <c:pt idx="17">
                  <c:v>50.585231316105663</c:v>
                </c:pt>
                <c:pt idx="18">
                  <c:v>50.161880338193697</c:v>
                </c:pt>
                <c:pt idx="19">
                  <c:v>49.733766197922833</c:v>
                </c:pt>
                <c:pt idx="20">
                  <c:v>49.332706691016512</c:v>
                </c:pt>
                <c:pt idx="21">
                  <c:v>48.930582798519033</c:v>
                </c:pt>
                <c:pt idx="22">
                  <c:v>48.544779439297159</c:v>
                </c:pt>
                <c:pt idx="23">
                  <c:v>48.165076448109005</c:v>
                </c:pt>
                <c:pt idx="24">
                  <c:v>47.781412871265445</c:v>
                </c:pt>
                <c:pt idx="25">
                  <c:v>47.401734716717307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48.50352353155295</c:v>
                </c:pt>
                <c:pt idx="3">
                  <c:v>48.320399174321786</c:v>
                </c:pt>
                <c:pt idx="4">
                  <c:v>49.428066574358013</c:v>
                </c:pt>
                <c:pt idx="5">
                  <c:v>50.478192628686529</c:v>
                </c:pt>
                <c:pt idx="6">
                  <c:v>53.914374344641068</c:v>
                </c:pt>
                <c:pt idx="7">
                  <c:v>54.303486700278015</c:v>
                </c:pt>
                <c:pt idx="8">
                  <c:v>50.660892596097916</c:v>
                </c:pt>
                <c:pt idx="9">
                  <c:v>51.457710511437924</c:v>
                </c:pt>
                <c:pt idx="10">
                  <c:v>49.410643446209662</c:v>
                </c:pt>
                <c:pt idx="11">
                  <c:v>50.93430164664008</c:v>
                </c:pt>
                <c:pt idx="12">
                  <c:v>51.397760370707559</c:v>
                </c:pt>
                <c:pt idx="13">
                  <c:v>51.933359126299464</c:v>
                </c:pt>
                <c:pt idx="14">
                  <c:v>52.544633539241261</c:v>
                </c:pt>
                <c:pt idx="15">
                  <c:v>53.053345602630927</c:v>
                </c:pt>
                <c:pt idx="16">
                  <c:v>53.517484645223924</c:v>
                </c:pt>
                <c:pt idx="17">
                  <c:v>53.964634979888338</c:v>
                </c:pt>
                <c:pt idx="18">
                  <c:v>54.428452251081517</c:v>
                </c:pt>
                <c:pt idx="19">
                  <c:v>54.876490547722575</c:v>
                </c:pt>
                <c:pt idx="20">
                  <c:v>55.321361377425255</c:v>
                </c:pt>
                <c:pt idx="21">
                  <c:v>55.7810399562782</c:v>
                </c:pt>
                <c:pt idx="22">
                  <c:v>56.227251431491297</c:v>
                </c:pt>
                <c:pt idx="23">
                  <c:v>56.703303861042876</c:v>
                </c:pt>
                <c:pt idx="24">
                  <c:v>57.189806338644878</c:v>
                </c:pt>
                <c:pt idx="25">
                  <c:v>57.663130107930762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41.378814923302365</c:v>
                </c:pt>
                <c:pt idx="1">
                  <c:v>42.501680808369002</c:v>
                </c:pt>
                <c:pt idx="2">
                  <c:v>43.753137498169878</c:v>
                </c:pt>
                <c:pt idx="3">
                  <c:v>42.95877828728355</c:v>
                </c:pt>
                <c:pt idx="4">
                  <c:v>44.416715983540058</c:v>
                </c:pt>
                <c:pt idx="5">
                  <c:v>43.312490842090227</c:v>
                </c:pt>
                <c:pt idx="6">
                  <c:v>42.182400288866916</c:v>
                </c:pt>
                <c:pt idx="7">
                  <c:v>43.509005380004226</c:v>
                </c:pt>
                <c:pt idx="8">
                  <c:v>41.689892449189017</c:v>
                </c:pt>
                <c:pt idx="9">
                  <c:v>39.58425723188698</c:v>
                </c:pt>
                <c:pt idx="10">
                  <c:v>39.309638587229429</c:v>
                </c:pt>
                <c:pt idx="11">
                  <c:v>39.256818511038411</c:v>
                </c:pt>
                <c:pt idx="12">
                  <c:v>39.292455739827993</c:v>
                </c:pt>
                <c:pt idx="13">
                  <c:v>39.379448389904837</c:v>
                </c:pt>
                <c:pt idx="14">
                  <c:v>39.495439458560284</c:v>
                </c:pt>
                <c:pt idx="15">
                  <c:v>39.513198289376646</c:v>
                </c:pt>
                <c:pt idx="16">
                  <c:v>39.498686228019345</c:v>
                </c:pt>
                <c:pt idx="17">
                  <c:v>39.47129307805011</c:v>
                </c:pt>
                <c:pt idx="18">
                  <c:v>39.442241325329178</c:v>
                </c:pt>
                <c:pt idx="19">
                  <c:v>39.414775057074635</c:v>
                </c:pt>
                <c:pt idx="20">
                  <c:v>39.392615844782888</c:v>
                </c:pt>
                <c:pt idx="21">
                  <c:v>39.407329123574669</c:v>
                </c:pt>
                <c:pt idx="22">
                  <c:v>39.419584137553741</c:v>
                </c:pt>
                <c:pt idx="23">
                  <c:v>39.43663754167526</c:v>
                </c:pt>
                <c:pt idx="24">
                  <c:v>39.435859875312062</c:v>
                </c:pt>
                <c:pt idx="25">
                  <c:v>39.410882758368302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42.973045681419549</c:v>
                </c:pt>
                <c:pt idx="1">
                  <c:v>40.858503899412554</c:v>
                </c:pt>
                <c:pt idx="2">
                  <c:v>43.603423611850573</c:v>
                </c:pt>
                <c:pt idx="3">
                  <c:v>42.297145873867827</c:v>
                </c:pt>
                <c:pt idx="4">
                  <c:v>44.404439947504322</c:v>
                </c:pt>
                <c:pt idx="5">
                  <c:v>47.140684059777136</c:v>
                </c:pt>
                <c:pt idx="6">
                  <c:v>45.758727910640985</c:v>
                </c:pt>
                <c:pt idx="7">
                  <c:v>45.111181661888381</c:v>
                </c:pt>
                <c:pt idx="8">
                  <c:v>46.62243256412399</c:v>
                </c:pt>
                <c:pt idx="9">
                  <c:v>46.572468845695923</c:v>
                </c:pt>
                <c:pt idx="10">
                  <c:v>40.267755299281561</c:v>
                </c:pt>
                <c:pt idx="11">
                  <c:v>45.727371290452453</c:v>
                </c:pt>
                <c:pt idx="12">
                  <c:v>45.671745958674308</c:v>
                </c:pt>
                <c:pt idx="13">
                  <c:v>45.682722018997552</c:v>
                </c:pt>
                <c:pt idx="14">
                  <c:v>45.789076179439242</c:v>
                </c:pt>
                <c:pt idx="15">
                  <c:v>45.789999084206102</c:v>
                </c:pt>
                <c:pt idx="16">
                  <c:v>45.807153814617557</c:v>
                </c:pt>
                <c:pt idx="17">
                  <c:v>45.801802884598885</c:v>
                </c:pt>
                <c:pt idx="18">
                  <c:v>45.77845340497668</c:v>
                </c:pt>
                <c:pt idx="19">
                  <c:v>45.735851564330808</c:v>
                </c:pt>
                <c:pt idx="20">
                  <c:v>45.708735616898551</c:v>
                </c:pt>
                <c:pt idx="21">
                  <c:v>45.661997468866261</c:v>
                </c:pt>
                <c:pt idx="22">
                  <c:v>45.638063896720794</c:v>
                </c:pt>
                <c:pt idx="23">
                  <c:v>45.608987921940326</c:v>
                </c:pt>
                <c:pt idx="24">
                  <c:v>45.546671132141967</c:v>
                </c:pt>
                <c:pt idx="25">
                  <c:v>45.466920875438291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56.558240212106682</c:v>
                </c:pt>
                <c:pt idx="1">
                  <c:v>53.287801355768835</c:v>
                </c:pt>
                <c:pt idx="2">
                  <c:v>54.241899859391026</c:v>
                </c:pt>
                <c:pt idx="3">
                  <c:v>51.36191417215398</c:v>
                </c:pt>
                <c:pt idx="4">
                  <c:v>52.54762346611151</c:v>
                </c:pt>
                <c:pt idx="5">
                  <c:v>56.959938314054902</c:v>
                </c:pt>
                <c:pt idx="6">
                  <c:v>56.285078773834464</c:v>
                </c:pt>
                <c:pt idx="7">
                  <c:v>55.13933233631267</c:v>
                </c:pt>
                <c:pt idx="8">
                  <c:v>53.461687163278597</c:v>
                </c:pt>
                <c:pt idx="9">
                  <c:v>51.59895120706809</c:v>
                </c:pt>
                <c:pt idx="10">
                  <c:v>46.376753906216948</c:v>
                </c:pt>
                <c:pt idx="11">
                  <c:v>46.611238440359678</c:v>
                </c:pt>
                <c:pt idx="12">
                  <c:v>46.411623738205122</c:v>
                </c:pt>
                <c:pt idx="13">
                  <c:v>46.073911260391704</c:v>
                </c:pt>
                <c:pt idx="14">
                  <c:v>45.749112737483522</c:v>
                </c:pt>
                <c:pt idx="15">
                  <c:v>45.460220180301008</c:v>
                </c:pt>
                <c:pt idx="16">
                  <c:v>45.104008436833908</c:v>
                </c:pt>
                <c:pt idx="17">
                  <c:v>44.674204100494805</c:v>
                </c:pt>
                <c:pt idx="18">
                  <c:v>44.289525300299594</c:v>
                </c:pt>
                <c:pt idx="19">
                  <c:v>43.931971865115464</c:v>
                </c:pt>
                <c:pt idx="20">
                  <c:v>43.614861101116603</c:v>
                </c:pt>
                <c:pt idx="21">
                  <c:v>43.283965133613691</c:v>
                </c:pt>
                <c:pt idx="22">
                  <c:v>42.983811851100953</c:v>
                </c:pt>
                <c:pt idx="23">
                  <c:v>42.685713506187824</c:v>
                </c:pt>
                <c:pt idx="24">
                  <c:v>42.394086903650461</c:v>
                </c:pt>
                <c:pt idx="25">
                  <c:v>42.114721270652204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54.339890299405795</c:v>
                </c:pt>
                <c:pt idx="1">
                  <c:v>123.68400316994341</c:v>
                </c:pt>
                <c:pt idx="2">
                  <c:v>63.713873046934694</c:v>
                </c:pt>
                <c:pt idx="3">
                  <c:v>48.148843754609096</c:v>
                </c:pt>
                <c:pt idx="4">
                  <c:v>47.401734716717307</c:v>
                </c:pt>
                <c:pt idx="5">
                  <c:v>57.663130107930762</c:v>
                </c:pt>
                <c:pt idx="6">
                  <c:v>39.410882758368302</c:v>
                </c:pt>
                <c:pt idx="7">
                  <c:v>45.466920875438291</c:v>
                </c:pt>
                <c:pt idx="8">
                  <c:v>42.114721270652204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47.662233271684329</c:v>
                </c:pt>
                <c:pt idx="1">
                  <c:v>103.38385272421922</c:v>
                </c:pt>
                <c:pt idx="2">
                  <c:v>60.870563130092535</c:v>
                </c:pt>
                <c:pt idx="3">
                  <c:v>56.605928964515698</c:v>
                </c:pt>
                <c:pt idx="4">
                  <c:v>52.306630670550817</c:v>
                </c:pt>
                <c:pt idx="5">
                  <c:v>49.410643446209662</c:v>
                </c:pt>
                <c:pt idx="6">
                  <c:v>39.309638587229429</c:v>
                </c:pt>
                <c:pt idx="7">
                  <c:v>40.267755299281561</c:v>
                </c:pt>
                <c:pt idx="8">
                  <c:v>46.376753906216948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10.411057565448745</c:v>
                </c:pt>
                <c:pt idx="1">
                  <c:v>23.696795665807716</c:v>
                </c:pt>
                <c:pt idx="2">
                  <c:v>12.207032372617503</c:v>
                </c:pt>
                <c:pt idx="3">
                  <c:v>9.2249060731820087</c:v>
                </c:pt>
                <c:pt idx="4">
                  <c:v>9.0817663804387667</c:v>
                </c:pt>
                <c:pt idx="5">
                  <c:v>11.047761849533813</c:v>
                </c:pt>
                <c:pt idx="6">
                  <c:v>7.5507875860951188</c:v>
                </c:pt>
                <c:pt idx="7">
                  <c:v>8.7110726199435753</c:v>
                </c:pt>
                <c:pt idx="8">
                  <c:v>8.0688198869327383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9.605564209096503</c:v>
                </c:pt>
                <c:pt idx="1">
                  <c:v>20.835369376538043</c:v>
                </c:pt>
                <c:pt idx="2">
                  <c:v>12.26749278106799</c:v>
                </c:pt>
                <c:pt idx="3">
                  <c:v>11.408023669072112</c:v>
                </c:pt>
                <c:pt idx="4">
                  <c:v>10.541568553942771</c:v>
                </c:pt>
                <c:pt idx="5">
                  <c:v>9.9579284405312514</c:v>
                </c:pt>
                <c:pt idx="6">
                  <c:v>7.9222317454925708</c:v>
                </c:pt>
                <c:pt idx="7">
                  <c:v>8.1153249130947867</c:v>
                </c:pt>
                <c:pt idx="8">
                  <c:v>9.3464963111639658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8.3852664195490014</c:v>
                </c:pt>
                <c:pt idx="1">
                  <c:v>17.349782547889351</c:v>
                </c:pt>
                <c:pt idx="2">
                  <c:v>11.101978662129754</c:v>
                </c:pt>
                <c:pt idx="3">
                  <c:v>11.895267590496083</c:v>
                </c:pt>
                <c:pt idx="4">
                  <c:v>12.124868521552317</c:v>
                </c:pt>
                <c:pt idx="5">
                  <c:v>9.984570167197397</c:v>
                </c:pt>
                <c:pt idx="6">
                  <c:v>8.5671966726316864</c:v>
                </c:pt>
                <c:pt idx="7">
                  <c:v>9.3244120522857958</c:v>
                </c:pt>
                <c:pt idx="8">
                  <c:v>11.266657366268603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7.3771673209990618E-2</c:v>
                </c:pt>
                <c:pt idx="1">
                  <c:v>8.0216071864206567E-2</c:v>
                </c:pt>
                <c:pt idx="2">
                  <c:v>8.1370214874618874E-2</c:v>
                </c:pt>
                <c:pt idx="3">
                  <c:v>8.3879295271931484E-2</c:v>
                </c:pt>
                <c:pt idx="4">
                  <c:v>8.2304199660933039E-2</c:v>
                </c:pt>
                <c:pt idx="5">
                  <c:v>8.3852664195490006E-2</c:v>
                </c:pt>
                <c:pt idx="6">
                  <c:v>8.5298944593424034E-2</c:v>
                </c:pt>
                <c:pt idx="7">
                  <c:v>8.7833961991028456E-2</c:v>
                </c:pt>
                <c:pt idx="8">
                  <c:v>9.0017645010714881E-2</c:v>
                </c:pt>
                <c:pt idx="9">
                  <c:v>9.0885135458674396E-2</c:v>
                </c:pt>
                <c:pt idx="10">
                  <c:v>9.6055642090965038E-2</c:v>
                </c:pt>
                <c:pt idx="11">
                  <c:v>9.2618066292955534E-2</c:v>
                </c:pt>
                <c:pt idx="12">
                  <c:v>9.3396741706619477E-2</c:v>
                </c:pt>
                <c:pt idx="13">
                  <c:v>9.4157471992111386E-2</c:v>
                </c:pt>
                <c:pt idx="14">
                  <c:v>9.4914737539286753E-2</c:v>
                </c:pt>
                <c:pt idx="15">
                  <c:v>9.5694091582071303E-2</c:v>
                </c:pt>
                <c:pt idx="16">
                  <c:v>9.6472453142741041E-2</c:v>
                </c:pt>
                <c:pt idx="17">
                  <c:v>9.7265369227922338E-2</c:v>
                </c:pt>
                <c:pt idx="18">
                  <c:v>9.8084004393947197E-2</c:v>
                </c:pt>
                <c:pt idx="19">
                  <c:v>9.8914360203850443E-2</c:v>
                </c:pt>
                <c:pt idx="20">
                  <c:v>9.9765495702618903E-2</c:v>
                </c:pt>
                <c:pt idx="21">
                  <c:v>0.10060391394578684</c:v>
                </c:pt>
                <c:pt idx="22">
                  <c:v>0.10143861858432793</c:v>
                </c:pt>
                <c:pt idx="23">
                  <c:v>0.10229518376168624</c:v>
                </c:pt>
                <c:pt idx="24">
                  <c:v>0.10319295828315198</c:v>
                </c:pt>
                <c:pt idx="25">
                  <c:v>0.10411057565448745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0.17733504505610828</c:v>
                </c:pt>
                <c:pt idx="1">
                  <c:v>0.1785723110963334</c:v>
                </c:pt>
                <c:pt idx="2">
                  <c:v>0.17359177156139327</c:v>
                </c:pt>
                <c:pt idx="3">
                  <c:v>0.17959331108201743</c:v>
                </c:pt>
                <c:pt idx="4">
                  <c:v>0.17826621447653992</c:v>
                </c:pt>
                <c:pt idx="5">
                  <c:v>0.1734978254788935</c:v>
                </c:pt>
                <c:pt idx="6">
                  <c:v>0.18432206873456233</c:v>
                </c:pt>
                <c:pt idx="7">
                  <c:v>0.18244312772670515</c:v>
                </c:pt>
                <c:pt idx="8">
                  <c:v>0.18811246879284013</c:v>
                </c:pt>
                <c:pt idx="9">
                  <c:v>0.19426192278862209</c:v>
                </c:pt>
                <c:pt idx="10">
                  <c:v>0.20835369376538043</c:v>
                </c:pt>
                <c:pt idx="11">
                  <c:v>0.2123537397280392</c:v>
                </c:pt>
                <c:pt idx="12">
                  <c:v>0.21385928339089202</c:v>
                </c:pt>
                <c:pt idx="13">
                  <c:v>0.21564038973937097</c:v>
                </c:pt>
                <c:pt idx="14">
                  <c:v>0.21744426726741253</c:v>
                </c:pt>
                <c:pt idx="15">
                  <c:v>0.21918957548346607</c:v>
                </c:pt>
                <c:pt idx="16">
                  <c:v>0.22100756342600836</c:v>
                </c:pt>
                <c:pt idx="17">
                  <c:v>0.22287771904679446</c:v>
                </c:pt>
                <c:pt idx="18">
                  <c:v>0.22465105654780165</c:v>
                </c:pt>
                <c:pt idx="19">
                  <c:v>0.2264347372716467</c:v>
                </c:pt>
                <c:pt idx="20">
                  <c:v>0.2282363120290358</c:v>
                </c:pt>
                <c:pt idx="21">
                  <c:v>0.23005896104007884</c:v>
                </c:pt>
                <c:pt idx="22">
                  <c:v>0.23181301598418286</c:v>
                </c:pt>
                <c:pt idx="23">
                  <c:v>0.23357357283245198</c:v>
                </c:pt>
                <c:pt idx="24">
                  <c:v>0.23532397345467412</c:v>
                </c:pt>
                <c:pt idx="25">
                  <c:v>0.23696795665807716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0.10979305713519301</c:v>
                </c:pt>
                <c:pt idx="1">
                  <c:v>0.11057378303983097</c:v>
                </c:pt>
                <c:pt idx="2">
                  <c:v>0.11190337377530098</c:v>
                </c:pt>
                <c:pt idx="3">
                  <c:v>0.11238214119397776</c:v>
                </c:pt>
                <c:pt idx="4">
                  <c:v>0.11201847914772295</c:v>
                </c:pt>
                <c:pt idx="5">
                  <c:v>0.11101978662129754</c:v>
                </c:pt>
                <c:pt idx="6">
                  <c:v>0.11296978494346738</c:v>
                </c:pt>
                <c:pt idx="7">
                  <c:v>0.11548500372295867</c:v>
                </c:pt>
                <c:pt idx="8">
                  <c:v>0.11499801597263928</c:v>
                </c:pt>
                <c:pt idx="9">
                  <c:v>0.11514573938806162</c:v>
                </c:pt>
                <c:pt idx="10">
                  <c:v>0.1226749278106799</c:v>
                </c:pt>
                <c:pt idx="11">
                  <c:v>0.11485824959620013</c:v>
                </c:pt>
                <c:pt idx="12">
                  <c:v>0.11504536861112694</c:v>
                </c:pt>
                <c:pt idx="13">
                  <c:v>0.11548899869709717</c:v>
                </c:pt>
                <c:pt idx="14">
                  <c:v>0.11606322628440495</c:v>
                </c:pt>
                <c:pt idx="15">
                  <c:v>0.11659443505521387</c:v>
                </c:pt>
                <c:pt idx="16">
                  <c:v>0.11711382823046708</c:v>
                </c:pt>
                <c:pt idx="17">
                  <c:v>0.11764399959987996</c:v>
                </c:pt>
                <c:pt idx="18">
                  <c:v>0.11819979361715789</c:v>
                </c:pt>
                <c:pt idx="19">
                  <c:v>0.11877937668834543</c:v>
                </c:pt>
                <c:pt idx="20">
                  <c:v>0.11933063055047202</c:v>
                </c:pt>
                <c:pt idx="21">
                  <c:v>0.11985487240163267</c:v>
                </c:pt>
                <c:pt idx="22">
                  <c:v>0.12035653782150527</c:v>
                </c:pt>
                <c:pt idx="23">
                  <c:v>0.12094332192221556</c:v>
                </c:pt>
                <c:pt idx="24">
                  <c:v>0.12149235893793564</c:v>
                </c:pt>
                <c:pt idx="25">
                  <c:v>0.12207032372617503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0.11898002187430966</c:v>
                </c:pt>
                <c:pt idx="1">
                  <c:v>0.12061885048602991</c:v>
                </c:pt>
                <c:pt idx="2">
                  <c:v>0.12039855583954247</c:v>
                </c:pt>
                <c:pt idx="3">
                  <c:v>0.11740518831681561</c:v>
                </c:pt>
                <c:pt idx="4">
                  <c:v>0.11749827425981033</c:v>
                </c:pt>
                <c:pt idx="5">
                  <c:v>0.11895267590496082</c:v>
                </c:pt>
                <c:pt idx="6">
                  <c:v>0.11432414091406244</c:v>
                </c:pt>
                <c:pt idx="7">
                  <c:v>0.11735795438053298</c:v>
                </c:pt>
                <c:pt idx="8">
                  <c:v>0.11433611341464044</c:v>
                </c:pt>
                <c:pt idx="9">
                  <c:v>0.10719100214587179</c:v>
                </c:pt>
                <c:pt idx="10">
                  <c:v>0.11408023669072111</c:v>
                </c:pt>
                <c:pt idx="11">
                  <c:v>0.10879180667809624</c:v>
                </c:pt>
                <c:pt idx="12">
                  <c:v>0.10817771611115615</c:v>
                </c:pt>
                <c:pt idx="13">
                  <c:v>0.1073791340711025</c:v>
                </c:pt>
                <c:pt idx="14">
                  <c:v>0.10649279336868887</c:v>
                </c:pt>
                <c:pt idx="15">
                  <c:v>0.10549216120903657</c:v>
                </c:pt>
                <c:pt idx="16">
                  <c:v>0.10430788354748087</c:v>
                </c:pt>
                <c:pt idx="17">
                  <c:v>0.10311219975863137</c:v>
                </c:pt>
                <c:pt idx="18">
                  <c:v>0.10183571755293627</c:v>
                </c:pt>
                <c:pt idx="19">
                  <c:v>0.10052694740388751</c:v>
                </c:pt>
                <c:pt idx="20">
                  <c:v>9.9218499370907987E-2</c:v>
                </c:pt>
                <c:pt idx="21">
                  <c:v>9.786120153762945E-2</c:v>
                </c:pt>
                <c:pt idx="22">
                  <c:v>9.6508078030442437E-2</c:v>
                </c:pt>
                <c:pt idx="23">
                  <c:v>9.4990407424071624E-2</c:v>
                </c:pt>
                <c:pt idx="24">
                  <c:v>9.3547422423844437E-2</c:v>
                </c:pt>
                <c:pt idx="25">
                  <c:v>9.2249060731820084E-2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0.12812216666096626</c:v>
                </c:pt>
                <c:pt idx="1">
                  <c:v>0.12429159186670967</c:v>
                </c:pt>
                <c:pt idx="2">
                  <c:v>0.122533565617485</c:v>
                </c:pt>
                <c:pt idx="3">
                  <c:v>0.1219715068799956</c:v>
                </c:pt>
                <c:pt idx="4">
                  <c:v>0.11970730451022479</c:v>
                </c:pt>
                <c:pt idx="5">
                  <c:v>0.12124868521552318</c:v>
                </c:pt>
                <c:pt idx="6">
                  <c:v>0.1099013990657732</c:v>
                </c:pt>
                <c:pt idx="7">
                  <c:v>0.11015370811014037</c:v>
                </c:pt>
                <c:pt idx="8">
                  <c:v>0.11575542107206192</c:v>
                </c:pt>
                <c:pt idx="9">
                  <c:v>0.121459355672961</c:v>
                </c:pt>
                <c:pt idx="10">
                  <c:v>0.10541568553942771</c:v>
                </c:pt>
                <c:pt idx="11">
                  <c:v>0.10640262229627158</c:v>
                </c:pt>
                <c:pt idx="12">
                  <c:v>0.10512448242107876</c:v>
                </c:pt>
                <c:pt idx="13">
                  <c:v>0.10370344749822925</c:v>
                </c:pt>
                <c:pt idx="14">
                  <c:v>0.10242972863534147</c:v>
                </c:pt>
                <c:pt idx="15">
                  <c:v>0.10127686503842888</c:v>
                </c:pt>
                <c:pt idx="16">
                  <c:v>0.10014857313653901</c:v>
                </c:pt>
                <c:pt idx="17">
                  <c:v>9.9036231836142505E-2</c:v>
                </c:pt>
                <c:pt idx="18">
                  <c:v>9.7972805241805003E-2</c:v>
                </c:pt>
                <c:pt idx="19">
                  <c:v>9.6904977179315885E-2</c:v>
                </c:pt>
                <c:pt idx="20">
                  <c:v>9.5855691356977274E-2</c:v>
                </c:pt>
                <c:pt idx="21">
                  <c:v>9.4815134583411356E-2</c:v>
                </c:pt>
                <c:pt idx="22">
                  <c:v>9.380688088877262E-2</c:v>
                </c:pt>
                <c:pt idx="23">
                  <c:v>9.280951669009585E-2</c:v>
                </c:pt>
                <c:pt idx="24">
                  <c:v>9.1809294544378472E-2</c:v>
                </c:pt>
                <c:pt idx="25">
                  <c:v>9.0817663804387661E-2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0.10213351421956417</c:v>
                </c:pt>
                <c:pt idx="1">
                  <c:v>0.10109923405336006</c:v>
                </c:pt>
                <c:pt idx="2">
                  <c:v>9.9558124443855228E-2</c:v>
                </c:pt>
                <c:pt idx="3">
                  <c:v>0.10053178037632905</c:v>
                </c:pt>
                <c:pt idx="4">
                  <c:v>0.10108712601997691</c:v>
                </c:pt>
                <c:pt idx="5">
                  <c:v>9.9845701671973972E-2</c:v>
                </c:pt>
                <c:pt idx="6">
                  <c:v>0.1069859136614572</c:v>
                </c:pt>
                <c:pt idx="7">
                  <c:v>0.10602981277133595</c:v>
                </c:pt>
                <c:pt idx="8">
                  <c:v>9.9192130157709765E-2</c:v>
                </c:pt>
                <c:pt idx="9">
                  <c:v>0.10091112427257402</c:v>
                </c:pt>
                <c:pt idx="10">
                  <c:v>9.957928440531251E-2</c:v>
                </c:pt>
                <c:pt idx="11">
                  <c:v>0.10184517890213271</c:v>
                </c:pt>
                <c:pt idx="12">
                  <c:v>0.10247191443562746</c:v>
                </c:pt>
                <c:pt idx="13">
                  <c:v>0.10315515400030485</c:v>
                </c:pt>
                <c:pt idx="14">
                  <c:v>0.10380089042650871</c:v>
                </c:pt>
                <c:pt idx="15">
                  <c:v>0.10440941180692845</c:v>
                </c:pt>
                <c:pt idx="16">
                  <c:v>0.10502582525335123</c:v>
                </c:pt>
                <c:pt idx="17">
                  <c:v>0.10565245945844719</c:v>
                </c:pt>
                <c:pt idx="18">
                  <c:v>0.1063059860606516</c:v>
                </c:pt>
                <c:pt idx="19">
                  <c:v>0.10692544463745242</c:v>
                </c:pt>
                <c:pt idx="20">
                  <c:v>0.10749191960732069</c:v>
                </c:pt>
                <c:pt idx="21">
                  <c:v>0.1080895936276737</c:v>
                </c:pt>
                <c:pt idx="22">
                  <c:v>0.10865232345596458</c:v>
                </c:pt>
                <c:pt idx="23">
                  <c:v>0.10926186802059253</c:v>
                </c:pt>
                <c:pt idx="24">
                  <c:v>0.10988699286115428</c:v>
                </c:pt>
                <c:pt idx="25">
                  <c:v>0.11047761849533813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8.5119876663777877E-2</c:v>
                </c:pt>
                <c:pt idx="1">
                  <c:v>8.8528016047659489E-2</c:v>
                </c:pt>
                <c:pt idx="2">
                  <c:v>8.9807502438832384E-2</c:v>
                </c:pt>
                <c:pt idx="3">
                  <c:v>8.9376796090451988E-2</c:v>
                </c:pt>
                <c:pt idx="4">
                  <c:v>9.0838231741617606E-2</c:v>
                </c:pt>
                <c:pt idx="5">
                  <c:v>8.567196672631687E-2</c:v>
                </c:pt>
                <c:pt idx="6">
                  <c:v>8.3705369675430796E-2</c:v>
                </c:pt>
                <c:pt idx="7">
                  <c:v>8.49531397453578E-2</c:v>
                </c:pt>
                <c:pt idx="8">
                  <c:v>8.1627247886259996E-2</c:v>
                </c:pt>
                <c:pt idx="9">
                  <c:v>7.7626693085705703E-2</c:v>
                </c:pt>
                <c:pt idx="10">
                  <c:v>7.9222317454925709E-2</c:v>
                </c:pt>
                <c:pt idx="11">
                  <c:v>7.8495583037978114E-2</c:v>
                </c:pt>
                <c:pt idx="12">
                  <c:v>7.8337521586485909E-2</c:v>
                </c:pt>
                <c:pt idx="13">
                  <c:v>7.821933977404831E-2</c:v>
                </c:pt>
                <c:pt idx="14">
                  <c:v>7.8022464092800725E-2</c:v>
                </c:pt>
                <c:pt idx="15">
                  <c:v>7.7762292747844353E-2</c:v>
                </c:pt>
                <c:pt idx="16">
                  <c:v>7.7514519694286979E-2</c:v>
                </c:pt>
                <c:pt idx="17">
                  <c:v>7.727726117772038E-2</c:v>
                </c:pt>
                <c:pt idx="18">
                  <c:v>7.7035928510129276E-2</c:v>
                </c:pt>
                <c:pt idx="19">
                  <c:v>7.6798685670284306E-2</c:v>
                </c:pt>
                <c:pt idx="20">
                  <c:v>7.6541643048527314E-2</c:v>
                </c:pt>
                <c:pt idx="21">
                  <c:v>7.6361469672452109E-2</c:v>
                </c:pt>
                <c:pt idx="22">
                  <c:v>7.6173551030351366E-2</c:v>
                </c:pt>
                <c:pt idx="23">
                  <c:v>7.5990645920983868E-2</c:v>
                </c:pt>
                <c:pt idx="24">
                  <c:v>7.5773784351209253E-2</c:v>
                </c:pt>
                <c:pt idx="25">
                  <c:v>7.5507875860951187E-2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8.8399350127579671E-2</c:v>
                </c:pt>
                <c:pt idx="1">
                  <c:v>8.5105393953697595E-2</c:v>
                </c:pt>
                <c:pt idx="2">
                  <c:v>8.9500200357665954E-2</c:v>
                </c:pt>
                <c:pt idx="3">
                  <c:v>8.8000253561583211E-2</c:v>
                </c:pt>
                <c:pt idx="4">
                  <c:v>9.0813125576481593E-2</c:v>
                </c:pt>
                <c:pt idx="5">
                  <c:v>9.3244120522857951E-2</c:v>
                </c:pt>
                <c:pt idx="6">
                  <c:v>9.0802116745560463E-2</c:v>
                </c:pt>
                <c:pt idx="7">
                  <c:v>8.8081455467191233E-2</c:v>
                </c:pt>
                <c:pt idx="8">
                  <c:v>9.1284976678950872E-2</c:v>
                </c:pt>
                <c:pt idx="9">
                  <c:v>9.1330922900737438E-2</c:v>
                </c:pt>
                <c:pt idx="10">
                  <c:v>8.115324913094786E-2</c:v>
                </c:pt>
                <c:pt idx="11">
                  <c:v>9.1433712826954741E-2</c:v>
                </c:pt>
                <c:pt idx="12">
                  <c:v>9.1055937267458031E-2</c:v>
                </c:pt>
                <c:pt idx="13">
                  <c:v>9.0739522809654125E-2</c:v>
                </c:pt>
                <c:pt idx="14">
                  <c:v>9.0455419689690064E-2</c:v>
                </c:pt>
                <c:pt idx="15">
                  <c:v>9.0115087309115244E-2</c:v>
                </c:pt>
                <c:pt idx="16">
                  <c:v>8.9894623482023997E-2</c:v>
                </c:pt>
                <c:pt idx="17">
                  <c:v>8.9671191590424179E-2</c:v>
                </c:pt>
                <c:pt idx="18">
                  <c:v>8.9411391069841417E-2</c:v>
                </c:pt>
                <c:pt idx="19">
                  <c:v>8.911514230553412E-2</c:v>
                </c:pt>
                <c:pt idx="20">
                  <c:v>8.88141508442504E-2</c:v>
                </c:pt>
                <c:pt idx="21">
                  <c:v>8.848144019018267E-2</c:v>
                </c:pt>
                <c:pt idx="22">
                  <c:v>8.8190006699016221E-2</c:v>
                </c:pt>
                <c:pt idx="23">
                  <c:v>8.7884177456255014E-2</c:v>
                </c:pt>
                <c:pt idx="24">
                  <c:v>8.7515364117696004E-2</c:v>
                </c:pt>
                <c:pt idx="25">
                  <c:v>8.7110726199435759E-2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0.11634529505251062</c:v>
                </c:pt>
                <c:pt idx="1">
                  <c:v>0.11099474759217239</c:v>
                </c:pt>
                <c:pt idx="2">
                  <c:v>0.11133669109130565</c:v>
                </c:pt>
                <c:pt idx="3">
                  <c:v>0.10685972722689786</c:v>
                </c:pt>
                <c:pt idx="4">
                  <c:v>0.10746704460669272</c:v>
                </c:pt>
                <c:pt idx="5">
                  <c:v>0.11266657366268604</c:v>
                </c:pt>
                <c:pt idx="6">
                  <c:v>0.11169026166626213</c:v>
                </c:pt>
                <c:pt idx="7">
                  <c:v>0.10766183608474944</c:v>
                </c:pt>
                <c:pt idx="8">
                  <c:v>0.10467598101418266</c:v>
                </c:pt>
                <c:pt idx="9">
                  <c:v>0.10118810428679195</c:v>
                </c:pt>
                <c:pt idx="10">
                  <c:v>9.3464963111639654E-2</c:v>
                </c:pt>
                <c:pt idx="11">
                  <c:v>9.3201040641371885E-2</c:v>
                </c:pt>
                <c:pt idx="12">
                  <c:v>9.2531034469555434E-2</c:v>
                </c:pt>
                <c:pt idx="13">
                  <c:v>9.1516541418081493E-2</c:v>
                </c:pt>
                <c:pt idx="14">
                  <c:v>9.0376472695865961E-2</c:v>
                </c:pt>
                <c:pt idx="15">
                  <c:v>8.946607976789514E-2</c:v>
                </c:pt>
                <c:pt idx="16">
                  <c:v>8.8514730087101562E-2</c:v>
                </c:pt>
                <c:pt idx="17">
                  <c:v>8.7463568304037648E-2</c:v>
                </c:pt>
                <c:pt idx="18">
                  <c:v>8.6503317005729677E-2</c:v>
                </c:pt>
                <c:pt idx="19">
                  <c:v>8.5600328639683185E-2</c:v>
                </c:pt>
                <c:pt idx="20">
                  <c:v>8.4745657489889534E-2</c:v>
                </c:pt>
                <c:pt idx="21">
                  <c:v>8.3873413001152322E-2</c:v>
                </c:pt>
                <c:pt idx="22">
                  <c:v>8.3060987505436668E-2</c:v>
                </c:pt>
                <c:pt idx="23">
                  <c:v>8.2251305971647135E-2</c:v>
                </c:pt>
                <c:pt idx="24">
                  <c:v>8.1457851025955708E-2</c:v>
                </c:pt>
                <c:pt idx="25">
                  <c:v>8.0688198869327377E-2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3.9524273935769401</c:v>
                </c:pt>
                <c:pt idx="1">
                  <c:v>11.346268904764415</c:v>
                </c:pt>
                <c:pt idx="2">
                  <c:v>2.5889966680571774</c:v>
                </c:pt>
                <c:pt idx="3">
                  <c:v>-5.4779378206173064</c:v>
                </c:pt>
                <c:pt idx="4">
                  <c:v>0.63716290273829657</c:v>
                </c:pt>
                <c:pt idx="5">
                  <c:v>0.97951788275139506</c:v>
                </c:pt>
                <c:pt idx="6">
                  <c:v>-3.7282336102032474</c:v>
                </c:pt>
                <c:pt idx="7">
                  <c:v>-0.56821521408121356</c:v>
                </c:pt>
                <c:pt idx="8">
                  <c:v>-5.360987106986812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1.3170852621070495</c:v>
                </c:pt>
                <c:pt idx="1">
                  <c:v>4.3236761746944126</c:v>
                </c:pt>
                <c:pt idx="2">
                  <c:v>2.1541810981989045</c:v>
                </c:pt>
                <c:pt idx="3">
                  <c:v>1.9459140492691702</c:v>
                </c:pt>
                <c:pt idx="4">
                  <c:v>-9.6292600271178372</c:v>
                </c:pt>
                <c:pt idx="5">
                  <c:v>-2.0470670652282621</c:v>
                </c:pt>
                <c:pt idx="6">
                  <c:v>-0.2746186446575507</c:v>
                </c:pt>
                <c:pt idx="7">
                  <c:v>-6.3047135464143622</c:v>
                </c:pt>
                <c:pt idx="8">
                  <c:v>-5.2221973008511426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0.96261409573038748</c:v>
                </c:pt>
                <c:pt idx="1">
                  <c:v>7.9925078870434021</c:v>
                </c:pt>
                <c:pt idx="2">
                  <c:v>-1.6256660343568328</c:v>
                </c:pt>
                <c:pt idx="3">
                  <c:v>-3.0024080736903755</c:v>
                </c:pt>
                <c:pt idx="4">
                  <c:v>-0.84501979230404345</c:v>
                </c:pt>
                <c:pt idx="5">
                  <c:v>3.6427021564212652</c:v>
                </c:pt>
                <c:pt idx="6">
                  <c:v>0.20355970214721708</c:v>
                </c:pt>
                <c:pt idx="7">
                  <c:v>5.5222437849245409</c:v>
                </c:pt>
                <c:pt idx="8">
                  <c:v>-0.91653372591594007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5.7150429319910785</c:v>
                </c:pt>
                <c:pt idx="1">
                  <c:v>12.307642558680783</c:v>
                </c:pt>
                <c:pt idx="2">
                  <c:v>4.4689759511989919</c:v>
                </c:pt>
                <c:pt idx="3">
                  <c:v>-5.4546771362162261</c:v>
                </c:pt>
                <c:pt idx="4">
                  <c:v>-4.0598761615294663</c:v>
                </c:pt>
                <c:pt idx="5">
                  <c:v>4.6097845052998352</c:v>
                </c:pt>
                <c:pt idx="6">
                  <c:v>-0.1023155310083439</c:v>
                </c:pt>
                <c:pt idx="7">
                  <c:v>-0.32307820876781079</c:v>
                </c:pt>
                <c:pt idx="8">
                  <c:v>-3.3454989096488035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6.677657027721466</c:v>
                </c:pt>
                <c:pt idx="1">
                  <c:v>20.300150445724185</c:v>
                </c:pt>
                <c:pt idx="2">
                  <c:v>2.8433099168421592</c:v>
                </c:pt>
                <c:pt idx="3">
                  <c:v>-8.4570852099066016</c:v>
                </c:pt>
                <c:pt idx="4">
                  <c:v>-4.9048959538335097</c:v>
                </c:pt>
                <c:pt idx="5">
                  <c:v>8.2524866617211003</c:v>
                </c:pt>
                <c:pt idx="6">
                  <c:v>0.10124417113887318</c:v>
                </c:pt>
                <c:pt idx="7">
                  <c:v>5.1991655761567301</c:v>
                </c:pt>
                <c:pt idx="8">
                  <c:v>-4.2620326355647435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4.3568628474234323</c:v>
                </c:pt>
                <c:pt idx="1">
                  <c:v>12.962366538034182</c:v>
                </c:pt>
                <c:pt idx="2">
                  <c:v>4.4048910023237084</c:v>
                </c:pt>
                <c:pt idx="3">
                  <c:v>-9.8519974468151759</c:v>
                </c:pt>
                <c:pt idx="4">
                  <c:v>0.8004574290595583</c:v>
                </c:pt>
                <c:pt idx="5">
                  <c:v>6.3883214943529083</c:v>
                </c:pt>
                <c:pt idx="6">
                  <c:v>-0.81755227572205413</c:v>
                </c:pt>
                <c:pt idx="7">
                  <c:v>1.9699658583033584</c:v>
                </c:pt>
                <c:pt idx="8">
                  <c:v>-2.8083790500485293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2.3207941802980159</c:v>
                </c:pt>
                <c:pt idx="1">
                  <c:v>7.3377839076899534</c:v>
                </c:pt>
                <c:pt idx="2">
                  <c:v>-1.5615810854814889</c:v>
                </c:pt>
                <c:pt idx="3">
                  <c:v>1.3949122369085174</c:v>
                </c:pt>
                <c:pt idx="4">
                  <c:v>-5.7053533828930725</c:v>
                </c:pt>
                <c:pt idx="5">
                  <c:v>1.8641651673682231</c:v>
                </c:pt>
                <c:pt idx="6">
                  <c:v>0.91879644686095574</c:v>
                </c:pt>
                <c:pt idx="7">
                  <c:v>3.2291997178533904</c:v>
                </c:pt>
                <c:pt idx="8">
                  <c:v>-1.4536535855161503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0.68987909013151594</c:v>
                </c:pt>
                <c:pt idx="1">
                  <c:v>-0.66249257723878152</c:v>
                </c:pt>
                <c:pt idx="2">
                  <c:v>-1.1873593429243989E-2</c:v>
                </c:pt>
                <c:pt idx="3">
                  <c:v>-0.14382021016278945</c:v>
                </c:pt>
                <c:pt idx="4">
                  <c:v>0.2638850864348079</c:v>
                </c:pt>
                <c:pt idx="5">
                  <c:v>0.99418781908258191</c:v>
                </c:pt>
                <c:pt idx="6">
                  <c:v>-0.23955882090058211</c:v>
                </c:pt>
                <c:pt idx="7">
                  <c:v>1.4355637975039279</c:v>
                </c:pt>
                <c:pt idx="8">
                  <c:v>1.277054557211577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1.8035106036875286</c:v>
                </c:pt>
                <c:pt idx="1">
                  <c:v>6.0146975719118849</c:v>
                </c:pt>
                <c:pt idx="2">
                  <c:v>1.0790311410619218</c:v>
                </c:pt>
                <c:pt idx="3">
                  <c:v>-3.9793117040459443</c:v>
                </c:pt>
                <c:pt idx="4">
                  <c:v>0.42970883977422858</c:v>
                </c:pt>
                <c:pt idx="5">
                  <c:v>2.173705583058652</c:v>
                </c:pt>
                <c:pt idx="6">
                  <c:v>-0.14828529621051345</c:v>
                </c:pt>
                <c:pt idx="7">
                  <c:v>1.8180432163407607</c:v>
                </c:pt>
                <c:pt idx="8">
                  <c:v>-3.7496626655198142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4.184267333902369</c:v>
                </c:pt>
                <c:pt idx="1">
                  <c:v>14.947945451051069</c:v>
                </c:pt>
                <c:pt idx="2">
                  <c:v>1.7761523692095125</c:v>
                </c:pt>
                <c:pt idx="3">
                  <c:v>-4.3339532956978921</c:v>
                </c:pt>
                <c:pt idx="4">
                  <c:v>-5.5984898800425427</c:v>
                </c:pt>
                <c:pt idx="5">
                  <c:v>5.0845932595799077</c:v>
                </c:pt>
                <c:pt idx="6">
                  <c:v>0.48908828824994188</c:v>
                </c:pt>
                <c:pt idx="7">
                  <c:v>1.9455585623120939</c:v>
                </c:pt>
                <c:pt idx="8">
                  <c:v>-1.7894245272564504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0.32006502239174628</c:v>
                </c:pt>
                <c:pt idx="1">
                  <c:v>4.8828803991901815E-2</c:v>
                </c:pt>
                <c:pt idx="2">
                  <c:v>4.3112654003689688E-2</c:v>
                </c:pt>
                <c:pt idx="3">
                  <c:v>-0.35433119283576753</c:v>
                </c:pt>
                <c:pt idx="4">
                  <c:v>0.38559533152811842</c:v>
                </c:pt>
                <c:pt idx="5">
                  <c:v>0.62404671284058066</c:v>
                </c:pt>
                <c:pt idx="6">
                  <c:v>-0.10993780791056751</c:v>
                </c:pt>
                <c:pt idx="7">
                  <c:v>7.3631235850208365E-2</c:v>
                </c:pt>
                <c:pt idx="8">
                  <c:v>0.35519682461331215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0.72338619878122623</c:v>
                </c:pt>
                <c:pt idx="1">
                  <c:v>4.5011488212043353</c:v>
                </c:pt>
                <c:pt idx="2">
                  <c:v>1.3635077413080534</c:v>
                </c:pt>
                <c:pt idx="3">
                  <c:v>-4.2930470503886919</c:v>
                </c:pt>
                <c:pt idx="4">
                  <c:v>3.8610709787650466E-2</c:v>
                </c:pt>
                <c:pt idx="5">
                  <c:v>1.6903726050943924</c:v>
                </c:pt>
                <c:pt idx="6">
                  <c:v>-0.51865392375668584</c:v>
                </c:pt>
                <c:pt idx="7">
                  <c:v>1.0836182181260519</c:v>
                </c:pt>
                <c:pt idx="8">
                  <c:v>-2.9101089034621488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3.3134116262504598</c:v>
                </c:pt>
                <c:pt idx="1">
                  <c:v>8.4123889128379652</c:v>
                </c:pt>
                <c:pt idx="2">
                  <c:v>2.9982706070119534</c:v>
                </c:pt>
                <c:pt idx="3">
                  <c:v>-5.2046192035907097</c:v>
                </c:pt>
                <c:pt idx="4">
                  <c:v>0.37625138774378608</c:v>
                </c:pt>
                <c:pt idx="5">
                  <c:v>4.0739021764179419</c:v>
                </c:pt>
                <c:pt idx="6">
                  <c:v>-0.18896054405481078</c:v>
                </c:pt>
                <c:pt idx="7">
                  <c:v>0.8127164043271029</c:v>
                </c:pt>
                <c:pt idx="8">
                  <c:v>-0.25346697119968908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0.36981406773977898</c:v>
                </c:pt>
                <c:pt idx="1">
                  <c:v>-0.71132138123068245</c:v>
                </c:pt>
                <c:pt idx="2">
                  <c:v>-5.4986247432932345E-2</c:v>
                </c:pt>
                <c:pt idx="3">
                  <c:v>0.21051098267297852</c:v>
                </c:pt>
                <c:pt idx="4">
                  <c:v>-0.12171024509330408</c:v>
                </c:pt>
                <c:pt idx="5">
                  <c:v>0.37014110624200036</c:v>
                </c:pt>
                <c:pt idx="6">
                  <c:v>-0.12962101299001672</c:v>
                </c:pt>
                <c:pt idx="7">
                  <c:v>1.3619325616537186</c:v>
                </c:pt>
                <c:pt idx="8">
                  <c:v>0.92185773259826753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1.0801244049063086</c:v>
                </c:pt>
                <c:pt idx="1">
                  <c:v>1.5135487507075478</c:v>
                </c:pt>
                <c:pt idx="2">
                  <c:v>-0.28447660024612764</c:v>
                </c:pt>
                <c:pt idx="3">
                  <c:v>0.3137353463427397</c:v>
                </c:pt>
                <c:pt idx="4">
                  <c:v>0.39109812998657301</c:v>
                </c:pt>
                <c:pt idx="5">
                  <c:v>0.48333297796425656</c:v>
                </c:pt>
                <c:pt idx="6">
                  <c:v>0.37036862754620969</c:v>
                </c:pt>
                <c:pt idx="7">
                  <c:v>0.73442499821470619</c:v>
                </c:pt>
                <c:pt idx="8">
                  <c:v>-0.83955376205767074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0.87085570765191278</c:v>
                </c:pt>
                <c:pt idx="1">
                  <c:v>6.5355565382130933</c:v>
                </c:pt>
                <c:pt idx="2">
                  <c:v>-1.2221182378024338</c:v>
                </c:pt>
                <c:pt idx="3">
                  <c:v>0.87066590789280163</c:v>
                </c:pt>
                <c:pt idx="4">
                  <c:v>-5.9747412677863387</c:v>
                </c:pt>
                <c:pt idx="5">
                  <c:v>1.0106910831619667</c:v>
                </c:pt>
                <c:pt idx="6">
                  <c:v>0.67804883230475443</c:v>
                </c:pt>
                <c:pt idx="7">
                  <c:v>1.1328421579849817</c:v>
                </c:pt>
                <c:pt idx="8">
                  <c:v>-1.535957556056756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44.984409789543122</c:v>
                </c:pt>
                <c:pt idx="1">
                  <c:v>43.064085429987195</c:v>
                </c:pt>
                <c:pt idx="2">
                  <c:v>43.93222905545106</c:v>
                </c:pt>
                <c:pt idx="3">
                  <c:v>45.539860181778536</c:v>
                </c:pt>
                <c:pt idx="4">
                  <c:v>37.885028683570575</c:v>
                </c:pt>
                <c:pt idx="5">
                  <c:v>40.99780295957919</c:v>
                </c:pt>
                <c:pt idx="6">
                  <c:v>36.649719347697719</c:v>
                </c:pt>
                <c:pt idx="7">
                  <c:v>38.499075334532783</c:v>
                </c:pt>
                <c:pt idx="8">
                  <c:v>30.351027927750973</c:v>
                </c:pt>
                <c:pt idx="9">
                  <c:v>32.369011383166658</c:v>
                </c:pt>
                <c:pt idx="10">
                  <c:v>31.789937482450107</c:v>
                </c:pt>
                <c:pt idx="11">
                  <c:v>23.379600253949363</c:v>
                </c:pt>
                <c:pt idx="12">
                  <c:v>24.579619774774731</c:v>
                </c:pt>
                <c:pt idx="13">
                  <c:v>22.759526993875316</c:v>
                </c:pt>
                <c:pt idx="14">
                  <c:v>21.040046854315289</c:v>
                </c:pt>
                <c:pt idx="15">
                  <c:v>19.91149354561998</c:v>
                </c:pt>
                <c:pt idx="16">
                  <c:v>18.904013358021761</c:v>
                </c:pt>
                <c:pt idx="17">
                  <c:v>17.924523191829756</c:v>
                </c:pt>
                <c:pt idx="18">
                  <c:v>17.00738861290538</c:v>
                </c:pt>
                <c:pt idx="19">
                  <c:v>16.130276228567954</c:v>
                </c:pt>
                <c:pt idx="20">
                  <c:v>15.299851375168149</c:v>
                </c:pt>
                <c:pt idx="21">
                  <c:v>14.505830267412829</c:v>
                </c:pt>
                <c:pt idx="22">
                  <c:v>13.752875328612573</c:v>
                </c:pt>
                <c:pt idx="23">
                  <c:v>13.040045323069693</c:v>
                </c:pt>
                <c:pt idx="24">
                  <c:v>12.395458738488909</c:v>
                </c:pt>
                <c:pt idx="25">
                  <c:v>12.146913981255848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86.99045832604186</c:v>
                </c:pt>
                <c:pt idx="1">
                  <c:v>85.888682008269299</c:v>
                </c:pt>
                <c:pt idx="2">
                  <c:v>77.798094130437818</c:v>
                </c:pt>
                <c:pt idx="3">
                  <c:v>72.887386517228364</c:v>
                </c:pt>
                <c:pt idx="4">
                  <c:v>82.717805083880066</c:v>
                </c:pt>
                <c:pt idx="5">
                  <c:v>74.233403679264697</c:v>
                </c:pt>
                <c:pt idx="6">
                  <c:v>69.973404361741316</c:v>
                </c:pt>
                <c:pt idx="7">
                  <c:v>72.159848074685357</c:v>
                </c:pt>
                <c:pt idx="8">
                  <c:v>68.75835450182764</c:v>
                </c:pt>
                <c:pt idx="9">
                  <c:v>65.981308811181577</c:v>
                </c:pt>
                <c:pt idx="10">
                  <c:v>60.025164113237281</c:v>
                </c:pt>
                <c:pt idx="11">
                  <c:v>60.607041183677516</c:v>
                </c:pt>
                <c:pt idx="12">
                  <c:v>57.795200786818647</c:v>
                </c:pt>
                <c:pt idx="13">
                  <c:v>55.760187602448021</c:v>
                </c:pt>
                <c:pt idx="14">
                  <c:v>53.830162914731432</c:v>
                </c:pt>
                <c:pt idx="15">
                  <c:v>51.779979696468409</c:v>
                </c:pt>
                <c:pt idx="16">
                  <c:v>49.699288343081797</c:v>
                </c:pt>
                <c:pt idx="17">
                  <c:v>47.621464230658866</c:v>
                </c:pt>
                <c:pt idx="18">
                  <c:v>45.567403997521552</c:v>
                </c:pt>
                <c:pt idx="19">
                  <c:v>43.541356414096114</c:v>
                </c:pt>
                <c:pt idx="20">
                  <c:v>41.567924302346974</c:v>
                </c:pt>
                <c:pt idx="21">
                  <c:v>39.608135857015093</c:v>
                </c:pt>
                <c:pt idx="22">
                  <c:v>37.664831674173328</c:v>
                </c:pt>
                <c:pt idx="23">
                  <c:v>35.740478944317033</c:v>
                </c:pt>
                <c:pt idx="24">
                  <c:v>33.836708039122811</c:v>
                </c:pt>
                <c:pt idx="25">
                  <c:v>31.920671646136881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111.46901122811198</c:v>
                </c:pt>
                <c:pt idx="1">
                  <c:v>112.01879666054352</c:v>
                </c:pt>
                <c:pt idx="2">
                  <c:v>111.73857356047561</c:v>
                </c:pt>
                <c:pt idx="3">
                  <c:v>107.69668372891323</c:v>
                </c:pt>
                <c:pt idx="4">
                  <c:v>103.10819296262142</c:v>
                </c:pt>
                <c:pt idx="5">
                  <c:v>111.8347398533739</c:v>
                </c:pt>
                <c:pt idx="6">
                  <c:v>111.52833855734386</c:v>
                </c:pt>
                <c:pt idx="7">
                  <c:v>117.59753353378098</c:v>
                </c:pt>
                <c:pt idx="8">
                  <c:v>121.86814274179333</c:v>
                </c:pt>
                <c:pt idx="9">
                  <c:v>114.81041065304444</c:v>
                </c:pt>
                <c:pt idx="10">
                  <c:v>99.097756857584756</c:v>
                </c:pt>
                <c:pt idx="11">
                  <c:v>105.74274564489514</c:v>
                </c:pt>
                <c:pt idx="12">
                  <c:v>106.6823653190429</c:v>
                </c:pt>
                <c:pt idx="13">
                  <c:v>106.03405299369342</c:v>
                </c:pt>
                <c:pt idx="14">
                  <c:v>105.49797079358052</c:v>
                </c:pt>
                <c:pt idx="15">
                  <c:v>104.59823075509426</c:v>
                </c:pt>
                <c:pt idx="16">
                  <c:v>103.52215921711004</c:v>
                </c:pt>
                <c:pt idx="17">
                  <c:v>102.34626886760699</c:v>
                </c:pt>
                <c:pt idx="18">
                  <c:v>101.11422869618772</c:v>
                </c:pt>
                <c:pt idx="19">
                  <c:v>99.838257662037151</c:v>
                </c:pt>
                <c:pt idx="20">
                  <c:v>98.554697581797285</c:v>
                </c:pt>
                <c:pt idx="21">
                  <c:v>97.224462616012573</c:v>
                </c:pt>
                <c:pt idx="22">
                  <c:v>95.855997068679471</c:v>
                </c:pt>
                <c:pt idx="23">
                  <c:v>94.448890973905392</c:v>
                </c:pt>
                <c:pt idx="24">
                  <c:v>92.99010547343687</c:v>
                </c:pt>
                <c:pt idx="25">
                  <c:v>91.411250353138456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97.290765424142805</c:v>
                </c:pt>
                <c:pt idx="1">
                  <c:v>95.561198378836622</c:v>
                </c:pt>
                <c:pt idx="2">
                  <c:v>101.56914010905017</c:v>
                </c:pt>
                <c:pt idx="3">
                  <c:v>102.12314801460052</c:v>
                </c:pt>
                <c:pt idx="4">
                  <c:v>106.39040679180388</c:v>
                </c:pt>
                <c:pt idx="5">
                  <c:v>101.26753787756155</c:v>
                </c:pt>
                <c:pt idx="6">
                  <c:v>100.47900960894468</c:v>
                </c:pt>
                <c:pt idx="7">
                  <c:v>108.56185953713323</c:v>
                </c:pt>
                <c:pt idx="8">
                  <c:v>113.49420506920778</c:v>
                </c:pt>
                <c:pt idx="9">
                  <c:v>109.81054068418128</c:v>
                </c:pt>
                <c:pt idx="10">
                  <c:v>104.45386297689122</c:v>
                </c:pt>
                <c:pt idx="11">
                  <c:v>106.81061500525314</c:v>
                </c:pt>
                <c:pt idx="12">
                  <c:v>107.61550163239431</c:v>
                </c:pt>
                <c:pt idx="13">
                  <c:v>108.16769307410598</c:v>
                </c:pt>
                <c:pt idx="14">
                  <c:v>108.88620663623371</c:v>
                </c:pt>
                <c:pt idx="15">
                  <c:v>109.28122941218506</c:v>
                </c:pt>
                <c:pt idx="16">
                  <c:v>109.52451184171508</c:v>
                </c:pt>
                <c:pt idx="17">
                  <c:v>109.69486874922576</c:v>
                </c:pt>
                <c:pt idx="18">
                  <c:v>109.83399169906396</c:v>
                </c:pt>
                <c:pt idx="19">
                  <c:v>109.93581571741063</c:v>
                </c:pt>
                <c:pt idx="20">
                  <c:v>110.06260252832385</c:v>
                </c:pt>
                <c:pt idx="21">
                  <c:v>110.16783156867969</c:v>
                </c:pt>
                <c:pt idx="22">
                  <c:v>110.25763977629538</c:v>
                </c:pt>
                <c:pt idx="23">
                  <c:v>110.33237903248745</c:v>
                </c:pt>
                <c:pt idx="24">
                  <c:v>110.38343795038806</c:v>
                </c:pt>
                <c:pt idx="25">
                  <c:v>110.33205707401453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21.930311283055563</c:v>
                </c:pt>
                <c:pt idx="1">
                  <c:v>21.983884712813069</c:v>
                </c:pt>
                <c:pt idx="2">
                  <c:v>23.122261246621584</c:v>
                </c:pt>
                <c:pt idx="3">
                  <c:v>22.323609241715292</c:v>
                </c:pt>
                <c:pt idx="4">
                  <c:v>23.485353741552693</c:v>
                </c:pt>
                <c:pt idx="5">
                  <c:v>26.61461628585398</c:v>
                </c:pt>
                <c:pt idx="6">
                  <c:v>27.037282816146728</c:v>
                </c:pt>
                <c:pt idx="7">
                  <c:v>23.990280839470124</c:v>
                </c:pt>
                <c:pt idx="8">
                  <c:v>23.504853921699688</c:v>
                </c:pt>
                <c:pt idx="9">
                  <c:v>24.76710866384548</c:v>
                </c:pt>
                <c:pt idx="10">
                  <c:v>26.960259961527282</c:v>
                </c:pt>
                <c:pt idx="11">
                  <c:v>27.346021594306077</c:v>
                </c:pt>
                <c:pt idx="12">
                  <c:v>26.593013725460292</c:v>
                </c:pt>
                <c:pt idx="13">
                  <c:v>27.049153492598457</c:v>
                </c:pt>
                <c:pt idx="14">
                  <c:v>27.551235944119274</c:v>
                </c:pt>
                <c:pt idx="15">
                  <c:v>27.963964144204844</c:v>
                </c:pt>
                <c:pt idx="16">
                  <c:v>28.35043023214546</c:v>
                </c:pt>
                <c:pt idx="17">
                  <c:v>28.726089492049589</c:v>
                </c:pt>
                <c:pt idx="18" formatCode="General">
                  <c:v>29.100880346394483</c:v>
                </c:pt>
                <c:pt idx="19" formatCode="General">
                  <c:v>29.467709046501401</c:v>
                </c:pt>
                <c:pt idx="20" formatCode="General">
                  <c:v>29.854837439672554</c:v>
                </c:pt>
                <c:pt idx="21" formatCode="General">
                  <c:v>30.240938307370413</c:v>
                </c:pt>
                <c:pt idx="22">
                  <c:v>30.639598651486057</c:v>
                </c:pt>
                <c:pt idx="23">
                  <c:v>31.061220205201501</c:v>
                </c:pt>
                <c:pt idx="24">
                  <c:v>31.467228706887536</c:v>
                </c:pt>
                <c:pt idx="25">
                  <c:v>31.84345749255802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26.341781759912564</c:v>
                </c:pt>
                <c:pt idx="1">
                  <c:v>26.445544427659701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26.625759941697492</c:v>
                </c:pt>
                <c:pt idx="5">
                  <c:v>27.262700234542468</c:v>
                </c:pt>
                <c:pt idx="6">
                  <c:v>29.099100080495969</c:v>
                </c:pt>
                <c:pt idx="7">
                  <c:v>26.612028259343695</c:v>
                </c:pt>
                <c:pt idx="8">
                  <c:v>25.040433656387943</c:v>
                </c:pt>
                <c:pt idx="9">
                  <c:v>24.998245553760128</c:v>
                </c:pt>
                <c:pt idx="10">
                  <c:v>27.827400007193688</c:v>
                </c:pt>
                <c:pt idx="11">
                  <c:v>27.548865771429099</c:v>
                </c:pt>
                <c:pt idx="12">
                  <c:v>26.48633045134153</c:v>
                </c:pt>
                <c:pt idx="13">
                  <c:v>26.682724140660564</c:v>
                </c:pt>
                <c:pt idx="14">
                  <c:v>26.938975650833388</c:v>
                </c:pt>
                <c:pt idx="15">
                  <c:v>27.122890296340106</c:v>
                </c:pt>
                <c:pt idx="16">
                  <c:v>27.291224644991171</c:v>
                </c:pt>
                <c:pt idx="17">
                  <c:v>27.466835022538977</c:v>
                </c:pt>
                <c:pt idx="18" formatCode="General">
                  <c:v>27.62895387549198</c:v>
                </c:pt>
                <c:pt idx="19" formatCode="General">
                  <c:v>27.857319652867524</c:v>
                </c:pt>
                <c:pt idx="20" formatCode="General">
                  <c:v>28.098165836162636</c:v>
                </c:pt>
                <c:pt idx="21" formatCode="General">
                  <c:v>28.34766385552302</c:v>
                </c:pt>
                <c:pt idx="22">
                  <c:v>28.620652874133807</c:v>
                </c:pt>
                <c:pt idx="23">
                  <c:v>28.900143687957435</c:v>
                </c:pt>
                <c:pt idx="24">
                  <c:v>29.188075228172142</c:v>
                </c:pt>
                <c:pt idx="25">
                  <c:v>29.459577091677122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63.452769163924188</c:v>
                </c:pt>
                <c:pt idx="1">
                  <c:v>66.816627284745778</c:v>
                </c:pt>
                <c:pt idx="2">
                  <c:v>70.590050233683442</c:v>
                </c:pt>
                <c:pt idx="3">
                  <c:v>70.846513353487978</c:v>
                </c:pt>
                <c:pt idx="4">
                  <c:v>75.733302581678274</c:v>
                </c:pt>
                <c:pt idx="5">
                  <c:v>83.671480205469024</c:v>
                </c:pt>
                <c:pt idx="6">
                  <c:v>87.402102773251045</c:v>
                </c:pt>
                <c:pt idx="7">
                  <c:v>82.024676470865245</c:v>
                </c:pt>
                <c:pt idx="8">
                  <c:v>78.943948994443502</c:v>
                </c:pt>
                <c:pt idx="9">
                  <c:v>81.914992761114462</c:v>
                </c:pt>
                <c:pt idx="10">
                  <c:v>91.034053021034552</c:v>
                </c:pt>
                <c:pt idx="11">
                  <c:v>93.208352502270955</c:v>
                </c:pt>
                <c:pt idx="12">
                  <c:v>91.763756139120488</c:v>
                </c:pt>
                <c:pt idx="13">
                  <c:v>93.670133295839307</c:v>
                </c:pt>
                <c:pt idx="14">
                  <c:v>95.722787275191308</c:v>
                </c:pt>
                <c:pt idx="15">
                  <c:v>97.47831372544357</c:v>
                </c:pt>
                <c:pt idx="16">
                  <c:v>99.08443307461124</c:v>
                </c:pt>
                <c:pt idx="17">
                  <c:v>100.61702969385607</c:v>
                </c:pt>
                <c:pt idx="18" formatCode="General">
                  <c:v>102.15534085555676</c:v>
                </c:pt>
                <c:pt idx="19" formatCode="General">
                  <c:v>103.63017468683526</c:v>
                </c:pt>
                <c:pt idx="20" formatCode="General">
                  <c:v>105.11756533728824</c:v>
                </c:pt>
                <c:pt idx="21" formatCode="General">
                  <c:v>106.57317893845489</c:v>
                </c:pt>
                <c:pt idx="22" formatCode="General">
                  <c:v>107.99152702657545</c:v>
                </c:pt>
                <c:pt idx="23" formatCode="General">
                  <c:v>109.38631200624071</c:v>
                </c:pt>
                <c:pt idx="24" formatCode="General">
                  <c:v>110.76862282004035</c:v>
                </c:pt>
                <c:pt idx="25" formatCode="General">
                  <c:v>112.09012461141087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29.369595795282642</c:v>
                </c:pt>
                <c:pt idx="1">
                  <c:v>24.54660893874459</c:v>
                </c:pt>
                <c:pt idx="2">
                  <c:v>27.161240968900326</c:v>
                </c:pt>
                <c:pt idx="3">
                  <c:v>28.876646791678212</c:v>
                </c:pt>
                <c:pt idx="4">
                  <c:v>28.502507438889939</c:v>
                </c:pt>
                <c:pt idx="5">
                  <c:v>34.372407642251311</c:v>
                </c:pt>
                <c:pt idx="6">
                  <c:v>36.220834681574104</c:v>
                </c:pt>
                <c:pt idx="7">
                  <c:v>37.061370719350705</c:v>
                </c:pt>
                <c:pt idx="8">
                  <c:v>42.351476604244496</c:v>
                </c:pt>
                <c:pt idx="9">
                  <c:v>47.972540866402163</c:v>
                </c:pt>
                <c:pt idx="10">
                  <c:v>47.914257000986936</c:v>
                </c:pt>
                <c:pt idx="11">
                  <c:v>48.24105668618806</c:v>
                </c:pt>
                <c:pt idx="12">
                  <c:v>52.190025602387401</c:v>
                </c:pt>
                <c:pt idx="13">
                  <c:v>55.027070348848198</c:v>
                </c:pt>
                <c:pt idx="14">
                  <c:v>57.992305806982714</c:v>
                </c:pt>
                <c:pt idx="15">
                  <c:v>60.815722937880487</c:v>
                </c:pt>
                <c:pt idx="16">
                  <c:v>63.586594552781726</c:v>
                </c:pt>
                <c:pt idx="17">
                  <c:v>66.347271898711142</c:v>
                </c:pt>
                <c:pt idx="18" formatCode="General">
                  <c:v>69.138495857059269</c:v>
                </c:pt>
                <c:pt idx="19" formatCode="General">
                  <c:v>71.950097742347609</c:v>
                </c:pt>
                <c:pt idx="20" formatCode="General">
                  <c:v>74.800949998063174</c:v>
                </c:pt>
                <c:pt idx="21" formatCode="General">
                  <c:v>77.663915129666719</c:v>
                </c:pt>
                <c:pt idx="22" formatCode="General">
                  <c:v>80.547035794931219</c:v>
                </c:pt>
                <c:pt idx="23" formatCode="General">
                  <c:v>83.455217723455092</c:v>
                </c:pt>
                <c:pt idx="24" formatCode="General">
                  <c:v>86.366267690870316</c:v>
                </c:pt>
                <c:pt idx="25" formatCode="General">
                  <c:v>89.255741610816983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4.2948972299857022</c:v>
                </c:pt>
                <c:pt idx="1">
                  <c:v>3.7675721584002231</c:v>
                </c:pt>
                <c:pt idx="2">
                  <c:v>4.1283806988598855</c:v>
                </c:pt>
                <c:pt idx="3">
                  <c:v>4.3548014813228555</c:v>
                </c:pt>
                <c:pt idx="4">
                  <c:v>4.5166427743056419</c:v>
                </c:pt>
                <c:pt idx="5">
                  <c:v>5.3073112621041885</c:v>
                </c:pt>
                <c:pt idx="6">
                  <c:v>5.5492077728044196</c:v>
                </c:pt>
                <c:pt idx="7">
                  <c:v>5.6463272308383496</c:v>
                </c:pt>
                <c:pt idx="8">
                  <c:v>6.4225565826442628</c:v>
                </c:pt>
                <c:pt idx="9">
                  <c:v>7.3068406233036978</c:v>
                </c:pt>
                <c:pt idx="10">
                  <c:v>7.09130857909346</c:v>
                </c:pt>
                <c:pt idx="11">
                  <c:v>7.2307013580305668</c:v>
                </c:pt>
                <c:pt idx="12">
                  <c:v>7.8731865686593041</c:v>
                </c:pt>
                <c:pt idx="13">
                  <c:v>8.2984580579300662</c:v>
                </c:pt>
                <c:pt idx="14">
                  <c:v>8.7463081240119394</c:v>
                </c:pt>
                <c:pt idx="15">
                  <c:v>9.1761754867629843</c:v>
                </c:pt>
                <c:pt idx="16">
                  <c:v>9.6023447355417062</c:v>
                </c:pt>
                <c:pt idx="17">
                  <c:v>10.030648853522329</c:v>
                </c:pt>
                <c:pt idx="18" formatCode="General">
                  <c:v>10.451316059819348</c:v>
                </c:pt>
                <c:pt idx="19" formatCode="General">
                  <c:v>10.870992849336485</c:v>
                </c:pt>
                <c:pt idx="20" formatCode="General">
                  <c:v>11.299405601177163</c:v>
                </c:pt>
                <c:pt idx="21" formatCode="General">
                  <c:v>11.731043459865353</c:v>
                </c:pt>
                <c:pt idx="22" formatCode="General">
                  <c:v>12.166841805112625</c:v>
                </c:pt>
                <c:pt idx="23" formatCode="General">
                  <c:v>12.602312103366007</c:v>
                </c:pt>
                <c:pt idx="24" formatCode="General">
                  <c:v>13.046095352592607</c:v>
                </c:pt>
                <c:pt idx="25" formatCode="General">
                  <c:v>13.484206138990896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44.984409789543122</c:v>
                </c:pt>
                <c:pt idx="1">
                  <c:v>43.064085429987195</c:v>
                </c:pt>
                <c:pt idx="2">
                  <c:v>43.93222905545106</c:v>
                </c:pt>
                <c:pt idx="3">
                  <c:v>45.539860181778536</c:v>
                </c:pt>
                <c:pt idx="4">
                  <c:v>37.885028683570575</c:v>
                </c:pt>
                <c:pt idx="5">
                  <c:v>40.99780295957919</c:v>
                </c:pt>
                <c:pt idx="6">
                  <c:v>36.649719347697719</c:v>
                </c:pt>
                <c:pt idx="7">
                  <c:v>38.499075334532783</c:v>
                </c:pt>
                <c:pt idx="8">
                  <c:v>30.351027927750973</c:v>
                </c:pt>
                <c:pt idx="9">
                  <c:v>32.369011383166658</c:v>
                </c:pt>
                <c:pt idx="10">
                  <c:v>31.789937482450107</c:v>
                </c:pt>
                <c:pt idx="11">
                  <c:v>23.379600253949363</c:v>
                </c:pt>
                <c:pt idx="12">
                  <c:v>24.579619774774731</c:v>
                </c:pt>
                <c:pt idx="13">
                  <c:v>22.759526993875316</c:v>
                </c:pt>
                <c:pt idx="14">
                  <c:v>21.040046854315289</c:v>
                </c:pt>
                <c:pt idx="15">
                  <c:v>19.91149354561998</c:v>
                </c:pt>
                <c:pt idx="16">
                  <c:v>18.904013358021761</c:v>
                </c:pt>
                <c:pt idx="17">
                  <c:v>17.924523191829756</c:v>
                </c:pt>
                <c:pt idx="18">
                  <c:v>17.00738861290538</c:v>
                </c:pt>
                <c:pt idx="19">
                  <c:v>16.130276228567954</c:v>
                </c:pt>
                <c:pt idx="20">
                  <c:v>15.299851375168149</c:v>
                </c:pt>
                <c:pt idx="21">
                  <c:v>14.505830267412829</c:v>
                </c:pt>
                <c:pt idx="22">
                  <c:v>13.752875328612573</c:v>
                </c:pt>
                <c:pt idx="23">
                  <c:v>13.040045323069693</c:v>
                </c:pt>
                <c:pt idx="24">
                  <c:v>12.395458738488909</c:v>
                </c:pt>
                <c:pt idx="25">
                  <c:v>12.146913981255848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86.99045832604186</c:v>
                </c:pt>
                <c:pt idx="1">
                  <c:v>85.888682008269299</c:v>
                </c:pt>
                <c:pt idx="2">
                  <c:v>77.798094130437818</c:v>
                </c:pt>
                <c:pt idx="3">
                  <c:v>72.887386517228364</c:v>
                </c:pt>
                <c:pt idx="4">
                  <c:v>82.717805083880066</c:v>
                </c:pt>
                <c:pt idx="5">
                  <c:v>74.233403679264697</c:v>
                </c:pt>
                <c:pt idx="6">
                  <c:v>69.973404361741316</c:v>
                </c:pt>
                <c:pt idx="7">
                  <c:v>72.159848074685357</c:v>
                </c:pt>
                <c:pt idx="8">
                  <c:v>68.75835450182764</c:v>
                </c:pt>
                <c:pt idx="9">
                  <c:v>65.981308811181577</c:v>
                </c:pt>
                <c:pt idx="10">
                  <c:v>60.025164113237281</c:v>
                </c:pt>
                <c:pt idx="11">
                  <c:v>60.607041183677516</c:v>
                </c:pt>
                <c:pt idx="12">
                  <c:v>57.795200786818647</c:v>
                </c:pt>
                <c:pt idx="13">
                  <c:v>55.760187602448021</c:v>
                </c:pt>
                <c:pt idx="14">
                  <c:v>53.830162914731432</c:v>
                </c:pt>
                <c:pt idx="15">
                  <c:v>51.779979696468409</c:v>
                </c:pt>
                <c:pt idx="16">
                  <c:v>49.699288343081797</c:v>
                </c:pt>
                <c:pt idx="17">
                  <c:v>47.621464230658866</c:v>
                </c:pt>
                <c:pt idx="18">
                  <c:v>45.567403997521552</c:v>
                </c:pt>
                <c:pt idx="19">
                  <c:v>43.541356414096114</c:v>
                </c:pt>
                <c:pt idx="20">
                  <c:v>41.567924302346974</c:v>
                </c:pt>
                <c:pt idx="21">
                  <c:v>39.608135857015093</c:v>
                </c:pt>
                <c:pt idx="22">
                  <c:v>37.664831674173328</c:v>
                </c:pt>
                <c:pt idx="23">
                  <c:v>35.740478944317033</c:v>
                </c:pt>
                <c:pt idx="24">
                  <c:v>33.836708039122811</c:v>
                </c:pt>
                <c:pt idx="25">
                  <c:v>31.920671646136881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111.46901122811198</c:v>
                </c:pt>
                <c:pt idx="1">
                  <c:v>112.01879666054352</c:v>
                </c:pt>
                <c:pt idx="2">
                  <c:v>111.73857356047561</c:v>
                </c:pt>
                <c:pt idx="3">
                  <c:v>107.69668372891323</c:v>
                </c:pt>
                <c:pt idx="4">
                  <c:v>103.10819296262142</c:v>
                </c:pt>
                <c:pt idx="5">
                  <c:v>111.8347398533739</c:v>
                </c:pt>
                <c:pt idx="6">
                  <c:v>111.52833855734386</c:v>
                </c:pt>
                <c:pt idx="7">
                  <c:v>117.59753353378098</c:v>
                </c:pt>
                <c:pt idx="8">
                  <c:v>121.86814274179333</c:v>
                </c:pt>
                <c:pt idx="9">
                  <c:v>114.81041065304444</c:v>
                </c:pt>
                <c:pt idx="10">
                  <c:v>99.097756857584756</c:v>
                </c:pt>
                <c:pt idx="11">
                  <c:v>105.74274564489514</c:v>
                </c:pt>
                <c:pt idx="12">
                  <c:v>106.6823653190429</c:v>
                </c:pt>
                <c:pt idx="13">
                  <c:v>106.03405299369342</c:v>
                </c:pt>
                <c:pt idx="14">
                  <c:v>105.49797079358052</c:v>
                </c:pt>
                <c:pt idx="15">
                  <c:v>104.59823075509426</c:v>
                </c:pt>
                <c:pt idx="16">
                  <c:v>103.52215921711004</c:v>
                </c:pt>
                <c:pt idx="17">
                  <c:v>102.34626886760699</c:v>
                </c:pt>
                <c:pt idx="18">
                  <c:v>101.11422869618772</c:v>
                </c:pt>
                <c:pt idx="19">
                  <c:v>99.838257662037151</c:v>
                </c:pt>
                <c:pt idx="20">
                  <c:v>98.554697581797285</c:v>
                </c:pt>
                <c:pt idx="21">
                  <c:v>97.224462616012573</c:v>
                </c:pt>
                <c:pt idx="22">
                  <c:v>95.855997068679471</c:v>
                </c:pt>
                <c:pt idx="23">
                  <c:v>94.448890973905392</c:v>
                </c:pt>
                <c:pt idx="24">
                  <c:v>92.99010547343687</c:v>
                </c:pt>
                <c:pt idx="25">
                  <c:v>91.411250353138456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97.290765424142805</c:v>
                </c:pt>
                <c:pt idx="1">
                  <c:v>95.561198378836622</c:v>
                </c:pt>
                <c:pt idx="2">
                  <c:v>101.56914010905017</c:v>
                </c:pt>
                <c:pt idx="3">
                  <c:v>102.12314801460052</c:v>
                </c:pt>
                <c:pt idx="4">
                  <c:v>106.39040679180388</c:v>
                </c:pt>
                <c:pt idx="5">
                  <c:v>101.26753787756155</c:v>
                </c:pt>
                <c:pt idx="6">
                  <c:v>100.47900960894468</c:v>
                </c:pt>
                <c:pt idx="7">
                  <c:v>108.56185953713323</c:v>
                </c:pt>
                <c:pt idx="8">
                  <c:v>113.49420506920778</c:v>
                </c:pt>
                <c:pt idx="9">
                  <c:v>109.81054068418128</c:v>
                </c:pt>
                <c:pt idx="10">
                  <c:v>104.45386297689122</c:v>
                </c:pt>
                <c:pt idx="11">
                  <c:v>106.81061500525314</c:v>
                </c:pt>
                <c:pt idx="12">
                  <c:v>107.61550163239431</c:v>
                </c:pt>
                <c:pt idx="13">
                  <c:v>108.16769307410598</c:v>
                </c:pt>
                <c:pt idx="14">
                  <c:v>108.88620663623371</c:v>
                </c:pt>
                <c:pt idx="15">
                  <c:v>109.28122941218506</c:v>
                </c:pt>
                <c:pt idx="16">
                  <c:v>109.52451184171508</c:v>
                </c:pt>
                <c:pt idx="17">
                  <c:v>109.69486874922576</c:v>
                </c:pt>
                <c:pt idx="18">
                  <c:v>109.83399169906396</c:v>
                </c:pt>
                <c:pt idx="19">
                  <c:v>109.93581571741063</c:v>
                </c:pt>
                <c:pt idx="20">
                  <c:v>110.06260252832385</c:v>
                </c:pt>
                <c:pt idx="21">
                  <c:v>110.16783156867969</c:v>
                </c:pt>
                <c:pt idx="22">
                  <c:v>110.25763977629538</c:v>
                </c:pt>
                <c:pt idx="23">
                  <c:v>110.33237903248745</c:v>
                </c:pt>
                <c:pt idx="24">
                  <c:v>110.38343795038806</c:v>
                </c:pt>
                <c:pt idx="25">
                  <c:v>110.33205707401453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21.930311283055563</c:v>
                </c:pt>
                <c:pt idx="1">
                  <c:v>21.983884712813069</c:v>
                </c:pt>
                <c:pt idx="2">
                  <c:v>23.122261246621584</c:v>
                </c:pt>
                <c:pt idx="3">
                  <c:v>22.323609241715292</c:v>
                </c:pt>
                <c:pt idx="4">
                  <c:v>23.485353741552693</c:v>
                </c:pt>
                <c:pt idx="5">
                  <c:v>26.61461628585398</c:v>
                </c:pt>
                <c:pt idx="6">
                  <c:v>27.037282816146728</c:v>
                </c:pt>
                <c:pt idx="7">
                  <c:v>23.990280839470124</c:v>
                </c:pt>
                <c:pt idx="8">
                  <c:v>23.504853921699688</c:v>
                </c:pt>
                <c:pt idx="9">
                  <c:v>24.76710866384548</c:v>
                </c:pt>
                <c:pt idx="10">
                  <c:v>26.960259961527282</c:v>
                </c:pt>
                <c:pt idx="11">
                  <c:v>27.346021594306077</c:v>
                </c:pt>
                <c:pt idx="12">
                  <c:v>26.593013725460292</c:v>
                </c:pt>
                <c:pt idx="13">
                  <c:v>27.049153492598457</c:v>
                </c:pt>
                <c:pt idx="14">
                  <c:v>27.551235944119274</c:v>
                </c:pt>
                <c:pt idx="15">
                  <c:v>27.963964144204844</c:v>
                </c:pt>
                <c:pt idx="16">
                  <c:v>28.35043023214546</c:v>
                </c:pt>
                <c:pt idx="17">
                  <c:v>28.726089492049589</c:v>
                </c:pt>
                <c:pt idx="18" formatCode="General">
                  <c:v>29.100880346394483</c:v>
                </c:pt>
                <c:pt idx="19" formatCode="General">
                  <c:v>29.467709046501401</c:v>
                </c:pt>
                <c:pt idx="20" formatCode="General">
                  <c:v>29.854837439672554</c:v>
                </c:pt>
                <c:pt idx="21" formatCode="General">
                  <c:v>30.240938307370413</c:v>
                </c:pt>
                <c:pt idx="22">
                  <c:v>30.639598651486057</c:v>
                </c:pt>
                <c:pt idx="23">
                  <c:v>31.061220205201501</c:v>
                </c:pt>
                <c:pt idx="24">
                  <c:v>31.467228706887536</c:v>
                </c:pt>
                <c:pt idx="25">
                  <c:v>31.84345749255802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26.341781759912564</c:v>
                </c:pt>
                <c:pt idx="1">
                  <c:v>26.445544427659701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26.625759941697492</c:v>
                </c:pt>
                <c:pt idx="5">
                  <c:v>27.262700234542468</c:v>
                </c:pt>
                <c:pt idx="6">
                  <c:v>29.099100080495969</c:v>
                </c:pt>
                <c:pt idx="7">
                  <c:v>26.612028259343695</c:v>
                </c:pt>
                <c:pt idx="8">
                  <c:v>25.040433656387943</c:v>
                </c:pt>
                <c:pt idx="9">
                  <c:v>24.998245553760128</c:v>
                </c:pt>
                <c:pt idx="10">
                  <c:v>27.827400007193688</c:v>
                </c:pt>
                <c:pt idx="11">
                  <c:v>27.548865771429099</c:v>
                </c:pt>
                <c:pt idx="12">
                  <c:v>26.48633045134153</c:v>
                </c:pt>
                <c:pt idx="13">
                  <c:v>26.682724140660564</c:v>
                </c:pt>
                <c:pt idx="14">
                  <c:v>26.938975650833388</c:v>
                </c:pt>
                <c:pt idx="15">
                  <c:v>27.122890296340106</c:v>
                </c:pt>
                <c:pt idx="16">
                  <c:v>27.291224644991171</c:v>
                </c:pt>
                <c:pt idx="17">
                  <c:v>27.466835022538977</c:v>
                </c:pt>
                <c:pt idx="18" formatCode="General">
                  <c:v>27.62895387549198</c:v>
                </c:pt>
                <c:pt idx="19" formatCode="General">
                  <c:v>27.857319652867524</c:v>
                </c:pt>
                <c:pt idx="20" formatCode="General">
                  <c:v>28.098165836162636</c:v>
                </c:pt>
                <c:pt idx="21" formatCode="General">
                  <c:v>28.34766385552302</c:v>
                </c:pt>
                <c:pt idx="22">
                  <c:v>28.620652874133807</c:v>
                </c:pt>
                <c:pt idx="23">
                  <c:v>28.900143687957435</c:v>
                </c:pt>
                <c:pt idx="24">
                  <c:v>29.188075228172142</c:v>
                </c:pt>
                <c:pt idx="25">
                  <c:v>29.459577091677122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63.452769163924188</c:v>
                </c:pt>
                <c:pt idx="1">
                  <c:v>66.816627284745778</c:v>
                </c:pt>
                <c:pt idx="2">
                  <c:v>70.590050233683442</c:v>
                </c:pt>
                <c:pt idx="3">
                  <c:v>70.846513353487978</c:v>
                </c:pt>
                <c:pt idx="4">
                  <c:v>75.733302581678274</c:v>
                </c:pt>
                <c:pt idx="5">
                  <c:v>83.671480205469024</c:v>
                </c:pt>
                <c:pt idx="6">
                  <c:v>87.402102773251045</c:v>
                </c:pt>
                <c:pt idx="7">
                  <c:v>82.024676470865245</c:v>
                </c:pt>
                <c:pt idx="8">
                  <c:v>78.943948994443502</c:v>
                </c:pt>
                <c:pt idx="9">
                  <c:v>81.914992761114462</c:v>
                </c:pt>
                <c:pt idx="10">
                  <c:v>91.034053021034552</c:v>
                </c:pt>
                <c:pt idx="11">
                  <c:v>93.208352502270955</c:v>
                </c:pt>
                <c:pt idx="12">
                  <c:v>91.763756139120488</c:v>
                </c:pt>
                <c:pt idx="13">
                  <c:v>93.670133295839307</c:v>
                </c:pt>
                <c:pt idx="14">
                  <c:v>95.722787275191308</c:v>
                </c:pt>
                <c:pt idx="15">
                  <c:v>97.47831372544357</c:v>
                </c:pt>
                <c:pt idx="16">
                  <c:v>99.08443307461124</c:v>
                </c:pt>
                <c:pt idx="17">
                  <c:v>100.61702969385607</c:v>
                </c:pt>
                <c:pt idx="18" formatCode="General">
                  <c:v>102.15534085555676</c:v>
                </c:pt>
                <c:pt idx="19" formatCode="General">
                  <c:v>103.63017468683526</c:v>
                </c:pt>
                <c:pt idx="20" formatCode="General">
                  <c:v>105.11756533728824</c:v>
                </c:pt>
                <c:pt idx="21" formatCode="General">
                  <c:v>106.57317893845489</c:v>
                </c:pt>
                <c:pt idx="22" formatCode="General">
                  <c:v>107.99152702657545</c:v>
                </c:pt>
                <c:pt idx="23" formatCode="General">
                  <c:v>109.38631200624071</c:v>
                </c:pt>
                <c:pt idx="24" formatCode="General">
                  <c:v>110.76862282004035</c:v>
                </c:pt>
                <c:pt idx="25" formatCode="General">
                  <c:v>112.09012461141087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29.369595795282642</c:v>
                </c:pt>
                <c:pt idx="1">
                  <c:v>24.54660893874459</c:v>
                </c:pt>
                <c:pt idx="2">
                  <c:v>27.161240968900326</c:v>
                </c:pt>
                <c:pt idx="3">
                  <c:v>28.876646791678212</c:v>
                </c:pt>
                <c:pt idx="4">
                  <c:v>28.502507438889939</c:v>
                </c:pt>
                <c:pt idx="5">
                  <c:v>34.372407642251311</c:v>
                </c:pt>
                <c:pt idx="6">
                  <c:v>36.220834681574104</c:v>
                </c:pt>
                <c:pt idx="7">
                  <c:v>37.061370719350705</c:v>
                </c:pt>
                <c:pt idx="8">
                  <c:v>42.351476604244496</c:v>
                </c:pt>
                <c:pt idx="9">
                  <c:v>47.972540866402163</c:v>
                </c:pt>
                <c:pt idx="10">
                  <c:v>47.914257000986936</c:v>
                </c:pt>
                <c:pt idx="11">
                  <c:v>48.24105668618806</c:v>
                </c:pt>
                <c:pt idx="12">
                  <c:v>52.190025602387401</c:v>
                </c:pt>
                <c:pt idx="13">
                  <c:v>55.027070348848198</c:v>
                </c:pt>
                <c:pt idx="14">
                  <c:v>57.992305806982714</c:v>
                </c:pt>
                <c:pt idx="15">
                  <c:v>60.815722937880487</c:v>
                </c:pt>
                <c:pt idx="16">
                  <c:v>63.586594552781726</c:v>
                </c:pt>
                <c:pt idx="17">
                  <c:v>66.347271898711142</c:v>
                </c:pt>
                <c:pt idx="18" formatCode="General">
                  <c:v>69.138495857059269</c:v>
                </c:pt>
                <c:pt idx="19" formatCode="General">
                  <c:v>71.950097742347609</c:v>
                </c:pt>
                <c:pt idx="20" formatCode="General">
                  <c:v>74.800949998063174</c:v>
                </c:pt>
                <c:pt idx="21" formatCode="General">
                  <c:v>77.663915129666719</c:v>
                </c:pt>
                <c:pt idx="22" formatCode="General">
                  <c:v>80.547035794931219</c:v>
                </c:pt>
                <c:pt idx="23" formatCode="General">
                  <c:v>83.455217723455092</c:v>
                </c:pt>
                <c:pt idx="24" formatCode="General">
                  <c:v>86.366267690870316</c:v>
                </c:pt>
                <c:pt idx="25" formatCode="General">
                  <c:v>89.255741610816983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4.2948972299857022</c:v>
                </c:pt>
                <c:pt idx="1">
                  <c:v>3.7675721584002231</c:v>
                </c:pt>
                <c:pt idx="2">
                  <c:v>4.1283806988598855</c:v>
                </c:pt>
                <c:pt idx="3">
                  <c:v>4.3548014813228555</c:v>
                </c:pt>
                <c:pt idx="4">
                  <c:v>4.5166427743056419</c:v>
                </c:pt>
                <c:pt idx="5">
                  <c:v>5.3073112621041885</c:v>
                </c:pt>
                <c:pt idx="6">
                  <c:v>5.5492077728044196</c:v>
                </c:pt>
                <c:pt idx="7">
                  <c:v>5.6463272308383496</c:v>
                </c:pt>
                <c:pt idx="8">
                  <c:v>6.4225565826442628</c:v>
                </c:pt>
                <c:pt idx="9">
                  <c:v>7.3068406233036978</c:v>
                </c:pt>
                <c:pt idx="10">
                  <c:v>7.09130857909346</c:v>
                </c:pt>
                <c:pt idx="11">
                  <c:v>7.2307013580305668</c:v>
                </c:pt>
                <c:pt idx="12">
                  <c:v>7.8731865686593041</c:v>
                </c:pt>
                <c:pt idx="13">
                  <c:v>8.2984580579300662</c:v>
                </c:pt>
                <c:pt idx="14">
                  <c:v>8.7463081240119394</c:v>
                </c:pt>
                <c:pt idx="15">
                  <c:v>9.1761754867629843</c:v>
                </c:pt>
                <c:pt idx="16">
                  <c:v>9.6023447355417062</c:v>
                </c:pt>
                <c:pt idx="17">
                  <c:v>10.030648853522329</c:v>
                </c:pt>
                <c:pt idx="18" formatCode="General">
                  <c:v>10.451316059819348</c:v>
                </c:pt>
                <c:pt idx="19" formatCode="General">
                  <c:v>10.870992849336485</c:v>
                </c:pt>
                <c:pt idx="20" formatCode="General">
                  <c:v>11.299405601177163</c:v>
                </c:pt>
                <c:pt idx="21" formatCode="General">
                  <c:v>11.731043459865353</c:v>
                </c:pt>
                <c:pt idx="22" formatCode="General">
                  <c:v>12.166841805112625</c:v>
                </c:pt>
                <c:pt idx="23" formatCode="General">
                  <c:v>12.602312103366007</c:v>
                </c:pt>
                <c:pt idx="24" formatCode="General">
                  <c:v>13.046095352592607</c:v>
                </c:pt>
                <c:pt idx="25" formatCode="General">
                  <c:v>13.484206138990896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29.880785800881412</c:v>
                </c:pt>
                <c:pt idx="1">
                  <c:v>12.511934815118927</c:v>
                </c:pt>
                <c:pt idx="2">
                  <c:v>23.692567314037618</c:v>
                </c:pt>
                <c:pt idx="3">
                  <c:v>21.674771905892207</c:v>
                </c:pt>
                <c:pt idx="4">
                  <c:v>19.540374765671238</c:v>
                </c:pt>
                <c:pt idx="5">
                  <c:v>22.80619365915933</c:v>
                </c:pt>
                <c:pt idx="6">
                  <c:v>7.6396337675645318</c:v>
                </c:pt>
                <c:pt idx="7">
                  <c:v>9.0328897579836394</c:v>
                </c:pt>
                <c:pt idx="8">
                  <c:v>4.4444232941510675</c:v>
                </c:pt>
                <c:pt idx="9">
                  <c:v>7.5269975158661104</c:v>
                </c:pt>
                <c:pt idx="10">
                  <c:v>27.483441028271102</c:v>
                </c:pt>
                <c:pt idx="11">
                  <c:v>49.138399456658071</c:v>
                </c:pt>
                <c:pt idx="12">
                  <c:v>10.999553279205763</c:v>
                </c:pt>
                <c:pt idx="13">
                  <c:v>4.3313158907234133</c:v>
                </c:pt>
                <c:pt idx="14">
                  <c:v>28.622677836919472</c:v>
                </c:pt>
                <c:pt idx="15">
                  <c:v>18.67563056886091</c:v>
                </c:pt>
                <c:pt idx="16">
                  <c:v>9.669103498426562</c:v>
                </c:pt>
                <c:pt idx="17">
                  <c:v>38.549226321705412</c:v>
                </c:pt>
                <c:pt idx="18">
                  <c:v>11.482295485656088</c:v>
                </c:pt>
                <c:pt idx="19">
                  <c:v>0.44667082132503055</c:v>
                </c:pt>
                <c:pt idx="20">
                  <c:v>34.223800198352485</c:v>
                </c:pt>
                <c:pt idx="21">
                  <c:v>9.0886906437377402</c:v>
                </c:pt>
                <c:pt idx="22">
                  <c:v>23.017676946693587</c:v>
                </c:pt>
                <c:pt idx="23">
                  <c:v>24.123007113083549</c:v>
                </c:pt>
                <c:pt idx="24">
                  <c:v>11.487443580203083</c:v>
                </c:pt>
                <c:pt idx="25">
                  <c:v>45.472494733851818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34.458283214558655</c:v>
                </c:pt>
                <c:pt idx="1">
                  <c:v>13.203950057125674</c:v>
                </c:pt>
                <c:pt idx="2">
                  <c:v>26.685661715036868</c:v>
                </c:pt>
                <c:pt idx="3">
                  <c:v>26.829030859021046</c:v>
                </c:pt>
                <c:pt idx="4">
                  <c:v>21.982938940498279</c:v>
                </c:pt>
                <c:pt idx="5">
                  <c:v>27.886221209663034</c:v>
                </c:pt>
                <c:pt idx="6">
                  <c:v>8.7583830870047237</c:v>
                </c:pt>
                <c:pt idx="7">
                  <c:v>11.033633555444206</c:v>
                </c:pt>
                <c:pt idx="8">
                  <c:v>4.7001992247175384</c:v>
                </c:pt>
                <c:pt idx="9">
                  <c:v>7.6662439139121092</c:v>
                </c:pt>
                <c:pt idx="10">
                  <c:v>28.712103349013955</c:v>
                </c:pt>
                <c:pt idx="11">
                  <c:v>47.317539575288471</c:v>
                </c:pt>
                <c:pt idx="12">
                  <c:v>9.2883893892272287</c:v>
                </c:pt>
                <c:pt idx="13">
                  <c:v>3.1859142674106149</c:v>
                </c:pt>
                <c:pt idx="14">
                  <c:v>23.336997409184566</c:v>
                </c:pt>
                <c:pt idx="15">
                  <c:v>17.433599719002551</c:v>
                </c:pt>
                <c:pt idx="16">
                  <c:v>8.3501192749530908</c:v>
                </c:pt>
                <c:pt idx="17">
                  <c:v>39.805845710644</c:v>
                </c:pt>
                <c:pt idx="18">
                  <c:v>9.1467848880288667</c:v>
                </c:pt>
                <c:pt idx="19">
                  <c:v>0.45801284753679466</c:v>
                </c:pt>
                <c:pt idx="20">
                  <c:v>30.191807825248862</c:v>
                </c:pt>
                <c:pt idx="21">
                  <c:v>9.1178307619805707</c:v>
                </c:pt>
                <c:pt idx="22">
                  <c:v>18.31625402877377</c:v>
                </c:pt>
                <c:pt idx="23">
                  <c:v>21.951501270507791</c:v>
                </c:pt>
                <c:pt idx="24">
                  <c:v>8.6428835980951746</c:v>
                </c:pt>
                <c:pt idx="25">
                  <c:v>37.733870308121773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35.408151196311948</c:v>
                </c:pt>
                <c:pt idx="1">
                  <c:v>18.931739103093843</c:v>
                </c:pt>
                <c:pt idx="2">
                  <c:v>30.275163891514985</c:v>
                </c:pt>
                <c:pt idx="3">
                  <c:v>32.15203505660476</c:v>
                </c:pt>
                <c:pt idx="4">
                  <c:v>26.048744205571939</c:v>
                </c:pt>
                <c:pt idx="5">
                  <c:v>35.208060016251721</c:v>
                </c:pt>
                <c:pt idx="6">
                  <c:v>7.7929826577159558</c:v>
                </c:pt>
                <c:pt idx="7">
                  <c:v>12.588267509691507</c:v>
                </c:pt>
                <c:pt idx="8">
                  <c:v>6.7057443147351909</c:v>
                </c:pt>
                <c:pt idx="9">
                  <c:v>8.0255058830183881</c:v>
                </c:pt>
                <c:pt idx="10">
                  <c:v>28.60137268177365</c:v>
                </c:pt>
                <c:pt idx="11">
                  <c:v>41.608672087451644</c:v>
                </c:pt>
                <c:pt idx="12">
                  <c:v>6.5401716671574537</c:v>
                </c:pt>
                <c:pt idx="13">
                  <c:v>3.713963148852669</c:v>
                </c:pt>
                <c:pt idx="14">
                  <c:v>20.844900637900004</c:v>
                </c:pt>
                <c:pt idx="15">
                  <c:v>15.357819560659681</c:v>
                </c:pt>
                <c:pt idx="16">
                  <c:v>7.4850513693049479</c:v>
                </c:pt>
                <c:pt idx="17">
                  <c:v>47.806525479323881</c:v>
                </c:pt>
                <c:pt idx="18">
                  <c:v>9.4378645671143033</c:v>
                </c:pt>
                <c:pt idx="19">
                  <c:v>0.41874006149257798</c:v>
                </c:pt>
                <c:pt idx="20">
                  <c:v>25.969905791596378</c:v>
                </c:pt>
                <c:pt idx="21">
                  <c:v>13.440976966771922</c:v>
                </c:pt>
                <c:pt idx="22">
                  <c:v>21.313020528914095</c:v>
                </c:pt>
                <c:pt idx="23">
                  <c:v>24.153900346524193</c:v>
                </c:pt>
                <c:pt idx="24">
                  <c:v>6.864739167432238</c:v>
                </c:pt>
                <c:pt idx="25">
                  <c:v>35.249982103219963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4.5774974136772428</c:v>
                </c:pt>
                <c:pt idx="1">
                  <c:v>0.69201524200674669</c:v>
                </c:pt>
                <c:pt idx="2">
                  <c:v>2.9930944009992508</c:v>
                </c:pt>
                <c:pt idx="3">
                  <c:v>5.1542589531288385</c:v>
                </c:pt>
                <c:pt idx="4">
                  <c:v>2.4425641748270408</c:v>
                </c:pt>
                <c:pt idx="5">
                  <c:v>5.0800275505037042</c:v>
                </c:pt>
                <c:pt idx="6">
                  <c:v>1.1187493194401918</c:v>
                </c:pt>
                <c:pt idx="7">
                  <c:v>2.0007437974605669</c:v>
                </c:pt>
                <c:pt idx="8">
                  <c:v>0.25577593056647085</c:v>
                </c:pt>
                <c:pt idx="9">
                  <c:v>0.13924639804599881</c:v>
                </c:pt>
                <c:pt idx="10">
                  <c:v>1.2286623207428526</c:v>
                </c:pt>
                <c:pt idx="11">
                  <c:v>-1.8208598813696</c:v>
                </c:pt>
                <c:pt idx="12">
                  <c:v>-1.7111638899785344</c:v>
                </c:pt>
                <c:pt idx="13">
                  <c:v>-1.1454016233127984</c:v>
                </c:pt>
                <c:pt idx="14">
                  <c:v>-5.2856804277349063</c:v>
                </c:pt>
                <c:pt idx="15">
                  <c:v>-1.2420308498583594</c:v>
                </c:pt>
                <c:pt idx="16">
                  <c:v>-1.3189842234734712</c:v>
                </c:pt>
                <c:pt idx="17">
                  <c:v>1.2566193889385886</c:v>
                </c:pt>
                <c:pt idx="18">
                  <c:v>-2.3355105976272217</c:v>
                </c:pt>
                <c:pt idx="19">
                  <c:v>1.1342026211764111E-2</c:v>
                </c:pt>
                <c:pt idx="20">
                  <c:v>-4.0319923731036234</c:v>
                </c:pt>
                <c:pt idx="21">
                  <c:v>2.9140118242830582E-2</c:v>
                </c:pt>
                <c:pt idx="22">
                  <c:v>-4.7014229179198175</c:v>
                </c:pt>
                <c:pt idx="23">
                  <c:v>-2.1715058425757583</c:v>
                </c:pt>
                <c:pt idx="24">
                  <c:v>-2.8445599821079082</c:v>
                </c:pt>
                <c:pt idx="25">
                  <c:v>-7.7386244257300447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0.94986798175329312</c:v>
                </c:pt>
                <c:pt idx="1">
                  <c:v>5.7277890459681693</c:v>
                </c:pt>
                <c:pt idx="2">
                  <c:v>3.589502176478117</c:v>
                </c:pt>
                <c:pt idx="3">
                  <c:v>5.3230041975837139</c:v>
                </c:pt>
                <c:pt idx="4">
                  <c:v>4.06580526507366</c:v>
                </c:pt>
                <c:pt idx="5">
                  <c:v>7.321838806588687</c:v>
                </c:pt>
                <c:pt idx="6">
                  <c:v>-0.9654004292887679</c:v>
                </c:pt>
                <c:pt idx="7">
                  <c:v>1.5546339542473007</c:v>
                </c:pt>
                <c:pt idx="8">
                  <c:v>2.0055450900176526</c:v>
                </c:pt>
                <c:pt idx="9">
                  <c:v>0.35926196910627883</c:v>
                </c:pt>
                <c:pt idx="10">
                  <c:v>-0.11073066724030411</c:v>
                </c:pt>
                <c:pt idx="11">
                  <c:v>-5.7088674878368266</c:v>
                </c:pt>
                <c:pt idx="12">
                  <c:v>-2.748217722069775</c:v>
                </c:pt>
                <c:pt idx="13">
                  <c:v>0.52804888144205409</c:v>
                </c:pt>
                <c:pt idx="14">
                  <c:v>-2.4920967712845616</c:v>
                </c:pt>
                <c:pt idx="15">
                  <c:v>-2.0757801583428694</c:v>
                </c:pt>
                <c:pt idx="16">
                  <c:v>-0.86506790564814295</c:v>
                </c:pt>
                <c:pt idx="17">
                  <c:v>8.0006797686798805</c:v>
                </c:pt>
                <c:pt idx="18">
                  <c:v>0.29107967908543664</c:v>
                </c:pt>
                <c:pt idx="19">
                  <c:v>-3.927278604421669E-2</c:v>
                </c:pt>
                <c:pt idx="20">
                  <c:v>-4.2219020336524835</c:v>
                </c:pt>
                <c:pt idx="21">
                  <c:v>4.3231462047913514</c:v>
                </c:pt>
                <c:pt idx="22">
                  <c:v>2.9967665001403248</c:v>
                </c:pt>
                <c:pt idx="23">
                  <c:v>2.2023990760164018</c:v>
                </c:pt>
                <c:pt idx="24">
                  <c:v>-1.7781444306629366</c:v>
                </c:pt>
                <c:pt idx="25">
                  <c:v>-2.4838882049018096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5.9104097619839706</c:v>
                </c:pt>
                <c:pt idx="1">
                  <c:v>6.9445183163356754</c:v>
                </c:pt>
                <c:pt idx="2">
                  <c:v>6.7838985018147477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2.4748566575650313</c:v>
                </c:pt>
                <c:pt idx="1">
                  <c:v>2.6610458927608294</c:v>
                </c:pt>
                <c:pt idx="2">
                  <c:v>3.6271590636340014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1.5111170870367094</c:v>
                </c:pt>
                <c:pt idx="1">
                  <c:v>1.7651126549302736</c:v>
                </c:pt>
                <c:pt idx="2">
                  <c:v>1.493068731073824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1.7867026710835934</c:v>
                </c:pt>
                <c:pt idx="1">
                  <c:v>2.2236531589346509</c:v>
                </c:pt>
                <c:pt idx="2">
                  <c:v>2.4118042375602577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0.87910548936650024</c:v>
                </c:pt>
                <c:pt idx="1">
                  <c:v>0.94725031433623486</c:v>
                </c:pt>
                <c:pt idx="2">
                  <c:v>1.2847631766502143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1.4888376728998831</c:v>
                </c:pt>
                <c:pt idx="1">
                  <c:v>1.5450093942917702</c:v>
                </c:pt>
                <c:pt idx="2">
                  <c:v>1.5376181895027805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5.4362157417430685</c:v>
                </c:pt>
                <c:pt idx="1">
                  <c:v>5.7864672585750618</c:v>
                </c:pt>
                <c:pt idx="2">
                  <c:v>5.4797780378304308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9.7195595113276028</c:v>
                </c:pt>
                <c:pt idx="1">
                  <c:v>9.5360966830087524</c:v>
                </c:pt>
                <c:pt idx="2">
                  <c:v>7.9718651976939423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2.1757080791684817</c:v>
                </c:pt>
                <c:pt idx="1">
                  <c:v>1.8719269860633592</c:v>
                </c:pt>
                <c:pt idx="2">
                  <c:v>1.2530408754880711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7.6250244918932593</c:v>
                </c:pt>
                <c:pt idx="1">
                  <c:v>8.022234390307819</c:v>
                </c:pt>
                <c:pt idx="2">
                  <c:v>9.159320823560364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2.2711943313888474</c:v>
                </c:pt>
                <c:pt idx="1">
                  <c:v>1.8433888535590643</c:v>
                </c:pt>
                <c:pt idx="2">
                  <c:v>1.8082140166597007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8.8351343915292369E-2</c:v>
                </c:pt>
                <c:pt idx="1">
                  <c:v>9.2305196664368067E-2</c:v>
                </c:pt>
                <c:pt idx="2">
                  <c:v>8.0227009313753622E-2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6.7694566044031141</c:v>
                </c:pt>
                <c:pt idx="1">
                  <c:v>6.0846781350134931</c:v>
                </c:pt>
                <c:pt idx="2">
                  <c:v>4.9756115199324817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1.7977400682285729</c:v>
                </c:pt>
                <c:pt idx="1">
                  <c:v>1.8375536104790802</c:v>
                </c:pt>
                <c:pt idx="2">
                  <c:v>2.5751760661626397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4.552889051529502</c:v>
                </c:pt>
                <c:pt idx="1">
                  <c:v>3.6913493570606986</c:v>
                </c:pt>
                <c:pt idx="2">
                  <c:v>4.083392189375509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4.7715230007562948</c:v>
                </c:pt>
                <c:pt idx="1">
                  <c:v>4.4239755560340877</c:v>
                </c:pt>
                <c:pt idx="2">
                  <c:v>4.627680430568069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4.6863821477954453</c:v>
                </c:pt>
                <c:pt idx="1">
                  <c:v>5.3780702134723235</c:v>
                </c:pt>
                <c:pt idx="2">
                  <c:v>5.8004620977566566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4.2872628690234231</c:v>
                </c:pt>
                <c:pt idx="1">
                  <c:v>5.4069639816323924</c:v>
                </c:pt>
                <c:pt idx="2">
                  <c:v>6.1600545377674187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3.8650798053792084</c:v>
                </c:pt>
                <c:pt idx="1">
                  <c:v>4.4303113178511371</c:v>
                </c:pt>
                <c:pt idx="2">
                  <c:v>4.9907162848067896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4.5110577256912743</c:v>
                </c:pt>
                <c:pt idx="1">
                  <c:v>5.6200238635821922</c:v>
                </c:pt>
                <c:pt idx="2">
                  <c:v>6.7455627454768585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0.85673288157009664</c:v>
                </c:pt>
                <c:pt idx="1">
                  <c:v>0.64207029254900572</c:v>
                </c:pt>
                <c:pt idx="2">
                  <c:v>0.71156352958414526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5.6615564138363768</c:v>
                </c:pt>
                <c:pt idx="1">
                  <c:v>4.7032002420796211</c:v>
                </c:pt>
                <c:pt idx="2">
                  <c:v>3.9937044276589089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3.6940336830815808</c:v>
                </c:pt>
                <c:pt idx="1">
                  <c:v>3.5134644350803406</c:v>
                </c:pt>
                <c:pt idx="2">
                  <c:v>2.9424266895796656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1.9125455430642651</c:v>
                </c:pt>
                <c:pt idx="1">
                  <c:v>1.6828335842338054</c:v>
                </c:pt>
                <c:pt idx="2">
                  <c:v>1.4340717336160491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2.272212622824318</c:v>
                </c:pt>
                <c:pt idx="1">
                  <c:v>1.7418355719930452</c:v>
                </c:pt>
                <c:pt idx="2">
                  <c:v>1.3152252286513959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8.9944447434442854</c:v>
                </c:pt>
                <c:pt idx="1">
                  <c:v>7.6046607391709209</c:v>
                </c:pt>
                <c:pt idx="2">
                  <c:v>6.7535946582813446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-4.2620326355647435</c:v>
                </c:pt>
                <c:pt idx="1">
                  <c:v>5.1991655761567301</c:v>
                </c:pt>
                <c:pt idx="2">
                  <c:v>0.10124417113887318</c:v>
                </c:pt>
                <c:pt idx="3">
                  <c:v>8.2524866617211003</c:v>
                </c:pt>
                <c:pt idx="4">
                  <c:v>-4.9048959538335097</c:v>
                </c:pt>
                <c:pt idx="5">
                  <c:v>-8.4570852099066016</c:v>
                </c:pt>
                <c:pt idx="6">
                  <c:v>2.8433099168421592</c:v>
                </c:pt>
                <c:pt idx="7">
                  <c:v>20.300150445724185</c:v>
                </c:pt>
                <c:pt idx="8">
                  <c:v>6.677657027721466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16.950742080179992</c:v>
                </c:pt>
                <c:pt idx="1">
                  <c:v>26.427418828368687</c:v>
                </c:pt>
                <c:pt idx="2">
                  <c:v>18.058824286039108</c:v>
                </c:pt>
                <c:pt idx="3">
                  <c:v>38.500513671188209</c:v>
                </c:pt>
                <c:pt idx="4">
                  <c:v>15.776648479170397</c:v>
                </c:pt>
                <c:pt idx="5">
                  <c:v>17.698297551304321</c:v>
                </c:pt>
                <c:pt idx="6">
                  <c:v>30.929081920618014</c:v>
                </c:pt>
                <c:pt idx="7">
                  <c:v>73.929202963365498</c:v>
                </c:pt>
                <c:pt idx="8">
                  <c:v>33.479402914313752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0.94986798175329312</c:v>
                </c:pt>
                <c:pt idx="1">
                  <c:v>5.7277890459681693</c:v>
                </c:pt>
                <c:pt idx="2">
                  <c:v>3.589502176478117</c:v>
                </c:pt>
                <c:pt idx="3">
                  <c:v>5.3230041975837139</c:v>
                </c:pt>
                <c:pt idx="4">
                  <c:v>4.06580526507366</c:v>
                </c:pt>
                <c:pt idx="5">
                  <c:v>7.321838806588687</c:v>
                </c:pt>
                <c:pt idx="6">
                  <c:v>-0.9654004292887679</c:v>
                </c:pt>
                <c:pt idx="7">
                  <c:v>1.5546339542473007</c:v>
                </c:pt>
                <c:pt idx="8">
                  <c:v>2.0055450900176526</c:v>
                </c:pt>
                <c:pt idx="9">
                  <c:v>0.35926196910627883</c:v>
                </c:pt>
                <c:pt idx="10">
                  <c:v>-0.11073066724030411</c:v>
                </c:pt>
                <c:pt idx="11">
                  <c:v>-5.7088674878368266</c:v>
                </c:pt>
                <c:pt idx="12">
                  <c:v>-2.748217722069775</c:v>
                </c:pt>
                <c:pt idx="13">
                  <c:v>0.52804888144205409</c:v>
                </c:pt>
                <c:pt idx="14">
                  <c:v>-2.4920967712845616</c:v>
                </c:pt>
                <c:pt idx="15">
                  <c:v>-2.0757801583428694</c:v>
                </c:pt>
                <c:pt idx="16">
                  <c:v>-0.86506790564814295</c:v>
                </c:pt>
                <c:pt idx="17">
                  <c:v>8.0006797686798805</c:v>
                </c:pt>
                <c:pt idx="18">
                  <c:v>0.29107967908543664</c:v>
                </c:pt>
                <c:pt idx="19">
                  <c:v>-3.927278604421669E-2</c:v>
                </c:pt>
                <c:pt idx="20">
                  <c:v>-4.2219020336524835</c:v>
                </c:pt>
                <c:pt idx="21">
                  <c:v>4.3231462047913514</c:v>
                </c:pt>
                <c:pt idx="22">
                  <c:v>2.9967665001403248</c:v>
                </c:pt>
                <c:pt idx="23">
                  <c:v>2.2023990760164018</c:v>
                </c:pt>
                <c:pt idx="24">
                  <c:v>-1.7781444306629366</c:v>
                </c:pt>
                <c:pt idx="25">
                  <c:v>-2.4838882049018096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17.998040628132959</c:v>
                </c:pt>
                <c:pt idx="1">
                  <c:v>15.48136228618079</c:v>
                </c:pt>
                <c:pt idx="2">
                  <c:v>13.902806907330673</c:v>
                </c:pt>
                <c:pt idx="3">
                  <c:v>21.199713498866281</c:v>
                </c:pt>
                <c:pt idx="4">
                  <c:v>16.28072330008942</c:v>
                </c:pt>
                <c:pt idx="5">
                  <c:v>22.545959257079112</c:v>
                </c:pt>
                <c:pt idx="6">
                  <c:v>2.0999341177220607</c:v>
                </c:pt>
                <c:pt idx="7">
                  <c:v>8.2483034969417162</c:v>
                </c:pt>
                <c:pt idx="8">
                  <c:v>4.0697794471068622</c:v>
                </c:pt>
                <c:pt idx="9">
                  <c:v>3.8256491643573334</c:v>
                </c:pt>
                <c:pt idx="10">
                  <c:v>12.685415694490043</c:v>
                </c:pt>
                <c:pt idx="11">
                  <c:v>15.904024334447428</c:v>
                </c:pt>
                <c:pt idx="12">
                  <c:v>1.794273216856892</c:v>
                </c:pt>
                <c:pt idx="13">
                  <c:v>2.3995255571961343</c:v>
                </c:pt>
                <c:pt idx="14">
                  <c:v>5.8461600924197263</c:v>
                </c:pt>
                <c:pt idx="15">
                  <c:v>5.0303074199613933</c:v>
                </c:pt>
                <c:pt idx="16">
                  <c:v>2.5006554095931324</c:v>
                </c:pt>
                <c:pt idx="17">
                  <c:v>33.271697062473777</c:v>
                </c:pt>
                <c:pt idx="18">
                  <c:v>5.07020991425735</c:v>
                </c:pt>
                <c:pt idx="19">
                  <c:v>0.15860669445707831</c:v>
                </c:pt>
                <c:pt idx="20">
                  <c:v>8.2425872392716784</c:v>
                </c:pt>
                <c:pt idx="21">
                  <c:v>9.8162370467674229</c:v>
                </c:pt>
                <c:pt idx="22">
                  <c:v>11.58368922969432</c:v>
                </c:pt>
                <c:pt idx="23">
                  <c:v>14.843729598674365</c:v>
                </c:pt>
                <c:pt idx="24">
                  <c:v>1.179547576538365</c:v>
                </c:pt>
                <c:pt idx="25">
                  <c:v>15.771194503641624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146</v>
      </c>
      <c r="B2" s="83" t="s">
        <v>528</v>
      </c>
      <c r="C2" t="s">
        <v>512</v>
      </c>
      <c r="D2" t="s">
        <v>511</v>
      </c>
    </row>
    <row r="3" spans="1:10" x14ac:dyDescent="0.25">
      <c r="B3" s="83"/>
    </row>
    <row r="11" spans="1:10" x14ac:dyDescent="0.25">
      <c r="A11" t="s">
        <v>147</v>
      </c>
      <c r="B11" s="83" t="s">
        <v>528</v>
      </c>
    </row>
    <row r="12" spans="1:10" x14ac:dyDescent="0.25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53125" defaultRowHeight="12.5" x14ac:dyDescent="0.25"/>
  <cols>
    <col min="1" max="13" width="11.54296875" style="214" customWidth="1"/>
    <col min="14" max="256" width="10.453125" style="214"/>
    <col min="257" max="269" width="11.54296875" style="214" customWidth="1"/>
    <col min="270" max="512" width="10.453125" style="214"/>
    <col min="513" max="525" width="11.54296875" style="214" customWidth="1"/>
    <col min="526" max="768" width="10.453125" style="214"/>
    <col min="769" max="781" width="11.54296875" style="214" customWidth="1"/>
    <col min="782" max="1024" width="10.453125" style="214"/>
    <col min="1025" max="1037" width="11.54296875" style="214" customWidth="1"/>
    <col min="1038" max="1280" width="10.453125" style="214"/>
    <col min="1281" max="1293" width="11.54296875" style="214" customWidth="1"/>
    <col min="1294" max="1536" width="10.453125" style="214"/>
    <col min="1537" max="1549" width="11.54296875" style="214" customWidth="1"/>
    <col min="1550" max="1792" width="10.453125" style="214"/>
    <col min="1793" max="1805" width="11.54296875" style="214" customWidth="1"/>
    <col min="1806" max="2048" width="10.453125" style="214"/>
    <col min="2049" max="2061" width="11.54296875" style="214" customWidth="1"/>
    <col min="2062" max="2304" width="10.453125" style="214"/>
    <col min="2305" max="2317" width="11.54296875" style="214" customWidth="1"/>
    <col min="2318" max="2560" width="10.453125" style="214"/>
    <col min="2561" max="2573" width="11.54296875" style="214" customWidth="1"/>
    <col min="2574" max="2816" width="10.453125" style="214"/>
    <col min="2817" max="2829" width="11.54296875" style="214" customWidth="1"/>
    <col min="2830" max="3072" width="10.453125" style="214"/>
    <col min="3073" max="3085" width="11.54296875" style="214" customWidth="1"/>
    <col min="3086" max="3328" width="10.453125" style="214"/>
    <col min="3329" max="3341" width="11.54296875" style="214" customWidth="1"/>
    <col min="3342" max="3584" width="10.453125" style="214"/>
    <col min="3585" max="3597" width="11.54296875" style="214" customWidth="1"/>
    <col min="3598" max="3840" width="10.453125" style="214"/>
    <col min="3841" max="3853" width="11.54296875" style="214" customWidth="1"/>
    <col min="3854" max="4096" width="10.453125" style="214"/>
    <col min="4097" max="4109" width="11.54296875" style="214" customWidth="1"/>
    <col min="4110" max="4352" width="10.453125" style="214"/>
    <col min="4353" max="4365" width="11.54296875" style="214" customWidth="1"/>
    <col min="4366" max="4608" width="10.453125" style="214"/>
    <col min="4609" max="4621" width="11.54296875" style="214" customWidth="1"/>
    <col min="4622" max="4864" width="10.453125" style="214"/>
    <col min="4865" max="4877" width="11.54296875" style="214" customWidth="1"/>
    <col min="4878" max="5120" width="10.453125" style="214"/>
    <col min="5121" max="5133" width="11.54296875" style="214" customWidth="1"/>
    <col min="5134" max="5376" width="10.453125" style="214"/>
    <col min="5377" max="5389" width="11.54296875" style="214" customWidth="1"/>
    <col min="5390" max="5632" width="10.453125" style="214"/>
    <col min="5633" max="5645" width="11.54296875" style="214" customWidth="1"/>
    <col min="5646" max="5888" width="10.453125" style="214"/>
    <col min="5889" max="5901" width="11.54296875" style="214" customWidth="1"/>
    <col min="5902" max="6144" width="10.453125" style="214"/>
    <col min="6145" max="6157" width="11.54296875" style="214" customWidth="1"/>
    <col min="6158" max="6400" width="10.453125" style="214"/>
    <col min="6401" max="6413" width="11.54296875" style="214" customWidth="1"/>
    <col min="6414" max="6656" width="10.453125" style="214"/>
    <col min="6657" max="6669" width="11.54296875" style="214" customWidth="1"/>
    <col min="6670" max="6912" width="10.453125" style="214"/>
    <col min="6913" max="6925" width="11.54296875" style="214" customWidth="1"/>
    <col min="6926" max="7168" width="10.453125" style="214"/>
    <col min="7169" max="7181" width="11.54296875" style="214" customWidth="1"/>
    <col min="7182" max="7424" width="10.453125" style="214"/>
    <col min="7425" max="7437" width="11.54296875" style="214" customWidth="1"/>
    <col min="7438" max="7680" width="10.453125" style="214"/>
    <col min="7681" max="7693" width="11.54296875" style="214" customWidth="1"/>
    <col min="7694" max="7936" width="10.453125" style="214"/>
    <col min="7937" max="7949" width="11.54296875" style="214" customWidth="1"/>
    <col min="7950" max="8192" width="10.453125" style="214"/>
    <col min="8193" max="8205" width="11.54296875" style="214" customWidth="1"/>
    <col min="8206" max="8448" width="10.453125" style="214"/>
    <col min="8449" max="8461" width="11.54296875" style="214" customWidth="1"/>
    <col min="8462" max="8704" width="10.453125" style="214"/>
    <col min="8705" max="8717" width="11.54296875" style="214" customWidth="1"/>
    <col min="8718" max="8960" width="10.453125" style="214"/>
    <col min="8961" max="8973" width="11.54296875" style="214" customWidth="1"/>
    <col min="8974" max="9216" width="10.453125" style="214"/>
    <col min="9217" max="9229" width="11.54296875" style="214" customWidth="1"/>
    <col min="9230" max="9472" width="10.453125" style="214"/>
    <col min="9473" max="9485" width="11.54296875" style="214" customWidth="1"/>
    <col min="9486" max="9728" width="10.453125" style="214"/>
    <col min="9729" max="9741" width="11.54296875" style="214" customWidth="1"/>
    <col min="9742" max="9984" width="10.453125" style="214"/>
    <col min="9985" max="9997" width="11.54296875" style="214" customWidth="1"/>
    <col min="9998" max="10240" width="10.453125" style="214"/>
    <col min="10241" max="10253" width="11.54296875" style="214" customWidth="1"/>
    <col min="10254" max="10496" width="10.453125" style="214"/>
    <col min="10497" max="10509" width="11.54296875" style="214" customWidth="1"/>
    <col min="10510" max="10752" width="10.453125" style="214"/>
    <col min="10753" max="10765" width="11.54296875" style="214" customWidth="1"/>
    <col min="10766" max="11008" width="10.453125" style="214"/>
    <col min="11009" max="11021" width="11.54296875" style="214" customWidth="1"/>
    <col min="11022" max="11264" width="10.453125" style="214"/>
    <col min="11265" max="11277" width="11.54296875" style="214" customWidth="1"/>
    <col min="11278" max="11520" width="10.453125" style="214"/>
    <col min="11521" max="11533" width="11.54296875" style="214" customWidth="1"/>
    <col min="11534" max="11776" width="10.453125" style="214"/>
    <col min="11777" max="11789" width="11.54296875" style="214" customWidth="1"/>
    <col min="11790" max="12032" width="10.453125" style="214"/>
    <col min="12033" max="12045" width="11.54296875" style="214" customWidth="1"/>
    <col min="12046" max="12288" width="10.453125" style="214"/>
    <col min="12289" max="12301" width="11.54296875" style="214" customWidth="1"/>
    <col min="12302" max="12544" width="10.453125" style="214"/>
    <col min="12545" max="12557" width="11.54296875" style="214" customWidth="1"/>
    <col min="12558" max="12800" width="10.453125" style="214"/>
    <col min="12801" max="12813" width="11.54296875" style="214" customWidth="1"/>
    <col min="12814" max="13056" width="10.453125" style="214"/>
    <col min="13057" max="13069" width="11.54296875" style="214" customWidth="1"/>
    <col min="13070" max="13312" width="10.453125" style="214"/>
    <col min="13313" max="13325" width="11.54296875" style="214" customWidth="1"/>
    <col min="13326" max="13568" width="10.453125" style="214"/>
    <col min="13569" max="13581" width="11.54296875" style="214" customWidth="1"/>
    <col min="13582" max="13824" width="10.453125" style="214"/>
    <col min="13825" max="13837" width="11.54296875" style="214" customWidth="1"/>
    <col min="13838" max="14080" width="10.453125" style="214"/>
    <col min="14081" max="14093" width="11.54296875" style="214" customWidth="1"/>
    <col min="14094" max="14336" width="10.453125" style="214"/>
    <col min="14337" max="14349" width="11.54296875" style="214" customWidth="1"/>
    <col min="14350" max="14592" width="10.453125" style="214"/>
    <col min="14593" max="14605" width="11.54296875" style="214" customWidth="1"/>
    <col min="14606" max="14848" width="10.453125" style="214"/>
    <col min="14849" max="14861" width="11.54296875" style="214" customWidth="1"/>
    <col min="14862" max="15104" width="10.453125" style="214"/>
    <col min="15105" max="15117" width="11.54296875" style="214" customWidth="1"/>
    <col min="15118" max="15360" width="10.453125" style="214"/>
    <col min="15361" max="15373" width="11.54296875" style="214" customWidth="1"/>
    <col min="15374" max="15616" width="10.453125" style="214"/>
    <col min="15617" max="15629" width="11.54296875" style="214" customWidth="1"/>
    <col min="15630" max="15872" width="10.453125" style="214"/>
    <col min="15873" max="15885" width="11.54296875" style="214" customWidth="1"/>
    <col min="15886" max="16128" width="10.453125" style="214"/>
    <col min="16129" max="16141" width="11.54296875" style="214" customWidth="1"/>
    <col min="16142" max="16384" width="10.453125" style="214"/>
  </cols>
  <sheetData>
    <row r="1" spans="1:14" ht="13" x14ac:dyDescent="0.3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3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3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3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3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3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3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3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3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ht="13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5" x14ac:dyDescent="0.3">
      <c r="A12" s="216"/>
      <c r="B12" s="216"/>
      <c r="C12" s="216"/>
      <c r="D12" s="216"/>
      <c r="E12" s="216"/>
      <c r="F12" s="216"/>
      <c r="G12" s="217" t="s">
        <v>510</v>
      </c>
      <c r="H12" s="216"/>
      <c r="I12" s="216"/>
      <c r="J12" s="216"/>
      <c r="K12" s="216"/>
      <c r="L12" s="216"/>
      <c r="M12" s="216"/>
      <c r="N12" s="216"/>
    </row>
    <row r="13" spans="1:14" ht="13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3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5" x14ac:dyDescent="0.3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.5" x14ac:dyDescent="0.3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.5" x14ac:dyDescent="0.3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.5" x14ac:dyDescent="0.3">
      <c r="A18" s="218"/>
      <c r="B18" s="223"/>
      <c r="C18" s="216"/>
      <c r="D18" s="216"/>
      <c r="E18" s="216"/>
      <c r="F18" s="216"/>
      <c r="G18" s="224" t="s">
        <v>513</v>
      </c>
      <c r="H18" s="216"/>
      <c r="I18" s="216"/>
      <c r="J18" s="216"/>
      <c r="K18" s="216"/>
      <c r="L18" s="225"/>
      <c r="M18" s="216"/>
      <c r="N18" s="216"/>
    </row>
    <row r="19" spans="1:14" ht="15.5" x14ac:dyDescent="0.3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.5" x14ac:dyDescent="0.3">
      <c r="A20" s="218"/>
      <c r="B20" s="223"/>
      <c r="C20" s="216"/>
      <c r="D20" s="216"/>
      <c r="E20" s="216"/>
      <c r="F20" s="216"/>
      <c r="G20" s="224" t="s">
        <v>514</v>
      </c>
      <c r="H20" s="216"/>
      <c r="I20" s="216"/>
      <c r="J20" s="216"/>
      <c r="K20" s="216"/>
      <c r="L20" s="225"/>
      <c r="M20" s="216"/>
      <c r="N20" s="216"/>
    </row>
    <row r="21" spans="1:14" ht="15.5" x14ac:dyDescent="0.3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.5" x14ac:dyDescent="0.3">
      <c r="A22" s="218"/>
      <c r="B22" s="223"/>
      <c r="C22" s="216"/>
      <c r="D22" s="216"/>
      <c r="E22" s="216"/>
      <c r="F22" s="216"/>
      <c r="G22" s="357" t="s">
        <v>515</v>
      </c>
      <c r="H22" s="216"/>
      <c r="I22" s="216"/>
      <c r="J22" s="216"/>
      <c r="K22" s="216"/>
      <c r="L22" s="225"/>
      <c r="M22" s="216"/>
      <c r="N22" s="216"/>
    </row>
    <row r="23" spans="1:14" ht="15.5" x14ac:dyDescent="0.3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.5" x14ac:dyDescent="0.3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.5" x14ac:dyDescent="0.3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.5" x14ac:dyDescent="0.3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.5" x14ac:dyDescent="0.3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.5" x14ac:dyDescent="0.3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.5" x14ac:dyDescent="0.3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.5" x14ac:dyDescent="0.3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.5" x14ac:dyDescent="0.3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.5" x14ac:dyDescent="0.3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.5" x14ac:dyDescent="0.3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.5" x14ac:dyDescent="0.3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.5" x14ac:dyDescent="0.3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5" x14ac:dyDescent="0.3">
      <c r="A36" s="218"/>
      <c r="B36" s="226"/>
      <c r="C36" s="216"/>
      <c r="D36" s="216"/>
      <c r="E36" s="216"/>
      <c r="F36" s="216"/>
      <c r="G36" s="224" t="s">
        <v>516</v>
      </c>
      <c r="H36" s="216"/>
      <c r="I36" s="216"/>
      <c r="J36" s="216"/>
      <c r="K36" s="216"/>
      <c r="L36" s="225"/>
      <c r="M36" s="216"/>
      <c r="N36" s="216"/>
    </row>
    <row r="37" spans="1:14" ht="15.5" x14ac:dyDescent="0.3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.5" x14ac:dyDescent="0.3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.5" x14ac:dyDescent="0.3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3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5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5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ht="13" x14ac:dyDescent="0.3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ht="13" x14ac:dyDescent="0.3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ht="13" x14ac:dyDescent="0.3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ht="13" x14ac:dyDescent="0.3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ht="13" x14ac:dyDescent="0.3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ht="13" x14ac:dyDescent="0.3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ht="13" x14ac:dyDescent="0.3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ht="13" x14ac:dyDescent="0.3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ht="13" x14ac:dyDescent="0.3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ht="13" x14ac:dyDescent="0.3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ht="13" x14ac:dyDescent="0.3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ht="13" x14ac:dyDescent="0.3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ht="13" x14ac:dyDescent="0.3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ht="13" x14ac:dyDescent="0.3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ht="13" x14ac:dyDescent="0.3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ht="13" x14ac:dyDescent="0.3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ht="13" x14ac:dyDescent="0.3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ht="13" x14ac:dyDescent="0.3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ht="13" x14ac:dyDescent="0.3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ht="13" x14ac:dyDescent="0.3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ht="13" x14ac:dyDescent="0.3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ht="13" x14ac:dyDescent="0.3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ht="13" x14ac:dyDescent="0.3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ht="13" x14ac:dyDescent="0.3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ht="13" x14ac:dyDescent="0.3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ht="13" x14ac:dyDescent="0.3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ht="13" x14ac:dyDescent="0.3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ht="13" x14ac:dyDescent="0.3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ht="13" x14ac:dyDescent="0.3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ht="13" x14ac:dyDescent="0.3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ht="13" x14ac:dyDescent="0.3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ht="13" x14ac:dyDescent="0.3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ht="13" x14ac:dyDescent="0.3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ht="13" x14ac:dyDescent="0.3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ht="13" x14ac:dyDescent="0.3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ht="13" x14ac:dyDescent="0.3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ht="13" x14ac:dyDescent="0.3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ht="13" x14ac:dyDescent="0.3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ht="13" x14ac:dyDescent="0.3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ht="13" x14ac:dyDescent="0.3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ht="13" x14ac:dyDescent="0.3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ht="13" x14ac:dyDescent="0.3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ht="13" x14ac:dyDescent="0.3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ht="13" x14ac:dyDescent="0.3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ht="13" x14ac:dyDescent="0.3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ht="13" x14ac:dyDescent="0.3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ht="13" x14ac:dyDescent="0.3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ht="13" x14ac:dyDescent="0.3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ht="13" x14ac:dyDescent="0.3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ht="13" x14ac:dyDescent="0.3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ht="13" x14ac:dyDescent="0.3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505</v>
      </c>
      <c r="B1" t="s">
        <v>506</v>
      </c>
    </row>
    <row r="2" spans="1:2" x14ac:dyDescent="0.25">
      <c r="A2" t="s">
        <v>430</v>
      </c>
      <c r="B2" t="s">
        <v>431</v>
      </c>
    </row>
    <row r="3" spans="1:2" x14ac:dyDescent="0.25">
      <c r="A3" t="s">
        <v>432</v>
      </c>
      <c r="B3" t="s">
        <v>507</v>
      </c>
    </row>
    <row r="4" spans="1:2" x14ac:dyDescent="0.25">
      <c r="A4" t="s">
        <v>508</v>
      </c>
      <c r="B4" t="s">
        <v>529</v>
      </c>
    </row>
    <row r="5" spans="1:2" x14ac:dyDescent="0.25">
      <c r="A5" t="s">
        <v>433</v>
      </c>
      <c r="B5" t="s">
        <v>509</v>
      </c>
    </row>
    <row r="6" spans="1:2" x14ac:dyDescent="0.25">
      <c r="A6" t="s">
        <v>127</v>
      </c>
      <c r="B6" t="s">
        <v>530</v>
      </c>
    </row>
    <row r="40" spans="7:7" x14ac:dyDescent="0.25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75" t="s">
        <v>103</v>
      </c>
    </row>
    <row r="4" spans="1:52" x14ac:dyDescent="0.25">
      <c r="B4" s="83" t="s">
        <v>102</v>
      </c>
      <c r="C4" t="str">
        <f>Stored!B11</f>
        <v>M:/IE/Projects/Nuffield via NFER AI and automation/Data/Results/Workbooks/LEPs/BC_LEP/BC_LEP_Database.Main.xlsx</v>
      </c>
    </row>
    <row r="5" spans="1:52" x14ac:dyDescent="0.25">
      <c r="B5" s="83"/>
    </row>
    <row r="6" spans="1:52" ht="22.5" customHeight="1" x14ac:dyDescent="0.25">
      <c r="B6" s="176" t="s">
        <v>143</v>
      </c>
      <c r="C6" s="176"/>
      <c r="D6" s="199"/>
    </row>
    <row r="7" spans="1:52" ht="15.75" customHeight="1" x14ac:dyDescent="0.25">
      <c r="B7" s="53"/>
      <c r="C7" s="54"/>
      <c r="D7" s="55"/>
    </row>
    <row r="8" spans="1:52" ht="21" customHeight="1" x14ac:dyDescent="0.25">
      <c r="B8" s="56"/>
      <c r="C8" s="198"/>
      <c r="D8" s="57"/>
    </row>
    <row r="10" spans="1:52" ht="17.25" customHeight="1" x14ac:dyDescent="0.25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5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" thickBot="1" x14ac:dyDescent="0.3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" thickBot="1" x14ac:dyDescent="0.3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5">
      <c r="A14" s="83"/>
    </row>
    <row r="16" spans="1:52" ht="45.75" customHeight="1" x14ac:dyDescent="0.25"/>
    <row r="17" spans="5:5" ht="15.75" customHeight="1" x14ac:dyDescent="0.25">
      <c r="E17" s="54"/>
    </row>
    <row r="18" spans="5:5" ht="24" customHeight="1" x14ac:dyDescent="0.25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213" t="s">
        <v>150</v>
      </c>
    </row>
    <row r="2" spans="1:2" x14ac:dyDescent="0.25">
      <c r="A2" s="83" t="s">
        <v>148</v>
      </c>
    </row>
    <row r="3" spans="1:2" s="1" customFormat="1" ht="13" x14ac:dyDescent="0.3">
      <c r="A3" s="208"/>
      <c r="B3" s="208"/>
    </row>
    <row r="4" spans="1:2" s="83" customFormat="1" ht="13" x14ac:dyDescent="0.3">
      <c r="A4" s="209" t="s">
        <v>149</v>
      </c>
      <c r="B4" s="209" t="s">
        <v>150</v>
      </c>
    </row>
    <row r="5" spans="1:2" x14ac:dyDescent="0.25">
      <c r="A5" s="210" t="s">
        <v>374</v>
      </c>
      <c r="B5" s="211" t="s">
        <v>377</v>
      </c>
    </row>
    <row r="6" spans="1:2" x14ac:dyDescent="0.25">
      <c r="A6" s="210" t="s">
        <v>375</v>
      </c>
      <c r="B6" s="211" t="s">
        <v>378</v>
      </c>
    </row>
    <row r="7" spans="1:2" x14ac:dyDescent="0.25">
      <c r="A7" s="210" t="s">
        <v>380</v>
      </c>
      <c r="B7" s="211" t="s">
        <v>384</v>
      </c>
    </row>
    <row r="8" spans="1:2" x14ac:dyDescent="0.25">
      <c r="A8" s="210" t="s">
        <v>383</v>
      </c>
      <c r="B8" s="212" t="s">
        <v>385</v>
      </c>
    </row>
    <row r="9" spans="1:2" x14ac:dyDescent="0.25">
      <c r="A9" s="210" t="s">
        <v>381</v>
      </c>
      <c r="B9" s="212" t="s">
        <v>434</v>
      </c>
    </row>
    <row r="10" spans="1:2" x14ac:dyDescent="0.25">
      <c r="A10" s="210" t="s">
        <v>386</v>
      </c>
      <c r="B10" s="211" t="s">
        <v>393</v>
      </c>
    </row>
    <row r="11" spans="1:2" x14ac:dyDescent="0.25">
      <c r="A11" s="210" t="s">
        <v>388</v>
      </c>
      <c r="B11" s="211" t="s">
        <v>391</v>
      </c>
    </row>
    <row r="12" spans="1:2" x14ac:dyDescent="0.25">
      <c r="A12" s="210" t="s">
        <v>390</v>
      </c>
      <c r="B12" s="211" t="s">
        <v>435</v>
      </c>
    </row>
    <row r="13" spans="1:2" x14ac:dyDescent="0.25">
      <c r="A13" s="210" t="s">
        <v>405</v>
      </c>
      <c r="B13" s="211" t="s">
        <v>436</v>
      </c>
    </row>
    <row r="14" spans="1:2" x14ac:dyDescent="0.25">
      <c r="A14" s="210" t="s">
        <v>392</v>
      </c>
      <c r="B14" s="211" t="s">
        <v>425</v>
      </c>
    </row>
    <row r="15" spans="1:2" x14ac:dyDescent="0.25">
      <c r="A15" s="210" t="s">
        <v>376</v>
      </c>
      <c r="B15" s="211" t="s">
        <v>461</v>
      </c>
    </row>
    <row r="16" spans="1:2" x14ac:dyDescent="0.25">
      <c r="A16" s="210" t="s">
        <v>379</v>
      </c>
      <c r="B16" s="211" t="s">
        <v>462</v>
      </c>
    </row>
    <row r="17" spans="1:2" x14ac:dyDescent="0.25">
      <c r="A17" s="210" t="s">
        <v>382</v>
      </c>
      <c r="B17" s="211" t="s">
        <v>463</v>
      </c>
    </row>
    <row r="18" spans="1:2" x14ac:dyDescent="0.25">
      <c r="A18" s="210" t="s">
        <v>426</v>
      </c>
      <c r="B18" s="211" t="s">
        <v>427</v>
      </c>
    </row>
    <row r="19" spans="1:2" x14ac:dyDescent="0.25">
      <c r="A19" s="210" t="s">
        <v>387</v>
      </c>
      <c r="B19" s="211" t="s">
        <v>464</v>
      </c>
    </row>
    <row r="20" spans="1:2" x14ac:dyDescent="0.25">
      <c r="A20" s="210" t="s">
        <v>389</v>
      </c>
      <c r="B20" s="211" t="s">
        <v>465</v>
      </c>
    </row>
    <row r="21" spans="1:2" x14ac:dyDescent="0.25">
      <c r="A21" s="210" t="s">
        <v>417</v>
      </c>
      <c r="B21" s="211" t="s">
        <v>419</v>
      </c>
    </row>
    <row r="22" spans="1:2" x14ac:dyDescent="0.25">
      <c r="A22" s="210" t="s">
        <v>418</v>
      </c>
      <c r="B22" s="211" t="s">
        <v>420</v>
      </c>
    </row>
    <row r="23" spans="1:2" x14ac:dyDescent="0.25">
      <c r="A23" s="210" t="s">
        <v>423</v>
      </c>
      <c r="B23" s="211" t="s">
        <v>424</v>
      </c>
    </row>
    <row r="24" spans="1:2" x14ac:dyDescent="0.25">
      <c r="A24" s="210" t="s">
        <v>394</v>
      </c>
      <c r="B24" s="211" t="s">
        <v>395</v>
      </c>
    </row>
    <row r="25" spans="1:2" x14ac:dyDescent="0.25">
      <c r="A25" s="210" t="s">
        <v>396</v>
      </c>
      <c r="B25" s="211" t="s">
        <v>397</v>
      </c>
    </row>
    <row r="26" spans="1:2" x14ac:dyDescent="0.25">
      <c r="A26" s="210" t="s">
        <v>398</v>
      </c>
      <c r="B26" s="211" t="s">
        <v>466</v>
      </c>
    </row>
    <row r="27" spans="1:2" x14ac:dyDescent="0.25">
      <c r="A27" s="210" t="s">
        <v>400</v>
      </c>
      <c r="B27" s="211" t="s">
        <v>467</v>
      </c>
    </row>
    <row r="28" spans="1:2" x14ac:dyDescent="0.25">
      <c r="A28" s="210" t="s">
        <v>399</v>
      </c>
      <c r="B28" s="211" t="s">
        <v>468</v>
      </c>
    </row>
    <row r="29" spans="1:2" x14ac:dyDescent="0.25">
      <c r="A29" s="210" t="s">
        <v>401</v>
      </c>
      <c r="B29" s="211" t="s">
        <v>404</v>
      </c>
    </row>
    <row r="30" spans="1:2" x14ac:dyDescent="0.25">
      <c r="A30" s="210" t="s">
        <v>402</v>
      </c>
      <c r="B30" s="211" t="s">
        <v>469</v>
      </c>
    </row>
    <row r="31" spans="1:2" x14ac:dyDescent="0.25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tabSelected="1" topLeftCell="A29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9" t="str">
        <f>CONCATENATE("Industry Table 1  Employment by Industry Sector (SIC 2007), ",B$5,"-",F$5,", ",Info!B5)</f>
        <v>Industry Table 1  Employment by Industry Sector (SIC 2007), 2015-2035, Black Country</v>
      </c>
      <c r="L1" s="19" t="str">
        <f>CONCATENATE("Industry Table 1.1  Employment by Industry Sector (SIC 2007), ",B$5,"-",F$5,", ",Info!B5)</f>
        <v>Industry Table 1.1  Employment by Industry Sector (SIC 2007), 2015-2035, Black Country</v>
      </c>
    </row>
    <row r="2" spans="1:19" ht="13" x14ac:dyDescent="0.3">
      <c r="A2" s="1" t="s">
        <v>517</v>
      </c>
      <c r="J2" s="16" t="s">
        <v>36</v>
      </c>
    </row>
    <row r="3" spans="1:19" ht="15.5" x14ac:dyDescent="0.3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ht="13" x14ac:dyDescent="0.3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ht="13" x14ac:dyDescent="0.3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12.683999999999983</v>
      </c>
      <c r="N5" s="11">
        <f t="shared" si="1"/>
        <v>8.5460000000000012</v>
      </c>
      <c r="O5" s="11">
        <f t="shared" si="1"/>
        <v>7.0440000000000094</v>
      </c>
      <c r="P5" s="11">
        <f t="shared" si="1"/>
        <v>7.0900000000000025</v>
      </c>
      <c r="Q5" s="11">
        <f t="shared" si="1"/>
        <v>7.1439999999999957</v>
      </c>
      <c r="R5" s="40">
        <f t="shared" ref="R5:R10" si="2">IF(D$5-B$5 &lt;&gt; 0,(EXP(LN(D7/B7)/(D$5-B$5))-1)*100,0)</f>
        <v>-11.097776560099071</v>
      </c>
      <c r="S5" s="40">
        <f t="shared" si="0"/>
        <v>9.402185913227612E-2</v>
      </c>
    </row>
    <row r="6" spans="1:19" ht="13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68.658999999999878</v>
      </c>
      <c r="N6" s="11">
        <f t="shared" si="1"/>
        <v>69.284999999999926</v>
      </c>
      <c r="O6" s="11">
        <f t="shared" si="1"/>
        <v>63.879000000000019</v>
      </c>
      <c r="P6" s="11">
        <f t="shared" si="1"/>
        <v>62.486999999999853</v>
      </c>
      <c r="Q6" s="11">
        <f t="shared" si="1"/>
        <v>56.88999999999993</v>
      </c>
      <c r="R6" s="40">
        <f t="shared" si="2"/>
        <v>-1.4328664326009766</v>
      </c>
      <c r="S6" s="40">
        <f t="shared" si="0"/>
        <v>-0.76949802181702776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12.683999999999983</v>
      </c>
      <c r="C7" s="11">
        <f t="array" ref="C7:C12">MMULT(aggregation!$B$3:$W$8,'Ind T2'!C5:C26)</f>
        <v>8.5460000000000012</v>
      </c>
      <c r="D7" s="11">
        <f t="array" ref="D7:D12">MMULT(aggregation!$B$3:$W$8,'Ind T2'!D5:D26)</f>
        <v>7.0440000000000094</v>
      </c>
      <c r="E7" s="11">
        <f t="array" ref="E7:E12">MMULT(aggregation!$B$3:$W$8,'Ind T2'!E5:E26)</f>
        <v>7.0900000000000025</v>
      </c>
      <c r="F7" s="11">
        <f t="array" ref="F7:F12">MMULT(aggregation!$B$3:$W$8,'Ind T2'!F5:F26)</f>
        <v>7.1439999999999957</v>
      </c>
      <c r="G7" s="11"/>
      <c r="H7" s="11">
        <f>F7-D7</f>
        <v>9.9999999999986322E-2</v>
      </c>
      <c r="I7" s="11">
        <f t="array" ref="I7:I12">MMULT(aggregation!$B$3:$W$8,'RD T1'!AB7:AB28)</f>
        <v>3.18595677110067</v>
      </c>
      <c r="J7" s="11">
        <f>SUM(H7:I7)</f>
        <v>3.2859567711006563</v>
      </c>
      <c r="K7" s="11"/>
      <c r="L7" t="str">
        <f t="shared" si="1"/>
        <v>Construction</v>
      </c>
      <c r="M7" s="11">
        <f t="shared" si="1"/>
        <v>31.762999999999963</v>
      </c>
      <c r="N7" s="11">
        <f t="shared" si="1"/>
        <v>39.074999999999903</v>
      </c>
      <c r="O7" s="11">
        <f t="shared" si="1"/>
        <v>37.015000000000043</v>
      </c>
      <c r="P7" s="11">
        <f t="shared" si="1"/>
        <v>36.904000000000053</v>
      </c>
      <c r="Q7" s="11">
        <f t="shared" si="1"/>
        <v>37.449999999999932</v>
      </c>
      <c r="R7" s="40">
        <f>IF(D$5-B$5 &lt;&gt; 0,(EXP(LN(D9/B9)/(D$5-B$5))-1)*100,0)</f>
        <v>3.1077352720811469</v>
      </c>
      <c r="S7" s="40">
        <f t="shared" si="0"/>
        <v>7.7920169124201522E-2</v>
      </c>
    </row>
    <row r="8" spans="1:19" x14ac:dyDescent="0.25">
      <c r="A8" t="str">
        <f>name!C5</f>
        <v>Manufacturing</v>
      </c>
      <c r="B8" s="11">
        <v>68.658999999999878</v>
      </c>
      <c r="C8" s="11">
        <v>69.284999999999926</v>
      </c>
      <c r="D8" s="11">
        <v>63.879000000000019</v>
      </c>
      <c r="E8" s="11">
        <v>62.486999999999853</v>
      </c>
      <c r="F8" s="11">
        <v>56.88999999999993</v>
      </c>
      <c r="G8" s="11"/>
      <c r="H8" s="11">
        <f t="shared" ref="H8:H12" si="3">F8-D8</f>
        <v>-6.9890000000000896</v>
      </c>
      <c r="I8" s="11">
        <v>25.707532613494202</v>
      </c>
      <c r="J8" s="11">
        <f t="shared" ref="J8:J12" si="4">SUM(H8:I8)</f>
        <v>18.718532613494112</v>
      </c>
      <c r="K8" s="11"/>
      <c r="L8" t="str">
        <f t="shared" si="1"/>
        <v>Trade, accomod. and transport</v>
      </c>
      <c r="M8" s="11">
        <f t="shared" si="1"/>
        <v>147.42899999999989</v>
      </c>
      <c r="N8" s="11">
        <f t="shared" si="1"/>
        <v>146.70800000000006</v>
      </c>
      <c r="O8" s="11">
        <f t="shared" si="1"/>
        <v>144.72399999999985</v>
      </c>
      <c r="P8" s="11">
        <f t="shared" si="1"/>
        <v>150.00999999999996</v>
      </c>
      <c r="Q8" s="11">
        <f t="shared" si="1"/>
        <v>155.95600000000013</v>
      </c>
      <c r="R8" s="40">
        <f t="shared" si="2"/>
        <v>-0.36967947018972103</v>
      </c>
      <c r="S8" s="40">
        <f t="shared" si="0"/>
        <v>0.49954649968433351</v>
      </c>
    </row>
    <row r="9" spans="1:19" x14ac:dyDescent="0.25">
      <c r="A9" t="str">
        <f>name!C6</f>
        <v>Construction</v>
      </c>
      <c r="B9" s="11">
        <v>31.762999999999963</v>
      </c>
      <c r="C9" s="11">
        <v>39.074999999999903</v>
      </c>
      <c r="D9" s="11">
        <v>37.015000000000043</v>
      </c>
      <c r="E9" s="11">
        <v>36.904000000000053</v>
      </c>
      <c r="F9" s="11">
        <v>37.449999999999932</v>
      </c>
      <c r="G9" s="11"/>
      <c r="H9" s="11">
        <f t="shared" si="3"/>
        <v>0.43499999999988859</v>
      </c>
      <c r="I9" s="11">
        <v>15.502149947583076</v>
      </c>
      <c r="J9" s="11">
        <f t="shared" si="4"/>
        <v>15.937149947582965</v>
      </c>
      <c r="K9" s="11"/>
      <c r="L9" t="str">
        <f t="shared" si="1"/>
        <v>Business and other services</v>
      </c>
      <c r="M9" s="11">
        <f t="shared" si="1"/>
        <v>123.34700000000011</v>
      </c>
      <c r="N9" s="11">
        <f t="shared" si="1"/>
        <v>113.62800000000011</v>
      </c>
      <c r="O9" s="11">
        <f t="shared" si="1"/>
        <v>111.41799999999995</v>
      </c>
      <c r="P9" s="11">
        <f t="shared" si="1"/>
        <v>113.28999999999995</v>
      </c>
      <c r="Q9" s="11">
        <f t="shared" si="1"/>
        <v>117.91199999999995</v>
      </c>
      <c r="R9" s="40">
        <f t="shared" si="2"/>
        <v>-2.0137012202789295</v>
      </c>
      <c r="S9" s="40">
        <f t="shared" si="0"/>
        <v>0.37837864603122995</v>
      </c>
    </row>
    <row r="10" spans="1:19" x14ac:dyDescent="0.25">
      <c r="A10" t="str">
        <f>name!C7</f>
        <v>Trade, accomod. and transport</v>
      </c>
      <c r="B10" s="11">
        <v>147.42899999999989</v>
      </c>
      <c r="C10" s="11">
        <v>146.70800000000006</v>
      </c>
      <c r="D10" s="11">
        <v>144.72399999999985</v>
      </c>
      <c r="E10" s="11">
        <v>150.00999999999996</v>
      </c>
      <c r="F10" s="11">
        <v>155.95600000000013</v>
      </c>
      <c r="G10" s="11"/>
      <c r="H10" s="11">
        <f t="shared" si="3"/>
        <v>11.232000000000284</v>
      </c>
      <c r="I10" s="11">
        <v>72.224385957602465</v>
      </c>
      <c r="J10" s="11">
        <f t="shared" si="4"/>
        <v>83.456385957602748</v>
      </c>
      <c r="K10" s="11"/>
      <c r="L10" t="str">
        <f t="shared" si="1"/>
        <v>Non-marketed services</v>
      </c>
      <c r="M10" s="11">
        <f t="shared" si="1"/>
        <v>121.68000000000021</v>
      </c>
      <c r="N10" s="11">
        <f t="shared" si="1"/>
        <v>132.68900000000008</v>
      </c>
      <c r="O10" s="11">
        <f t="shared" si="1"/>
        <v>132.11400000000015</v>
      </c>
      <c r="P10" s="11">
        <f t="shared" si="1"/>
        <v>138.34699999999987</v>
      </c>
      <c r="Q10" s="11">
        <f t="shared" si="1"/>
        <v>146.59199999999993</v>
      </c>
      <c r="R10" s="40">
        <f t="shared" si="2"/>
        <v>1.6590222007271782</v>
      </c>
      <c r="S10" s="40">
        <f t="shared" si="0"/>
        <v>0.69566210813678531</v>
      </c>
    </row>
    <row r="11" spans="1:19" x14ac:dyDescent="0.25">
      <c r="A11" t="str">
        <f>name!C8</f>
        <v>Business and other services</v>
      </c>
      <c r="B11" s="11">
        <v>123.34700000000011</v>
      </c>
      <c r="C11" s="11">
        <v>113.62800000000011</v>
      </c>
      <c r="D11" s="11">
        <v>111.41799999999995</v>
      </c>
      <c r="E11" s="11">
        <v>113.28999999999995</v>
      </c>
      <c r="F11" s="11">
        <v>117.91199999999995</v>
      </c>
      <c r="G11" s="11"/>
      <c r="H11" s="11">
        <f t="shared" si="3"/>
        <v>6.4939999999999998</v>
      </c>
      <c r="I11" s="11">
        <v>54.346789976327777</v>
      </c>
      <c r="J11" s="11">
        <f t="shared" si="4"/>
        <v>60.840789976327777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5">
      <c r="A12" t="str">
        <f>name!C9</f>
        <v>Non-marketed services</v>
      </c>
      <c r="B12" s="11">
        <v>121.68000000000021</v>
      </c>
      <c r="C12" s="11">
        <v>132.68900000000008</v>
      </c>
      <c r="D12" s="11">
        <v>132.11400000000015</v>
      </c>
      <c r="E12" s="11">
        <v>138.34699999999987</v>
      </c>
      <c r="F12" s="11">
        <v>146.59199999999993</v>
      </c>
      <c r="G12" s="11"/>
      <c r="H12" s="11">
        <f t="shared" si="3"/>
        <v>14.477999999999781</v>
      </c>
      <c r="I12" s="11">
        <v>75.0333174284401</v>
      </c>
      <c r="J12" s="11">
        <f t="shared" si="4"/>
        <v>89.511317428439881</v>
      </c>
      <c r="K12" s="11"/>
      <c r="L12" s="24" t="str">
        <f t="shared" ref="L12:Q12" si="5">A14</f>
        <v>All industries</v>
      </c>
      <c r="M12" s="34">
        <f t="shared" si="5"/>
        <v>505.56200000000001</v>
      </c>
      <c r="N12" s="34">
        <f t="shared" si="5"/>
        <v>509.9310000000001</v>
      </c>
      <c r="O12" s="34">
        <f t="shared" si="5"/>
        <v>496.19400000000002</v>
      </c>
      <c r="P12" s="34">
        <f t="shared" si="5"/>
        <v>508.1279999999997</v>
      </c>
      <c r="Q12" s="34">
        <f t="shared" si="5"/>
        <v>521.94399999999996</v>
      </c>
      <c r="R12" s="43">
        <f>IF(D$5-B$5 &lt;&gt; 0,(EXP(LN(D14/B14)/(D$5-B$5))-1)*100,0)</f>
        <v>-0.37337526450476055</v>
      </c>
      <c r="S12" s="43">
        <f>F41</f>
        <v>0.33785827979151417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4" t="str">
        <f>name!C3</f>
        <v>All industries</v>
      </c>
      <c r="B14" s="34">
        <f>SUM(B7:B12)</f>
        <v>505.56200000000001</v>
      </c>
      <c r="C14" s="34">
        <f t="shared" ref="C14:F14" si="6">SUM(C7:C12)</f>
        <v>509.9310000000001</v>
      </c>
      <c r="D14" s="34">
        <f t="shared" si="6"/>
        <v>496.19400000000002</v>
      </c>
      <c r="E14" s="34">
        <f t="shared" si="6"/>
        <v>508.1279999999997</v>
      </c>
      <c r="F14" s="34">
        <f t="shared" si="6"/>
        <v>521.94399999999996</v>
      </c>
      <c r="G14" s="34"/>
      <c r="H14" s="34">
        <f>SUM(H7:H12)</f>
        <v>25.749999999999851</v>
      </c>
      <c r="I14" s="34">
        <f>SUM(I7:I12)</f>
        <v>246.00013269454831</v>
      </c>
      <c r="J14" s="34">
        <f t="shared" ref="J14" si="7">SUM(J7:J12)</f>
        <v>271.75013269454814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ht="13" x14ac:dyDescent="0.3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5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ht="13" x14ac:dyDescent="0.3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5">
      <c r="A20" t="str">
        <f>$A$7</f>
        <v>Primary sector and utilities</v>
      </c>
      <c r="B20" s="18">
        <f t="shared" ref="B20:F25" si="8">B7/B$14*100</f>
        <v>2.5088910954541648</v>
      </c>
      <c r="C20" s="18">
        <f t="shared" si="8"/>
        <v>1.6759130156825137</v>
      </c>
      <c r="D20" s="18">
        <f t="shared" si="8"/>
        <v>1.4196060411855058</v>
      </c>
      <c r="E20" s="18">
        <f t="shared" si="8"/>
        <v>1.3953177152213629</v>
      </c>
      <c r="F20" s="18">
        <f t="shared" si="8"/>
        <v>1.3687292123292913</v>
      </c>
      <c r="G20" s="351"/>
      <c r="H20" s="40">
        <f>IF(D7&gt;0,(H7/D7)*100,0)</f>
        <v>1.41964792731383</v>
      </c>
      <c r="I20" s="40">
        <f>IF(D7&gt;0,(I7/D7)*100,0)</f>
        <v>45.229369266051471</v>
      </c>
      <c r="J20" s="40">
        <f>IF(D7&gt;0,(J7/D7)*100,0)</f>
        <v>46.649017193365303</v>
      </c>
      <c r="K20" s="351"/>
      <c r="L20" s="11"/>
    </row>
    <row r="21" spans="1:12" x14ac:dyDescent="0.25">
      <c r="A21" t="str">
        <f>$A$8</f>
        <v>Manufacturing</v>
      </c>
      <c r="B21" s="18">
        <f t="shared" si="8"/>
        <v>13.580727981928998</v>
      </c>
      <c r="C21" s="18">
        <f t="shared" si="8"/>
        <v>13.587132376733305</v>
      </c>
      <c r="D21" s="18">
        <f t="shared" si="8"/>
        <v>12.873795330052362</v>
      </c>
      <c r="E21" s="18">
        <f t="shared" si="8"/>
        <v>12.297491970527091</v>
      </c>
      <c r="F21" s="18">
        <f t="shared" si="8"/>
        <v>10.899636742639045</v>
      </c>
      <c r="G21" s="351"/>
      <c r="H21" s="40">
        <f t="shared" ref="H21:H25" si="9">IF(D8&gt;0,(H8/D8)*100,0)</f>
        <v>-10.940997824011157</v>
      </c>
      <c r="I21" s="40">
        <f t="shared" ref="I21:I25" si="10">IF(D8&gt;0,(I8/D8)*100,0)</f>
        <v>40.244106221910478</v>
      </c>
      <c r="J21" s="40">
        <f t="shared" ref="J21:J27" si="11">IF(D8&gt;0,(J8/D8)*100,0)</f>
        <v>29.303108397899319</v>
      </c>
      <c r="K21" s="351"/>
      <c r="L21" s="11"/>
    </row>
    <row r="22" spans="1:12" x14ac:dyDescent="0.25">
      <c r="A22" t="str">
        <f>$A$9</f>
        <v>Construction</v>
      </c>
      <c r="B22" s="18">
        <f t="shared" si="8"/>
        <v>6.2827111214845983</v>
      </c>
      <c r="C22" s="18">
        <f t="shared" si="8"/>
        <v>7.6628014378415692</v>
      </c>
      <c r="D22" s="18">
        <f t="shared" si="8"/>
        <v>7.4597838748554075</v>
      </c>
      <c r="E22" s="18">
        <f t="shared" si="8"/>
        <v>7.2627369481705548</v>
      </c>
      <c r="F22" s="18">
        <f t="shared" si="8"/>
        <v>7.1750992443633672</v>
      </c>
      <c r="G22" s="351"/>
      <c r="H22" s="40">
        <f t="shared" si="9"/>
        <v>1.1751992435496099</v>
      </c>
      <c r="I22" s="40">
        <f t="shared" si="10"/>
        <v>41.880723889188324</v>
      </c>
      <c r="J22" s="40">
        <f t="shared" si="11"/>
        <v>43.055923132737931</v>
      </c>
      <c r="K22" s="351"/>
    </row>
    <row r="23" spans="1:12" x14ac:dyDescent="0.25">
      <c r="A23" t="str">
        <f>$A$10</f>
        <v>Trade, accomod. and transport</v>
      </c>
      <c r="B23" s="18">
        <f t="shared" si="8"/>
        <v>29.161408491935685</v>
      </c>
      <c r="C23" s="18">
        <f t="shared" si="8"/>
        <v>28.770166944155196</v>
      </c>
      <c r="D23" s="18">
        <f t="shared" si="8"/>
        <v>29.166817817224683</v>
      </c>
      <c r="E23" s="18">
        <f t="shared" si="8"/>
        <v>29.522088922476236</v>
      </c>
      <c r="F23" s="18">
        <f t="shared" si="8"/>
        <v>29.879833851907513</v>
      </c>
      <c r="G23" s="351"/>
      <c r="H23" s="40">
        <f t="shared" si="9"/>
        <v>7.7609795196375826</v>
      </c>
      <c r="I23" s="40">
        <f t="shared" si="10"/>
        <v>49.90491277024028</v>
      </c>
      <c r="J23" s="40">
        <f t="shared" si="11"/>
        <v>57.66589228987786</v>
      </c>
      <c r="K23" s="351"/>
      <c r="L23" s="11"/>
    </row>
    <row r="24" spans="1:12" x14ac:dyDescent="0.25">
      <c r="A24" t="str">
        <f>$A$11</f>
        <v>Business and other services</v>
      </c>
      <c r="B24" s="18">
        <f t="shared" si="8"/>
        <v>24.397996684877445</v>
      </c>
      <c r="C24" s="18">
        <f t="shared" si="8"/>
        <v>22.283014760820599</v>
      </c>
      <c r="D24" s="18">
        <f t="shared" si="8"/>
        <v>22.454523835435321</v>
      </c>
      <c r="E24" s="18">
        <f t="shared" si="8"/>
        <v>22.295563322627373</v>
      </c>
      <c r="F24" s="18">
        <f t="shared" si="8"/>
        <v>22.590929295096785</v>
      </c>
      <c r="G24" s="351"/>
      <c r="H24" s="40">
        <f t="shared" si="9"/>
        <v>5.8285016783643604</v>
      </c>
      <c r="I24" s="40">
        <f t="shared" si="10"/>
        <v>48.777387833498899</v>
      </c>
      <c r="J24" s="40">
        <f t="shared" si="11"/>
        <v>54.605889511863261</v>
      </c>
      <c r="K24" s="351"/>
      <c r="L24" s="11"/>
    </row>
    <row r="25" spans="1:12" x14ac:dyDescent="0.25">
      <c r="A25" t="str">
        <f>$A$12</f>
        <v>Non-marketed services</v>
      </c>
      <c r="B25" s="18">
        <f t="shared" si="8"/>
        <v>24.068264624319113</v>
      </c>
      <c r="C25" s="18">
        <f t="shared" si="8"/>
        <v>26.020971464766813</v>
      </c>
      <c r="D25" s="18">
        <f t="shared" si="8"/>
        <v>26.625473101246715</v>
      </c>
      <c r="E25" s="18">
        <f t="shared" si="8"/>
        <v>27.226801120977377</v>
      </c>
      <c r="F25" s="18">
        <f t="shared" si="8"/>
        <v>28.085771653663983</v>
      </c>
      <c r="G25" s="351"/>
      <c r="H25" s="40">
        <f t="shared" si="9"/>
        <v>10.95871747127463</v>
      </c>
      <c r="I25" s="40">
        <f t="shared" si="10"/>
        <v>56.79437260883784</v>
      </c>
      <c r="J25" s="40">
        <f t="shared" si="11"/>
        <v>67.753090080112472</v>
      </c>
      <c r="K25" s="351"/>
      <c r="L25" s="11"/>
    </row>
    <row r="26" spans="1:12" x14ac:dyDescent="0.25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5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5.1895024929765068</v>
      </c>
      <c r="I27" s="43">
        <f>IF(D14&gt;0,(I14/D14)*100,0)</f>
        <v>49.57740978217155</v>
      </c>
      <c r="J27" s="43">
        <f t="shared" si="11"/>
        <v>54.766912275148051</v>
      </c>
      <c r="K27" s="351"/>
      <c r="L27" s="11"/>
    </row>
    <row r="28" spans="1:12" x14ac:dyDescent="0.25">
      <c r="B28" s="18"/>
      <c r="C28" s="18"/>
      <c r="D28" s="18"/>
      <c r="E28" s="18"/>
      <c r="F28" s="18"/>
    </row>
    <row r="29" spans="1:12" ht="13" x14ac:dyDescent="0.3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5" x14ac:dyDescent="0.35">
      <c r="A31" s="194" t="str">
        <f>CONCATENATE(A1," (Continued)")</f>
        <v>Industry Table 1  Employment by Industry Sector (SIC 2007), 2015-2035, Black Country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5">
      <c r="G32" s="18"/>
      <c r="H32" s="18"/>
      <c r="I32" s="18"/>
      <c r="J32" s="18"/>
      <c r="K32" s="18"/>
    </row>
    <row r="33" spans="1:11" ht="13" x14ac:dyDescent="0.3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5">
      <c r="A34" t="str">
        <f>$A$7</f>
        <v>Primary sector and utilities</v>
      </c>
      <c r="B34" s="18">
        <f t="shared" ref="B34:E39" si="12">IF(C$5-B$5 &lt;&gt; 0,(EXP(LN(C7/B7)/(C$5-B$5))-1)*100,0)</f>
        <v>-9.4003199917863434</v>
      </c>
      <c r="C34" s="18">
        <f t="shared" si="12"/>
        <v>-17.575473905920802</v>
      </c>
      <c r="D34" s="18">
        <f t="shared" si="12"/>
        <v>0.13026777305009674</v>
      </c>
      <c r="E34" s="18">
        <f t="shared" si="12"/>
        <v>7.5903822684342259E-2</v>
      </c>
      <c r="F34" s="18">
        <f t="shared" ref="F34:F39" si="13">IF(F$5-D$5 &lt;&gt; 0,(EXP(LN(F7/D7)/(F$5-D$5))-1)*100,0)</f>
        <v>9.402185913227612E-2</v>
      </c>
      <c r="G34" s="18"/>
      <c r="H34" s="18"/>
      <c r="I34" s="18"/>
      <c r="J34" s="18"/>
      <c r="K34" s="18"/>
    </row>
    <row r="35" spans="1:11" x14ac:dyDescent="0.25">
      <c r="A35" t="str">
        <f>$A$8</f>
        <v>Manufacturing</v>
      </c>
      <c r="B35" s="18">
        <f t="shared" si="12"/>
        <v>0.22716285343247211</v>
      </c>
      <c r="C35" s="18">
        <f t="shared" si="12"/>
        <v>-7.8025546655118845</v>
      </c>
      <c r="D35" s="18">
        <f t="shared" si="12"/>
        <v>-0.43967326985793198</v>
      </c>
      <c r="E35" s="18">
        <f t="shared" si="12"/>
        <v>-0.93400042837514796</v>
      </c>
      <c r="F35" s="18">
        <f t="shared" si="13"/>
        <v>-0.76949802181702776</v>
      </c>
      <c r="G35" s="18"/>
      <c r="H35" s="18"/>
      <c r="I35" s="18"/>
      <c r="J35" s="18"/>
      <c r="K35" s="18"/>
    </row>
    <row r="36" spans="1:11" x14ac:dyDescent="0.25">
      <c r="A36" t="str">
        <f>$A$9</f>
        <v>Construction</v>
      </c>
      <c r="B36" s="18">
        <f t="shared" si="12"/>
        <v>5.3160029551780896</v>
      </c>
      <c r="C36" s="18">
        <f t="shared" si="12"/>
        <v>-5.2719129878435407</v>
      </c>
      <c r="D36" s="18">
        <f t="shared" si="12"/>
        <v>-6.0047756904835214E-2</v>
      </c>
      <c r="E36" s="18">
        <f t="shared" si="12"/>
        <v>0.14697554040972172</v>
      </c>
      <c r="F36" s="18">
        <f t="shared" si="13"/>
        <v>7.7920169124201522E-2</v>
      </c>
      <c r="G36" s="18"/>
      <c r="H36" s="18"/>
      <c r="I36" s="18"/>
      <c r="J36" s="18"/>
      <c r="K36" s="18"/>
    </row>
    <row r="37" spans="1:11" x14ac:dyDescent="0.25">
      <c r="A37" t="str">
        <f>$A$10</f>
        <v>Trade, accomod. and transport</v>
      </c>
      <c r="B37" s="18">
        <f t="shared" si="12"/>
        <v>-0.1224871041336506</v>
      </c>
      <c r="C37" s="18">
        <f t="shared" si="12"/>
        <v>-1.3523461569922568</v>
      </c>
      <c r="D37" s="18">
        <f>IF(E$5-D$5 &lt;&gt; 0,(EXP(LN(E10/D10)/(E$5-D$5))-1)*100,0)</f>
        <v>0.7200495444993793</v>
      </c>
      <c r="E37" s="18">
        <f t="shared" si="12"/>
        <v>0.38947607086932123</v>
      </c>
      <c r="F37" s="18">
        <f t="shared" si="13"/>
        <v>0.49954649968433351</v>
      </c>
      <c r="G37" s="18"/>
      <c r="H37" s="18"/>
      <c r="I37" s="18"/>
      <c r="J37" s="18"/>
      <c r="K37" s="18"/>
    </row>
    <row r="38" spans="1:11" x14ac:dyDescent="0.25">
      <c r="A38" t="str">
        <f>$A$11</f>
        <v>Business and other services</v>
      </c>
      <c r="B38" s="18">
        <f t="shared" si="12"/>
        <v>-2.0308832035628166</v>
      </c>
      <c r="C38" s="18">
        <f t="shared" si="12"/>
        <v>-1.9449431478158252</v>
      </c>
      <c r="D38" s="18">
        <f t="shared" si="12"/>
        <v>0.33379603338987707</v>
      </c>
      <c r="E38" s="18">
        <f t="shared" si="12"/>
        <v>0.40067738054005986</v>
      </c>
      <c r="F38" s="18">
        <f t="shared" si="13"/>
        <v>0.37837864603122995</v>
      </c>
      <c r="G38" s="18"/>
      <c r="H38" s="18"/>
      <c r="I38" s="18"/>
      <c r="J38" s="18"/>
      <c r="K38" s="18"/>
    </row>
    <row r="39" spans="1:11" x14ac:dyDescent="0.25">
      <c r="A39" t="str">
        <f>$A$12</f>
        <v>Non-marketed services</v>
      </c>
      <c r="B39" s="18">
        <f t="shared" si="12"/>
        <v>2.1889484105769075</v>
      </c>
      <c r="C39" s="18">
        <f t="shared" si="12"/>
        <v>-0.4333441355349188</v>
      </c>
      <c r="D39" s="18">
        <f t="shared" si="12"/>
        <v>0.92626019532742188</v>
      </c>
      <c r="E39" s="18">
        <f t="shared" si="12"/>
        <v>0.58056071780010488</v>
      </c>
      <c r="F39" s="18">
        <f t="shared" si="13"/>
        <v>0.69566210813678531</v>
      </c>
    </row>
    <row r="40" spans="1:11" ht="13" x14ac:dyDescent="0.3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5">
      <c r="A41" t="str">
        <f>$A$14</f>
        <v>All industries</v>
      </c>
      <c r="B41" s="18">
        <f>IF(C$5-B$5 &lt;&gt; 0,(EXP(LN(C14/B14)/(C$5-B$5))-1)*100,0)</f>
        <v>0.21535006256829803</v>
      </c>
      <c r="C41" s="18">
        <f>IF(D$5-C$5 &lt;&gt; 0,(EXP(LN(D14/C14)/(D$5-C$5))-1)*100,0)</f>
        <v>-2.693893879760223</v>
      </c>
      <c r="D41" s="18">
        <f>IF(E$5-D$5 &lt;&gt; 0,(EXP(LN(E14/D14)/(E$5-D$5))-1)*100,0)</f>
        <v>0.47645957719999465</v>
      </c>
      <c r="E41" s="18">
        <f>IF(F$5-E$5 &lt;&gt; 0,(EXP(LN(F14/E14)/(F$5-E$5))-1)*100,0)</f>
        <v>0.26862934467044575</v>
      </c>
      <c r="F41" s="18">
        <f>IF(F$5-D$5 &lt;&gt; 0,(EXP(LN(F14/D14)/(F$5-D$5))-1)*100,0)</f>
        <v>0.33785827979151417</v>
      </c>
      <c r="G41" s="27"/>
      <c r="H41" s="27"/>
      <c r="I41" s="27"/>
      <c r="J41" s="27"/>
      <c r="K41" s="27"/>
    </row>
    <row r="42" spans="1:11" x14ac:dyDescent="0.25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5">
      <c r="G43" s="27"/>
      <c r="H43" s="27"/>
      <c r="I43" s="27"/>
      <c r="J43" s="27"/>
      <c r="K43" s="27"/>
    </row>
    <row r="44" spans="1:11" ht="13" x14ac:dyDescent="0.3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5">
      <c r="A45" t="str">
        <f>$A$7</f>
        <v>Primary sector and utilities</v>
      </c>
      <c r="B45" s="27">
        <f>C7-B7</f>
        <v>-4.1379999999999821</v>
      </c>
      <c r="C45" s="27">
        <f>D7-C7</f>
        <v>-1.5019999999999918</v>
      </c>
      <c r="D45" s="27">
        <f>E7-D7</f>
        <v>4.5999999999993157E-2</v>
      </c>
      <c r="E45" s="27">
        <f>F7-E7</f>
        <v>5.3999999999993165E-2</v>
      </c>
      <c r="F45" s="27">
        <f>F7-D7</f>
        <v>9.9999999999986322E-2</v>
      </c>
      <c r="G45" s="27"/>
      <c r="H45" s="27"/>
      <c r="I45" s="27"/>
      <c r="J45" s="27"/>
      <c r="K45" s="27"/>
    </row>
    <row r="46" spans="1:11" x14ac:dyDescent="0.25">
      <c r="A46" t="str">
        <f>$A$8</f>
        <v>Manufacturing</v>
      </c>
      <c r="B46" s="27">
        <f t="shared" ref="B46:E52" si="14">C8-B8</f>
        <v>0.62600000000004741</v>
      </c>
      <c r="C46" s="27">
        <f>D8-C8</f>
        <v>-5.4059999999999064</v>
      </c>
      <c r="D46" s="27">
        <f t="shared" si="14"/>
        <v>-1.3920000000001664</v>
      </c>
      <c r="E46" s="27">
        <f t="shared" si="14"/>
        <v>-5.5969999999999231</v>
      </c>
      <c r="F46" s="27">
        <f t="shared" ref="F46:F52" si="15">F8-D8</f>
        <v>-6.9890000000000896</v>
      </c>
      <c r="G46" s="27"/>
      <c r="H46" s="27"/>
      <c r="I46" s="27"/>
      <c r="J46" s="27"/>
      <c r="K46" s="27"/>
    </row>
    <row r="47" spans="1:11" x14ac:dyDescent="0.25">
      <c r="A47" t="str">
        <f>$A$9</f>
        <v>Construction</v>
      </c>
      <c r="B47" s="27">
        <f t="shared" si="14"/>
        <v>7.3119999999999408</v>
      </c>
      <c r="C47" s="27">
        <f t="shared" ref="C47:C50" si="16">D9-C9</f>
        <v>-2.0599999999998602</v>
      </c>
      <c r="D47" s="27">
        <f t="shared" si="14"/>
        <v>-0.11099999999999</v>
      </c>
      <c r="E47" s="27">
        <f t="shared" si="14"/>
        <v>0.54599999999987858</v>
      </c>
      <c r="F47" s="27">
        <f t="shared" si="15"/>
        <v>0.43499999999988859</v>
      </c>
      <c r="G47" s="27"/>
      <c r="H47" s="27"/>
      <c r="I47" s="27"/>
      <c r="J47" s="27"/>
      <c r="K47" s="27"/>
    </row>
    <row r="48" spans="1:11" x14ac:dyDescent="0.25">
      <c r="A48" t="str">
        <f>$A$10</f>
        <v>Trade, accomod. and transport</v>
      </c>
      <c r="B48" s="27">
        <f t="shared" si="14"/>
        <v>-0.72099999999983311</v>
      </c>
      <c r="C48" s="27">
        <f t="shared" si="16"/>
        <v>-1.9840000000002078</v>
      </c>
      <c r="D48" s="27">
        <f t="shared" si="14"/>
        <v>5.2860000000001151</v>
      </c>
      <c r="E48" s="27">
        <f t="shared" si="14"/>
        <v>5.9460000000001685</v>
      </c>
      <c r="F48" s="27">
        <f t="shared" si="15"/>
        <v>11.232000000000284</v>
      </c>
      <c r="G48" s="27"/>
      <c r="H48" s="27"/>
      <c r="I48" s="27"/>
      <c r="J48" s="27"/>
      <c r="K48" s="27"/>
    </row>
    <row r="49" spans="1:6" x14ac:dyDescent="0.25">
      <c r="A49" t="str">
        <f>$A$11</f>
        <v>Business and other services</v>
      </c>
      <c r="B49" s="27">
        <f t="shared" si="14"/>
        <v>-9.7189999999999941</v>
      </c>
      <c r="C49" s="27">
        <f t="shared" si="16"/>
        <v>-2.2100000000001643</v>
      </c>
      <c r="D49" s="27">
        <f t="shared" si="14"/>
        <v>1.8719999999999999</v>
      </c>
      <c r="E49" s="27">
        <f t="shared" si="14"/>
        <v>4.6219999999999999</v>
      </c>
      <c r="F49" s="27">
        <f t="shared" si="15"/>
        <v>6.4939999999999998</v>
      </c>
    </row>
    <row r="50" spans="1:6" x14ac:dyDescent="0.25">
      <c r="A50" t="str">
        <f>$A$12</f>
        <v>Non-marketed services</v>
      </c>
      <c r="B50" s="27">
        <f t="shared" si="14"/>
        <v>11.008999999999872</v>
      </c>
      <c r="C50" s="27">
        <f t="shared" si="16"/>
        <v>-0.57499999999993179</v>
      </c>
      <c r="D50" s="27">
        <f t="shared" si="14"/>
        <v>6.2329999999997199</v>
      </c>
      <c r="E50" s="27">
        <f t="shared" si="14"/>
        <v>8.2450000000000614</v>
      </c>
      <c r="F50" s="27">
        <f t="shared" si="15"/>
        <v>14.477999999999781</v>
      </c>
    </row>
    <row r="51" spans="1:6" x14ac:dyDescent="0.25">
      <c r="B51" s="27"/>
      <c r="C51" s="27"/>
      <c r="D51" s="27"/>
      <c r="E51" s="27"/>
      <c r="F51" s="27"/>
    </row>
    <row r="52" spans="1:6" x14ac:dyDescent="0.25">
      <c r="A52" s="24" t="str">
        <f>$A$14</f>
        <v>All industries</v>
      </c>
      <c r="B52" s="29">
        <f>C14-B14</f>
        <v>4.369000000000085</v>
      </c>
      <c r="C52" s="29">
        <f>D14-C14</f>
        <v>-13.73700000000008</v>
      </c>
      <c r="D52" s="29">
        <f t="shared" si="14"/>
        <v>11.933999999999685</v>
      </c>
      <c r="E52" s="29">
        <f t="shared" si="14"/>
        <v>13.816000000000258</v>
      </c>
      <c r="F52" s="29">
        <f t="shared" si="15"/>
        <v>25.749999999999943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topLeftCell="A86" zoomScale="85" zoomScaleNormal="85" workbookViewId="0">
      <selection activeCell="B28" sqref="B28"/>
    </sheetView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9" t="str">
        <f>CONCATENATE("Industry Table 2  Employment by Industry Group (SIC 2007), ",B$3,"-",F$3,", ",Info!B5)</f>
        <v>Industry Table 2  Employment by Industry Group (SIC 2007), 2015-2035, Black Country</v>
      </c>
    </row>
    <row r="2" spans="1:7" ht="13" x14ac:dyDescent="0.3">
      <c r="A2" s="1" t="s">
        <v>518</v>
      </c>
    </row>
    <row r="3" spans="1:7" ht="13" x14ac:dyDescent="0.3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ht="13" x14ac:dyDescent="0.3">
      <c r="A4" s="1" t="s">
        <v>13</v>
      </c>
    </row>
    <row r="5" spans="1:7" x14ac:dyDescent="0.25">
      <c r="A5" s="10" t="str">
        <f>name!B4</f>
        <v>Agriculture</v>
      </c>
      <c r="B5" s="11">
        <v>2.9649999999999994</v>
      </c>
      <c r="C5" s="11">
        <v>2.2860000000000018</v>
      </c>
      <c r="D5" s="11">
        <v>1.1150000000000002</v>
      </c>
      <c r="E5" s="11">
        <v>1.2120000000000011</v>
      </c>
      <c r="F5" s="11">
        <v>1.2149999999999985</v>
      </c>
      <c r="G5" s="10"/>
    </row>
    <row r="6" spans="1:7" x14ac:dyDescent="0.25">
      <c r="A6" s="10" t="str">
        <f>name!B5</f>
        <v>Mining and quarrying</v>
      </c>
      <c r="B6" s="11">
        <v>0.16200000000000017</v>
      </c>
      <c r="C6" s="11">
        <v>0.14499999999999999</v>
      </c>
      <c r="D6" s="11">
        <v>0.1549999999999995</v>
      </c>
      <c r="E6" s="11">
        <v>0.10899999999999994</v>
      </c>
      <c r="F6" s="11">
        <v>6.2999999999999987E-2</v>
      </c>
    </row>
    <row r="7" spans="1:7" x14ac:dyDescent="0.25">
      <c r="A7" s="10" t="str">
        <f>name!B6</f>
        <v>Food drink and tobacco</v>
      </c>
      <c r="B7" s="11">
        <v>7.0119999999999862</v>
      </c>
      <c r="C7" s="11">
        <v>6.3419999999999943</v>
      </c>
      <c r="D7" s="11">
        <v>6.2970000000000024</v>
      </c>
      <c r="E7" s="11">
        <v>6.3359999999999932</v>
      </c>
      <c r="F7" s="11">
        <v>6.1889999999999938</v>
      </c>
      <c r="G7" s="11"/>
    </row>
    <row r="8" spans="1:7" x14ac:dyDescent="0.25">
      <c r="A8" s="10" t="str">
        <f>name!B7</f>
        <v>Engineering</v>
      </c>
      <c r="B8" s="11">
        <v>6.9600000000000088</v>
      </c>
      <c r="C8" s="11">
        <v>8.1669999999999945</v>
      </c>
      <c r="D8" s="11">
        <v>7.4150000000000249</v>
      </c>
      <c r="E8" s="11">
        <v>7.8680000000000039</v>
      </c>
      <c r="F8" s="11">
        <v>7.0909999999999744</v>
      </c>
      <c r="G8" s="11"/>
    </row>
    <row r="9" spans="1:7" x14ac:dyDescent="0.25">
      <c r="A9" s="10" t="str">
        <f>name!B8</f>
        <v>Rest of manufacturing</v>
      </c>
      <c r="B9" s="11">
        <v>54.686999999999884</v>
      </c>
      <c r="C9" s="11">
        <v>54.775999999999939</v>
      </c>
      <c r="D9" s="11">
        <v>50.166999999999987</v>
      </c>
      <c r="E9" s="11">
        <v>48.282999999999852</v>
      </c>
      <c r="F9" s="11">
        <v>43.609999999999964</v>
      </c>
      <c r="G9" s="11"/>
    </row>
    <row r="10" spans="1:7" x14ac:dyDescent="0.25">
      <c r="A10" s="10" t="str">
        <f>name!B9</f>
        <v>Electricity and gas</v>
      </c>
      <c r="B10" s="11">
        <v>5.225000000000005</v>
      </c>
      <c r="C10" s="11">
        <v>1.7090000000000003</v>
      </c>
      <c r="D10" s="11">
        <v>1.9710000000000003</v>
      </c>
      <c r="E10" s="11">
        <v>1.8560000000000028</v>
      </c>
      <c r="F10" s="11">
        <v>1.8179999999999998</v>
      </c>
      <c r="G10" s="11"/>
    </row>
    <row r="11" spans="1:7" x14ac:dyDescent="0.25">
      <c r="A11" s="10" t="str">
        <f>name!B10</f>
        <v>Water and sewerage</v>
      </c>
      <c r="B11" s="11">
        <v>4.3319999999999794</v>
      </c>
      <c r="C11" s="11">
        <v>4.4059999999999988</v>
      </c>
      <c r="D11" s="11">
        <v>3.8030000000000097</v>
      </c>
      <c r="E11" s="11">
        <v>3.9129999999999985</v>
      </c>
      <c r="F11" s="11">
        <v>4.0479999999999974</v>
      </c>
      <c r="G11" s="11"/>
    </row>
    <row r="12" spans="1:7" x14ac:dyDescent="0.25">
      <c r="A12" s="10" t="str">
        <f>name!B11</f>
        <v>Construction</v>
      </c>
      <c r="B12" s="11">
        <v>31.762999999999963</v>
      </c>
      <c r="C12" s="11">
        <v>39.074999999999903</v>
      </c>
      <c r="D12" s="11">
        <v>37.015000000000043</v>
      </c>
      <c r="E12" s="11">
        <v>36.904000000000053</v>
      </c>
      <c r="F12" s="11">
        <v>37.449999999999932</v>
      </c>
      <c r="G12" s="11"/>
    </row>
    <row r="13" spans="1:7" x14ac:dyDescent="0.25">
      <c r="A13" s="10" t="str">
        <f>name!B12</f>
        <v>Wholesale and retail trade</v>
      </c>
      <c r="B13" s="11">
        <v>92.065999999999917</v>
      </c>
      <c r="C13" s="11">
        <v>88.560000000000031</v>
      </c>
      <c r="D13" s="11">
        <v>87.073999999999927</v>
      </c>
      <c r="E13" s="11">
        <v>87.878999999999934</v>
      </c>
      <c r="F13" s="11">
        <v>88.843000000000146</v>
      </c>
      <c r="G13" s="11"/>
    </row>
    <row r="14" spans="1:7" x14ac:dyDescent="0.25">
      <c r="A14" s="10" t="str">
        <f>name!B13</f>
        <v>Transport and storage</v>
      </c>
      <c r="B14" s="11">
        <v>33.457000000000008</v>
      </c>
      <c r="C14" s="11">
        <v>34.173000000000066</v>
      </c>
      <c r="D14" s="11">
        <v>32.947999999999908</v>
      </c>
      <c r="E14" s="11">
        <v>35.964000000000034</v>
      </c>
      <c r="F14" s="11">
        <v>37.760999999999989</v>
      </c>
      <c r="G14" s="11"/>
    </row>
    <row r="15" spans="1:7" x14ac:dyDescent="0.25">
      <c r="A15" s="10" t="str">
        <f>name!B14</f>
        <v>Accommodation and food</v>
      </c>
      <c r="B15" s="11">
        <v>21.905999999999974</v>
      </c>
      <c r="C15" s="11">
        <v>23.974999999999959</v>
      </c>
      <c r="D15" s="11">
        <v>24.702000000000005</v>
      </c>
      <c r="E15" s="11">
        <v>26.167000000000009</v>
      </c>
      <c r="F15" s="11">
        <v>29.35199999999999</v>
      </c>
      <c r="G15" s="11"/>
    </row>
    <row r="16" spans="1:7" x14ac:dyDescent="0.25">
      <c r="A16" s="10" t="str">
        <f>name!B15</f>
        <v>Media</v>
      </c>
      <c r="B16" s="11">
        <v>1.7079999999999993</v>
      </c>
      <c r="C16" s="11">
        <v>1.8249999999999975</v>
      </c>
      <c r="D16" s="11">
        <v>2.1100000000000025</v>
      </c>
      <c r="E16" s="11">
        <v>2.077999999999999</v>
      </c>
      <c r="F16" s="11">
        <v>2.1059999999999963</v>
      </c>
      <c r="G16" s="11"/>
    </row>
    <row r="17" spans="1:7" x14ac:dyDescent="0.25">
      <c r="A17" s="10" t="str">
        <f>name!B16</f>
        <v>Information technology</v>
      </c>
      <c r="B17" s="11">
        <v>6.5380000000000287</v>
      </c>
      <c r="C17" s="11">
        <v>6.3940000000000188</v>
      </c>
      <c r="D17" s="11">
        <v>6.8729999999999754</v>
      </c>
      <c r="E17" s="11">
        <v>7.1500000000000048</v>
      </c>
      <c r="F17" s="11">
        <v>7.39</v>
      </c>
      <c r="G17" s="11"/>
    </row>
    <row r="18" spans="1:7" x14ac:dyDescent="0.25">
      <c r="A18" s="10" t="str">
        <f>name!B17</f>
        <v>Finance and insurance</v>
      </c>
      <c r="B18" s="11">
        <v>10.219000000000026</v>
      </c>
      <c r="C18" s="11">
        <v>10.284000000000022</v>
      </c>
      <c r="D18" s="11">
        <v>10.441000000000015</v>
      </c>
      <c r="E18" s="11">
        <v>10.454000000000013</v>
      </c>
      <c r="F18" s="11">
        <v>10.053999999999988</v>
      </c>
      <c r="G18" s="11"/>
    </row>
    <row r="19" spans="1:7" x14ac:dyDescent="0.25">
      <c r="A19" s="10" t="str">
        <f>name!B18</f>
        <v>Real estate</v>
      </c>
      <c r="B19" s="11">
        <v>7.7229999999999945</v>
      </c>
      <c r="C19" s="11">
        <v>10.185</v>
      </c>
      <c r="D19" s="11">
        <v>10.239999999999995</v>
      </c>
      <c r="E19" s="11">
        <v>10.307999999999987</v>
      </c>
      <c r="F19" s="11">
        <v>11.23800000000001</v>
      </c>
      <c r="G19" s="11"/>
    </row>
    <row r="20" spans="1:7" x14ac:dyDescent="0.25">
      <c r="A20" s="10" t="str">
        <f>name!B19</f>
        <v>Professional services</v>
      </c>
      <c r="B20" s="11">
        <v>28.591999999999977</v>
      </c>
      <c r="C20" s="11">
        <v>24.794000000000015</v>
      </c>
      <c r="D20" s="11">
        <v>24.729000000000006</v>
      </c>
      <c r="E20" s="11">
        <v>25.55599999999999</v>
      </c>
      <c r="F20" s="11">
        <v>26.89300000000004</v>
      </c>
      <c r="G20" s="11"/>
    </row>
    <row r="21" spans="1:7" x14ac:dyDescent="0.25">
      <c r="A21" s="10" t="str">
        <f>name!B20</f>
        <v>Support services</v>
      </c>
      <c r="B21" s="11">
        <v>40.241000000000078</v>
      </c>
      <c r="C21" s="11">
        <v>34.294000000000032</v>
      </c>
      <c r="D21" s="11">
        <v>32.167999999999957</v>
      </c>
      <c r="E21" s="11">
        <v>33.85499999999994</v>
      </c>
      <c r="F21" s="11">
        <v>35.682999999999936</v>
      </c>
      <c r="G21" s="11"/>
    </row>
    <row r="22" spans="1:7" x14ac:dyDescent="0.25">
      <c r="A22" s="10" t="str">
        <f>name!B21</f>
        <v>Public admin. and defence</v>
      </c>
      <c r="B22" s="11">
        <v>16.002999999999975</v>
      </c>
      <c r="C22" s="11">
        <v>15.454000000000015</v>
      </c>
      <c r="D22" s="11">
        <v>15.280999999999995</v>
      </c>
      <c r="E22" s="11">
        <v>15.554000000000007</v>
      </c>
      <c r="F22" s="11">
        <v>16.225000000000005</v>
      </c>
      <c r="G22" s="11"/>
    </row>
    <row r="23" spans="1:7" x14ac:dyDescent="0.25">
      <c r="A23" s="10" t="str">
        <f>name!B22</f>
        <v>Education</v>
      </c>
      <c r="B23" s="11">
        <v>44.810000000000109</v>
      </c>
      <c r="C23" s="11">
        <v>44.405000000000044</v>
      </c>
      <c r="D23" s="11">
        <v>45.06299999999996</v>
      </c>
      <c r="E23" s="11">
        <v>46.277999999999956</v>
      </c>
      <c r="F23" s="11">
        <v>49.163999999999859</v>
      </c>
      <c r="G23" s="11"/>
    </row>
    <row r="24" spans="1:7" x14ac:dyDescent="0.25">
      <c r="A24" s="10" t="str">
        <f>name!B23</f>
        <v>Health and social work</v>
      </c>
      <c r="B24" s="11">
        <v>60.867000000000111</v>
      </c>
      <c r="C24" s="11">
        <v>72.830000000000013</v>
      </c>
      <c r="D24" s="11">
        <v>71.770000000000209</v>
      </c>
      <c r="E24" s="11">
        <v>76.514999999999901</v>
      </c>
      <c r="F24" s="11">
        <v>81.203000000000074</v>
      </c>
      <c r="G24" s="11"/>
    </row>
    <row r="25" spans="1:7" x14ac:dyDescent="0.25">
      <c r="A25" s="10" t="str">
        <f>name!B24</f>
        <v>Arts and entertainment</v>
      </c>
      <c r="B25" s="11">
        <v>11.902000000000019</v>
      </c>
      <c r="C25" s="11">
        <v>12.170000000000009</v>
      </c>
      <c r="D25" s="11">
        <v>11.910000000000011</v>
      </c>
      <c r="E25" s="11">
        <v>11.285000000000005</v>
      </c>
      <c r="F25" s="11">
        <v>11.952999999999994</v>
      </c>
      <c r="G25" s="11"/>
    </row>
    <row r="26" spans="1:7" x14ac:dyDescent="0.25">
      <c r="A26" s="10" t="str">
        <f>name!B25</f>
        <v>Other services</v>
      </c>
      <c r="B26" s="11">
        <v>16.423999999999992</v>
      </c>
      <c r="C26" s="11">
        <v>13.682000000000006</v>
      </c>
      <c r="D26" s="11">
        <v>12.946999999999987</v>
      </c>
      <c r="E26" s="11">
        <v>12.604000000000017</v>
      </c>
      <c r="F26" s="11">
        <v>12.594999999999988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505.56200000000013</v>
      </c>
      <c r="C28" s="11">
        <f t="shared" ref="C28:F28" si="0">SUM(C5:C26)</f>
        <v>509.9310000000001</v>
      </c>
      <c r="D28" s="11">
        <f t="shared" si="0"/>
        <v>496.19400000000013</v>
      </c>
      <c r="E28" s="11">
        <f t="shared" si="0"/>
        <v>508.12799999999976</v>
      </c>
      <c r="F28" s="11">
        <f t="shared" si="0"/>
        <v>521.94399999999985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18">
        <f>B5/B$28*100</f>
        <v>0.58647604052519742</v>
      </c>
      <c r="C32" s="18">
        <f t="shared" ref="C32:E32" si="1">C5/C$28*100</f>
        <v>0.44829594592209565</v>
      </c>
      <c r="D32" s="18">
        <f t="shared" si="1"/>
        <v>0.224710496297819</v>
      </c>
      <c r="E32" s="18">
        <f t="shared" si="1"/>
        <v>0.23852257698847565</v>
      </c>
      <c r="F32" s="18">
        <f>F5/F$28*100</f>
        <v>0.23278359364222959</v>
      </c>
    </row>
    <row r="33" spans="1:6" x14ac:dyDescent="0.25">
      <c r="A33" t="str">
        <f>$A$6</f>
        <v>Mining and quarrying</v>
      </c>
      <c r="B33" s="18">
        <f t="shared" ref="B33:F53" si="2">B6/B$28*100</f>
        <v>3.204354757675619E-2</v>
      </c>
      <c r="C33" s="18">
        <f t="shared" si="2"/>
        <v>2.8435219666974546E-2</v>
      </c>
      <c r="D33" s="18">
        <f t="shared" si="2"/>
        <v>3.123778199655769E-2</v>
      </c>
      <c r="E33" s="18">
        <f t="shared" si="2"/>
        <v>2.1451287864475092E-2</v>
      </c>
      <c r="F33" s="18">
        <f t="shared" si="2"/>
        <v>1.2070260411078585E-2</v>
      </c>
    </row>
    <row r="34" spans="1:6" x14ac:dyDescent="0.25">
      <c r="A34" t="str">
        <f>$A$7</f>
        <v>Food drink and tobacco</v>
      </c>
      <c r="B34" s="18">
        <f t="shared" si="2"/>
        <v>1.3869713309148994</v>
      </c>
      <c r="C34" s="18">
        <f t="shared" si="2"/>
        <v>1.2436976767444994</v>
      </c>
      <c r="D34" s="18">
        <f t="shared" si="2"/>
        <v>1.2690600853698353</v>
      </c>
      <c r="E34" s="18">
        <f t="shared" si="2"/>
        <v>1.2469299074249001</v>
      </c>
      <c r="F34" s="18">
        <f t="shared" si="2"/>
        <v>1.1857593918121476</v>
      </c>
    </row>
    <row r="35" spans="1:6" x14ac:dyDescent="0.25">
      <c r="A35" t="str">
        <f>$A$8</f>
        <v>Engineering</v>
      </c>
      <c r="B35" s="18">
        <f t="shared" si="2"/>
        <v>1.3766857477421182</v>
      </c>
      <c r="C35" s="18">
        <f t="shared" si="2"/>
        <v>1.6015892346219376</v>
      </c>
      <c r="D35" s="18">
        <f t="shared" si="2"/>
        <v>1.4943751838998502</v>
      </c>
      <c r="E35" s="18">
        <f t="shared" si="2"/>
        <v>1.5484287423641301</v>
      </c>
      <c r="F35" s="18">
        <f t="shared" si="2"/>
        <v>1.3585748662691739</v>
      </c>
    </row>
    <row r="36" spans="1:6" x14ac:dyDescent="0.25">
      <c r="A36" t="str">
        <f>$A$9</f>
        <v>Rest of manufacturing</v>
      </c>
      <c r="B36" s="18">
        <f t="shared" si="2"/>
        <v>10.817070903271976</v>
      </c>
      <c r="C36" s="18">
        <f t="shared" si="2"/>
        <v>10.741845465366868</v>
      </c>
      <c r="D36" s="18">
        <f t="shared" si="2"/>
        <v>10.110360060782671</v>
      </c>
      <c r="E36" s="18">
        <f t="shared" si="2"/>
        <v>9.5021333207380572</v>
      </c>
      <c r="F36" s="18">
        <f t="shared" si="2"/>
        <v>8.3553024845577273</v>
      </c>
    </row>
    <row r="37" spans="1:6" x14ac:dyDescent="0.25">
      <c r="A37" t="str">
        <f>$A$10</f>
        <v>Electricity and gas</v>
      </c>
      <c r="B37" s="18">
        <f t="shared" si="2"/>
        <v>1.033503309188587</v>
      </c>
      <c r="C37" s="18">
        <f t="shared" si="2"/>
        <v>0.33514338214385869</v>
      </c>
      <c r="D37" s="18">
        <f t="shared" si="2"/>
        <v>0.39722366654977687</v>
      </c>
      <c r="E37" s="18">
        <f t="shared" si="2"/>
        <v>0.36526229611436561</v>
      </c>
      <c r="F37" s="18">
        <f t="shared" si="2"/>
        <v>0.34831322900541062</v>
      </c>
    </row>
    <row r="38" spans="1:6" x14ac:dyDescent="0.25">
      <c r="A38" t="str">
        <f>$A$11</f>
        <v>Water and sewerage</v>
      </c>
      <c r="B38" s="18">
        <f t="shared" si="2"/>
        <v>0.85686819816362358</v>
      </c>
      <c r="C38" s="18">
        <f t="shared" si="2"/>
        <v>0.86403846794958494</v>
      </c>
      <c r="D38" s="18">
        <f t="shared" si="2"/>
        <v>0.76643409634135207</v>
      </c>
      <c r="E38" s="18">
        <f t="shared" si="2"/>
        <v>0.77008155425404623</v>
      </c>
      <c r="F38" s="18">
        <f t="shared" si="2"/>
        <v>0.77556212927057289</v>
      </c>
    </row>
    <row r="39" spans="1:6" x14ac:dyDescent="0.25">
      <c r="A39" t="str">
        <f>$A$12</f>
        <v>Construction</v>
      </c>
      <c r="B39" s="18">
        <f t="shared" si="2"/>
        <v>6.2827111214845965</v>
      </c>
      <c r="C39" s="18">
        <f t="shared" si="2"/>
        <v>7.6628014378415692</v>
      </c>
      <c r="D39" s="18">
        <f t="shared" si="2"/>
        <v>7.4597838748554066</v>
      </c>
      <c r="E39" s="18">
        <f t="shared" si="2"/>
        <v>7.262736948170553</v>
      </c>
      <c r="F39" s="18">
        <f t="shared" si="2"/>
        <v>7.1750992443633681</v>
      </c>
    </row>
    <row r="40" spans="1:6" x14ac:dyDescent="0.25">
      <c r="A40" t="str">
        <f>$A$13</f>
        <v>Wholesale and retail trade</v>
      </c>
      <c r="B40" s="18">
        <f t="shared" si="2"/>
        <v>18.210625007417466</v>
      </c>
      <c r="C40" s="18">
        <f t="shared" si="2"/>
        <v>17.367055542808735</v>
      </c>
      <c r="D40" s="18">
        <f t="shared" si="2"/>
        <v>17.548378255279165</v>
      </c>
      <c r="E40" s="18">
        <f t="shared" si="2"/>
        <v>17.294658038919323</v>
      </c>
      <c r="F40" s="18">
        <f t="shared" si="2"/>
        <v>17.021557868277089</v>
      </c>
    </row>
    <row r="41" spans="1:6" x14ac:dyDescent="0.25">
      <c r="A41" t="str">
        <f>$A$14</f>
        <v>Transport and storage</v>
      </c>
      <c r="B41" s="18">
        <f t="shared" si="2"/>
        <v>6.6177837733057467</v>
      </c>
      <c r="C41" s="18">
        <f t="shared" si="2"/>
        <v>6.7014949081346415</v>
      </c>
      <c r="D41" s="18">
        <f t="shared" si="2"/>
        <v>6.6401447820811823</v>
      </c>
      <c r="E41" s="18">
        <f t="shared" si="2"/>
        <v>7.0777441904402147</v>
      </c>
      <c r="F41" s="18">
        <f t="shared" si="2"/>
        <v>7.2346841806783875</v>
      </c>
    </row>
    <row r="42" spans="1:6" x14ac:dyDescent="0.25">
      <c r="A42" t="str">
        <f>$A$15</f>
        <v>Accommodation and food</v>
      </c>
      <c r="B42" s="18">
        <f t="shared" si="2"/>
        <v>4.3329997112124659</v>
      </c>
      <c r="C42" s="18">
        <f t="shared" si="2"/>
        <v>4.7016164932118176</v>
      </c>
      <c r="D42" s="18">
        <f t="shared" si="2"/>
        <v>4.9782947798643269</v>
      </c>
      <c r="E42" s="18">
        <f t="shared" si="2"/>
        <v>5.1496866931166991</v>
      </c>
      <c r="F42" s="18">
        <f t="shared" si="2"/>
        <v>5.6235918029520402</v>
      </c>
    </row>
    <row r="43" spans="1:6" x14ac:dyDescent="0.25">
      <c r="A43" t="str">
        <f>$A$16</f>
        <v>Media</v>
      </c>
      <c r="B43" s="18">
        <f t="shared" si="2"/>
        <v>0.33784184729073763</v>
      </c>
      <c r="C43" s="18">
        <f t="shared" si="2"/>
        <v>0.35789155787743776</v>
      </c>
      <c r="D43" s="18">
        <f t="shared" si="2"/>
        <v>0.42523690330798075</v>
      </c>
      <c r="E43" s="18">
        <f t="shared" si="2"/>
        <v>0.40895207506769948</v>
      </c>
      <c r="F43" s="18">
        <f t="shared" si="2"/>
        <v>0.40349156231319777</v>
      </c>
    </row>
    <row r="44" spans="1:6" x14ac:dyDescent="0.25">
      <c r="A44" t="str">
        <f>$A$17</f>
        <v>Information technology</v>
      </c>
      <c r="B44" s="18">
        <f t="shared" si="2"/>
        <v>1.2932142843014363</v>
      </c>
      <c r="C44" s="18">
        <f t="shared" si="2"/>
        <v>1.2538951348319709</v>
      </c>
      <c r="D44" s="18">
        <f t="shared" si="2"/>
        <v>1.3851437139505867</v>
      </c>
      <c r="E44" s="18">
        <f t="shared" si="2"/>
        <v>1.4071257635871293</v>
      </c>
      <c r="F44" s="18">
        <f t="shared" si="2"/>
        <v>1.4158607053630277</v>
      </c>
    </row>
    <row r="45" spans="1:6" x14ac:dyDescent="0.25">
      <c r="A45" t="str">
        <f>$A$18</f>
        <v>Finance and insurance</v>
      </c>
      <c r="B45" s="18">
        <f t="shared" si="2"/>
        <v>2.0213148931288396</v>
      </c>
      <c r="C45" s="18">
        <f t="shared" si="2"/>
        <v>2.0167434417597714</v>
      </c>
      <c r="D45" s="18">
        <f t="shared" si="2"/>
        <v>2.1042173021036152</v>
      </c>
      <c r="E45" s="18">
        <f t="shared" si="2"/>
        <v>2.0573556269286515</v>
      </c>
      <c r="F45" s="18">
        <f t="shared" si="2"/>
        <v>1.9262602884600628</v>
      </c>
    </row>
    <row r="46" spans="1:6" x14ac:dyDescent="0.25">
      <c r="A46" t="str">
        <f>$A$19</f>
        <v>Real estate</v>
      </c>
      <c r="B46" s="18">
        <f t="shared" si="2"/>
        <v>1.5276069008351087</v>
      </c>
      <c r="C46" s="18">
        <f t="shared" si="2"/>
        <v>1.9973290504009362</v>
      </c>
      <c r="D46" s="18">
        <f t="shared" si="2"/>
        <v>2.0637089525467847</v>
      </c>
      <c r="E46" s="18">
        <f t="shared" si="2"/>
        <v>2.0286227092386153</v>
      </c>
      <c r="F46" s="18">
        <f t="shared" si="2"/>
        <v>2.1531045476143063</v>
      </c>
    </row>
    <row r="47" spans="1:6" x14ac:dyDescent="0.25">
      <c r="A47" s="10" t="str">
        <f>$A$20</f>
        <v>Professional services</v>
      </c>
      <c r="B47" s="18">
        <f t="shared" si="2"/>
        <v>5.6554883476210573</v>
      </c>
      <c r="C47" s="18">
        <f t="shared" si="2"/>
        <v>4.8622264580894292</v>
      </c>
      <c r="D47" s="18">
        <f t="shared" si="2"/>
        <v>4.9837361999540502</v>
      </c>
      <c r="E47" s="18">
        <f t="shared" si="2"/>
        <v>5.0294414005919776</v>
      </c>
      <c r="F47" s="18">
        <f t="shared" si="2"/>
        <v>5.1524684640497922</v>
      </c>
    </row>
    <row r="48" spans="1:6" x14ac:dyDescent="0.25">
      <c r="A48" s="10" t="str">
        <f>$A$21</f>
        <v>Support services</v>
      </c>
      <c r="B48" s="18">
        <f t="shared" si="2"/>
        <v>7.9596567780015244</v>
      </c>
      <c r="C48" s="18">
        <f t="shared" si="2"/>
        <v>6.7252236086843178</v>
      </c>
      <c r="D48" s="18">
        <f t="shared" si="2"/>
        <v>6.4829482017114168</v>
      </c>
      <c r="E48" s="18">
        <f t="shared" si="2"/>
        <v>6.6626912903835169</v>
      </c>
      <c r="F48" s="18">
        <f t="shared" si="2"/>
        <v>6.8365571785478796</v>
      </c>
    </row>
    <row r="49" spans="1:9" x14ac:dyDescent="0.25">
      <c r="A49" s="10" t="str">
        <f>$A$22</f>
        <v>Public admin. and defence</v>
      </c>
      <c r="B49" s="18">
        <f t="shared" si="2"/>
        <v>3.1653882214248643</v>
      </c>
      <c r="C49" s="18">
        <f t="shared" si="2"/>
        <v>3.0306061016098282</v>
      </c>
      <c r="D49" s="18">
        <f t="shared" si="2"/>
        <v>3.0796422367058027</v>
      </c>
      <c r="E49" s="18">
        <f t="shared" si="2"/>
        <v>3.0610397380187697</v>
      </c>
      <c r="F49" s="18">
        <f t="shared" si="2"/>
        <v>3.108571034440478</v>
      </c>
    </row>
    <row r="50" spans="1:9" x14ac:dyDescent="0.25">
      <c r="A50" s="10" t="str">
        <f>$A$23</f>
        <v>Education</v>
      </c>
      <c r="B50" s="18">
        <f t="shared" si="2"/>
        <v>8.8634034994718949</v>
      </c>
      <c r="C50" s="18">
        <f t="shared" si="2"/>
        <v>8.7080408918069381</v>
      </c>
      <c r="D50" s="18">
        <f t="shared" si="2"/>
        <v>9.0817301297476281</v>
      </c>
      <c r="E50" s="18">
        <f t="shared" si="2"/>
        <v>9.1075477045153939</v>
      </c>
      <c r="F50" s="18">
        <f t="shared" si="2"/>
        <v>9.4194013150835865</v>
      </c>
    </row>
    <row r="51" spans="1:9" x14ac:dyDescent="0.25">
      <c r="A51" s="10" t="str">
        <f>$A$24</f>
        <v>Health and social work</v>
      </c>
      <c r="B51" s="18">
        <f t="shared" si="2"/>
        <v>12.039472903422348</v>
      </c>
      <c r="C51" s="18">
        <f t="shared" si="2"/>
        <v>14.282324471350044</v>
      </c>
      <c r="D51" s="18">
        <f t="shared" si="2"/>
        <v>14.464100734793284</v>
      </c>
      <c r="E51" s="18">
        <f t="shared" si="2"/>
        <v>15.058213678443213</v>
      </c>
      <c r="F51" s="18">
        <f t="shared" si="2"/>
        <v>15.557799304139927</v>
      </c>
    </row>
    <row r="52" spans="1:9" x14ac:dyDescent="0.25">
      <c r="A52" s="10" t="str">
        <f>$A$25</f>
        <v>Arts and entertainment</v>
      </c>
      <c r="B52" s="18">
        <f t="shared" si="2"/>
        <v>2.3542117485095826</v>
      </c>
      <c r="C52" s="18">
        <f t="shared" si="2"/>
        <v>2.3865974023936585</v>
      </c>
      <c r="D52" s="18">
        <f t="shared" si="2"/>
        <v>2.4002708618000232</v>
      </c>
      <c r="E52" s="18">
        <f t="shared" si="2"/>
        <v>2.220897096794511</v>
      </c>
      <c r="F52" s="18">
        <f t="shared" si="2"/>
        <v>2.2900924237082902</v>
      </c>
    </row>
    <row r="53" spans="1:9" x14ac:dyDescent="0.25">
      <c r="A53" s="10" t="str">
        <f>$A$26</f>
        <v>Other services</v>
      </c>
      <c r="B53" s="18">
        <f t="shared" si="2"/>
        <v>3.2486618851891538</v>
      </c>
      <c r="C53" s="18">
        <f t="shared" si="2"/>
        <v>2.6831081067830751</v>
      </c>
      <c r="D53" s="18">
        <f t="shared" si="2"/>
        <v>2.60926170006086</v>
      </c>
      <c r="E53" s="18">
        <f t="shared" si="2"/>
        <v>2.480477360035271</v>
      </c>
      <c r="F53" s="18">
        <f t="shared" si="2"/>
        <v>2.4130941250402325</v>
      </c>
    </row>
    <row r="54" spans="1:9" x14ac:dyDescent="0.25">
      <c r="B54" s="18"/>
      <c r="C54" s="18"/>
      <c r="D54" s="18"/>
      <c r="E54" s="18"/>
      <c r="F54" s="18"/>
    </row>
    <row r="55" spans="1:9" x14ac:dyDescent="0.25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5">
      <c r="B56" s="18"/>
      <c r="C56" s="18"/>
      <c r="D56" s="18"/>
      <c r="E56" s="18"/>
      <c r="F56" s="18"/>
    </row>
    <row r="57" spans="1:9" x14ac:dyDescent="0.25">
      <c r="B57" s="18"/>
      <c r="C57" s="18"/>
      <c r="D57" s="18"/>
      <c r="E57" s="18"/>
      <c r="F57" s="18"/>
    </row>
    <row r="58" spans="1:9" x14ac:dyDescent="0.25">
      <c r="B58" s="18"/>
      <c r="C58" s="18"/>
      <c r="D58" s="18"/>
      <c r="E58" s="18"/>
      <c r="F58" s="18"/>
    </row>
    <row r="59" spans="1:9" ht="15.5" x14ac:dyDescent="0.35">
      <c r="A59" s="19" t="str">
        <f>CONCATENATE(A1," (Continued)")</f>
        <v>Industry Table 2  Employment by Industry Group (SIC 2007), 2015-2035, Black Country (Continued)</v>
      </c>
      <c r="B59" s="18"/>
      <c r="C59" s="18"/>
      <c r="D59" s="18"/>
      <c r="E59" s="18"/>
      <c r="F59" s="18"/>
    </row>
    <row r="61" spans="1:9" ht="13" x14ac:dyDescent="0.3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ht="13" x14ac:dyDescent="0.3">
      <c r="A62" s="28" t="s">
        <v>15</v>
      </c>
    </row>
    <row r="63" spans="1:9" x14ac:dyDescent="0.25">
      <c r="A63" t="str">
        <f>$A$5</f>
        <v>Agriculture</v>
      </c>
      <c r="B63" s="18">
        <f>IF(AND(C$3-B$3 &lt;&gt; 0,B5&lt;&gt;0,C5&lt;&gt;0),(EXP(LN(C5/B5)/(C$3-B$3))-1)*100,0)</f>
        <v>-6.2949747366430886</v>
      </c>
      <c r="C63" s="18">
        <f>IF(AND(D$3-C$3 &lt;&gt; 0,C5&lt;&gt;0,D5&lt;&gt;0),(EXP(LN(D5/C5)/(D$3-C$3))-1)*100,0)</f>
        <v>-51.224846894138267</v>
      </c>
      <c r="D63" s="18">
        <f t="shared" ref="B63:E78" si="3">IF(AND(E$3-D$3 &lt;&gt; 0,D5&lt;&gt;0,E5&lt;&gt;0),(EXP(LN(E5/D5)/(E$3-D$3))-1)*100,0)</f>
        <v>1.6823443259135429</v>
      </c>
      <c r="E63" s="18">
        <f t="shared" si="3"/>
        <v>2.4724947565291089E-2</v>
      </c>
      <c r="F63" s="18">
        <f>IF(AND(F$3-D$3 &lt;&gt; 0,D5&lt;&gt;0,F5&lt;&gt;0),(EXP(LN(F5/D5)/(F$3-D$3))-1)*100,0)</f>
        <v>0.57424028723909171</v>
      </c>
      <c r="G63" s="18"/>
      <c r="H63" s="18"/>
      <c r="I63" s="18"/>
    </row>
    <row r="64" spans="1:9" x14ac:dyDescent="0.25">
      <c r="A64" t="str">
        <f>$A$6</f>
        <v>Mining and quarrying</v>
      </c>
      <c r="B64" s="18">
        <f t="shared" si="3"/>
        <v>-2.7335093503809027</v>
      </c>
      <c r="C64" s="18">
        <f t="shared" ref="C64:C78" si="4">IF(AND(D$3-C$3 &lt;&gt; 0,C6&lt;&gt;0,D6&lt;&gt;0),(EXP(LN(D6/C6)/(D$3-C$3))-1)*100,0)</f>
        <v>6.8965517241375895</v>
      </c>
      <c r="D64" s="18">
        <f t="shared" si="3"/>
        <v>-6.7993459798906475</v>
      </c>
      <c r="E64" s="18">
        <f t="shared" si="3"/>
        <v>-5.3345714789729275</v>
      </c>
      <c r="F64" s="18">
        <f t="shared" ref="F64:F84" si="5">IF(AND(F$3-D$3 &lt;&gt; 0,D6&lt;&gt;0,F6&lt;&gt;0),(EXP(LN(F6/D6)/(F$3-D$3))-1)*100,0)</f>
        <v>-5.8253698205931848</v>
      </c>
    </row>
    <row r="65" spans="1:6" x14ac:dyDescent="0.25">
      <c r="A65" t="str">
        <f>$A$7</f>
        <v>Food drink and tobacco</v>
      </c>
      <c r="B65" s="18">
        <f t="shared" si="3"/>
        <v>-2.4794633382234421</v>
      </c>
      <c r="C65" s="18">
        <f t="shared" si="4"/>
        <v>-0.70955534531680353</v>
      </c>
      <c r="D65" s="18">
        <f t="shared" si="3"/>
        <v>0.12356277608251975</v>
      </c>
      <c r="E65" s="18">
        <f t="shared" si="3"/>
        <v>-0.23446601557614022</v>
      </c>
      <c r="F65" s="18">
        <f t="shared" si="5"/>
        <v>-0.11526556315361036</v>
      </c>
    </row>
    <row r="66" spans="1:6" x14ac:dyDescent="0.25">
      <c r="A66" t="str">
        <f>$A$8</f>
        <v>Engineering</v>
      </c>
      <c r="B66" s="18">
        <f t="shared" si="3"/>
        <v>4.079052282152662</v>
      </c>
      <c r="C66" s="18">
        <f t="shared" si="4"/>
        <v>-9.2077874372470951</v>
      </c>
      <c r="D66" s="18">
        <f t="shared" si="3"/>
        <v>1.1930391085656966</v>
      </c>
      <c r="E66" s="18">
        <f t="shared" si="3"/>
        <v>-1.0343882860529674</v>
      </c>
      <c r="F66" s="18">
        <f t="shared" si="5"/>
        <v>-0.29741418690564236</v>
      </c>
    </row>
    <row r="67" spans="1:6" x14ac:dyDescent="0.25">
      <c r="A67" t="str">
        <f>$A$9</f>
        <v>Rest of manufacturing</v>
      </c>
      <c r="B67" s="18">
        <f t="shared" si="3"/>
        <v>4.0661279454745625E-2</v>
      </c>
      <c r="C67" s="18">
        <f t="shared" si="4"/>
        <v>-8.4142690229296768</v>
      </c>
      <c r="D67" s="18">
        <f t="shared" si="3"/>
        <v>-0.76263523090429608</v>
      </c>
      <c r="E67" s="18">
        <f t="shared" si="3"/>
        <v>-1.0127671219584022</v>
      </c>
      <c r="F67" s="18">
        <f t="shared" si="5"/>
        <v>-0.92945995550864913</v>
      </c>
    </row>
    <row r="68" spans="1:6" x14ac:dyDescent="0.25">
      <c r="A68" t="str">
        <f>$A$10</f>
        <v>Electricity and gas</v>
      </c>
      <c r="B68" s="18">
        <f t="shared" si="3"/>
        <v>-24.375251739496395</v>
      </c>
      <c r="C68" s="18">
        <f t="shared" si="4"/>
        <v>15.330602691632533</v>
      </c>
      <c r="D68" s="18">
        <f t="shared" si="3"/>
        <v>-1.1951485565641184</v>
      </c>
      <c r="E68" s="18">
        <f t="shared" si="3"/>
        <v>-0.20665256504547314</v>
      </c>
      <c r="F68" s="18">
        <f t="shared" si="5"/>
        <v>-0.53724519762728962</v>
      </c>
    </row>
    <row r="69" spans="1:6" x14ac:dyDescent="0.25">
      <c r="A69" t="str">
        <f>$A$11</f>
        <v>Water and sewerage</v>
      </c>
      <c r="B69" s="18">
        <f t="shared" si="3"/>
        <v>0.4243457888008173</v>
      </c>
      <c r="C69" s="18">
        <f t="shared" si="4"/>
        <v>-13.685882886972067</v>
      </c>
      <c r="D69" s="18">
        <f t="shared" si="3"/>
        <v>0.57191149061968094</v>
      </c>
      <c r="E69" s="18">
        <f t="shared" si="3"/>
        <v>0.33976177382473161</v>
      </c>
      <c r="F69" s="18">
        <f t="shared" si="5"/>
        <v>0.41708541045613057</v>
      </c>
    </row>
    <row r="70" spans="1:6" x14ac:dyDescent="0.25">
      <c r="A70" t="str">
        <f>$A$12</f>
        <v>Construction</v>
      </c>
      <c r="B70" s="18">
        <f t="shared" si="3"/>
        <v>5.3160029551780896</v>
      </c>
      <c r="C70" s="18">
        <f t="shared" si="4"/>
        <v>-5.2719129878435407</v>
      </c>
      <c r="D70" s="18">
        <f t="shared" si="3"/>
        <v>-6.0047756904835214E-2</v>
      </c>
      <c r="E70" s="18">
        <f t="shared" si="3"/>
        <v>0.14697554040972172</v>
      </c>
      <c r="F70" s="18">
        <f t="shared" si="5"/>
        <v>7.7920169124201522E-2</v>
      </c>
    </row>
    <row r="71" spans="1:6" x14ac:dyDescent="0.25">
      <c r="A71" t="str">
        <f>$A$13</f>
        <v>Wholesale and retail trade</v>
      </c>
      <c r="B71" s="18">
        <f t="shared" si="3"/>
        <v>-0.96594010595912883</v>
      </c>
      <c r="C71" s="18">
        <f t="shared" si="4"/>
        <v>-1.6779584462512487</v>
      </c>
      <c r="D71" s="18">
        <f t="shared" si="3"/>
        <v>0.1842202066080878</v>
      </c>
      <c r="E71" s="18">
        <f t="shared" si="3"/>
        <v>0.10915852189896658</v>
      </c>
      <c r="F71" s="18">
        <f t="shared" si="5"/>
        <v>0.13417283261345503</v>
      </c>
    </row>
    <row r="72" spans="1:6" x14ac:dyDescent="0.25">
      <c r="A72" t="str">
        <f>$A$14</f>
        <v>Transport and storage</v>
      </c>
      <c r="B72" s="18">
        <f t="shared" ref="B72:B78" si="6">IF(AND(C$3-B$3 &lt;&gt; 0,B14&lt;&gt;0,C14&lt;&gt;0),(EXP(LN(C14/B14)/(C$3-B$3))-1)*100,0)</f>
        <v>0.53077430073900089</v>
      </c>
      <c r="C72" s="18">
        <f t="shared" si="4"/>
        <v>-3.5847013724289778</v>
      </c>
      <c r="D72" s="18">
        <f t="shared" si="3"/>
        <v>1.7671907993296987</v>
      </c>
      <c r="E72" s="18">
        <f t="shared" si="3"/>
        <v>0.48877448295603365</v>
      </c>
      <c r="F72" s="18">
        <f t="shared" si="5"/>
        <v>0.91311881014866092</v>
      </c>
    </row>
    <row r="73" spans="1:6" x14ac:dyDescent="0.25">
      <c r="A73" t="str">
        <f>$A$15</f>
        <v>Accommodation and food</v>
      </c>
      <c r="B73" s="18">
        <f t="shared" si="6"/>
        <v>2.2819226552231564</v>
      </c>
      <c r="C73" s="18">
        <f>IF(AND(D$3-C$3 &lt;&gt; 0,C15&lt;&gt;0,D15&lt;&gt;0),(EXP(LN(D15/C15)/(D$3-C$3))-1)*100,0)</f>
        <v>3.0323253388948812</v>
      </c>
      <c r="D73" s="18">
        <f t="shared" si="3"/>
        <v>1.158961776139944</v>
      </c>
      <c r="E73" s="18">
        <f t="shared" si="3"/>
        <v>1.1552380457874767</v>
      </c>
      <c r="F73" s="18">
        <f t="shared" si="5"/>
        <v>1.1564792740077046</v>
      </c>
    </row>
    <row r="74" spans="1:6" x14ac:dyDescent="0.25">
      <c r="A74" t="str">
        <f>$A$16</f>
        <v>Media</v>
      </c>
      <c r="B74" s="18">
        <f t="shared" si="6"/>
        <v>1.67021702684782</v>
      </c>
      <c r="C74" s="18">
        <f>IF(AND(D$3-C$3 &lt;&gt; 0,C16&lt;&gt;0,D16&lt;&gt;0),(EXP(LN(D16/C16)/(D$3-C$3))-1)*100,0)</f>
        <v>15.616438356164686</v>
      </c>
      <c r="D74" s="18">
        <f t="shared" si="3"/>
        <v>-0.30517448932220193</v>
      </c>
      <c r="E74" s="18">
        <f t="shared" si="3"/>
        <v>0.13393482302543891</v>
      </c>
      <c r="F74" s="18">
        <f t="shared" si="5"/>
        <v>-1.2649425067379205E-2</v>
      </c>
    </row>
    <row r="75" spans="1:6" x14ac:dyDescent="0.25">
      <c r="A75" t="str">
        <f>$A$17</f>
        <v>Information technology</v>
      </c>
      <c r="B75" s="18">
        <f t="shared" si="6"/>
        <v>-0.55523428649664197</v>
      </c>
      <c r="C75" s="18">
        <f t="shared" si="4"/>
        <v>7.4913981857984924</v>
      </c>
      <c r="D75" s="18">
        <f t="shared" si="3"/>
        <v>0.79336387547543907</v>
      </c>
      <c r="E75" s="18">
        <f t="shared" si="3"/>
        <v>0.33069939042569274</v>
      </c>
      <c r="F75" s="18">
        <f t="shared" si="5"/>
        <v>0.48468443215556878</v>
      </c>
    </row>
    <row r="76" spans="1:6" x14ac:dyDescent="0.25">
      <c r="A76" t="str">
        <f>$A$18</f>
        <v>Finance and insurance</v>
      </c>
      <c r="B76" s="18">
        <f t="shared" si="6"/>
        <v>0.15863961906079638</v>
      </c>
      <c r="C76" s="18">
        <f t="shared" si="4"/>
        <v>1.5266433294437221</v>
      </c>
      <c r="D76" s="18">
        <f t="shared" si="3"/>
        <v>2.4889436561537082E-2</v>
      </c>
      <c r="E76" s="18">
        <f t="shared" si="3"/>
        <v>-0.38938108837733854</v>
      </c>
      <c r="F76" s="18">
        <f t="shared" si="5"/>
        <v>-0.25148190668480286</v>
      </c>
    </row>
    <row r="77" spans="1:6" x14ac:dyDescent="0.25">
      <c r="A77" t="str">
        <f>$A$19</f>
        <v>Real estate</v>
      </c>
      <c r="B77" s="18">
        <f t="shared" si="6"/>
        <v>7.1627252564684163</v>
      </c>
      <c r="C77" s="18">
        <f t="shared" si="4"/>
        <v>0.5400098183602875</v>
      </c>
      <c r="D77" s="18">
        <f t="shared" si="3"/>
        <v>0.13246111591629361</v>
      </c>
      <c r="E77" s="18">
        <f t="shared" si="3"/>
        <v>0.86754756855971227</v>
      </c>
      <c r="F77" s="18">
        <f t="shared" si="5"/>
        <v>0.62192110201613193</v>
      </c>
    </row>
    <row r="78" spans="1:6" x14ac:dyDescent="0.25">
      <c r="A78" t="str">
        <f>$A$20</f>
        <v>Professional services</v>
      </c>
      <c r="B78" s="18">
        <f t="shared" si="6"/>
        <v>-3.5003994953859086</v>
      </c>
      <c r="C78" s="18">
        <f t="shared" si="4"/>
        <v>-0.26216020004843354</v>
      </c>
      <c r="D78" s="18">
        <f t="shared" si="3"/>
        <v>0.6600785538924292</v>
      </c>
      <c r="E78" s="18">
        <f t="shared" si="3"/>
        <v>0.51124147170613643</v>
      </c>
      <c r="F78" s="18">
        <f t="shared" si="5"/>
        <v>0.56082936389389992</v>
      </c>
    </row>
    <row r="79" spans="1:6" x14ac:dyDescent="0.25">
      <c r="A79" s="10" t="str">
        <f>$A$21</f>
        <v>Support services</v>
      </c>
      <c r="B79" s="18">
        <f t="shared" ref="B79:B84" si="7">IF(AND(C$3-B$3 &lt;&gt; 0,B21&lt;&gt;0,C21&lt;&gt;0),(EXP(LN(C21/B21)/(C$3-B$3))-1)*100,0)</f>
        <v>-3.9190375559401081</v>
      </c>
      <c r="C79" s="18">
        <f t="shared" ref="C79:C84" si="8">IF(AND(D$3-C$3 &lt;&gt; 0,C21&lt;&gt;0,D21&lt;&gt;0),(EXP(LN(D21/C21)/(D$3-C$3))-1)*100,0)</f>
        <v>-6.1993351606697171</v>
      </c>
      <c r="D79" s="18">
        <f t="shared" ref="D79:D84" si="9">IF(AND(E$3-D$3 &lt;&gt; 0,D21&lt;&gt;0,E21&lt;&gt;0),(EXP(LN(E21/D21)/(E$3-D$3))-1)*100,0)</f>
        <v>1.0275338288977087</v>
      </c>
      <c r="E79" s="18">
        <f t="shared" ref="E79:E84" si="10">IF(AND(F$3-E$3 &lt;&gt; 0,E21&lt;&gt;0,F21&lt;&gt;0),(EXP(LN(F21/E21)/(F$3-E$3))-1)*100,0)</f>
        <v>0.52726201894128799</v>
      </c>
      <c r="F79" s="18">
        <f t="shared" si="5"/>
        <v>0.69374342982508885</v>
      </c>
    </row>
    <row r="80" spans="1:6" x14ac:dyDescent="0.25">
      <c r="A80" s="10" t="str">
        <f>$A$22</f>
        <v>Public admin. and defence</v>
      </c>
      <c r="B80" s="18">
        <f t="shared" si="7"/>
        <v>-0.86891133297999357</v>
      </c>
      <c r="C80" s="18">
        <f t="shared" si="8"/>
        <v>-1.1194512747510044</v>
      </c>
      <c r="D80" s="18">
        <f t="shared" si="9"/>
        <v>0.35478013312981727</v>
      </c>
      <c r="E80" s="18">
        <f t="shared" si="10"/>
        <v>0.42324739563102121</v>
      </c>
      <c r="F80" s="18">
        <f t="shared" si="5"/>
        <v>0.40041978615537044</v>
      </c>
    </row>
    <row r="81" spans="1:6" x14ac:dyDescent="0.25">
      <c r="A81" s="10" t="str">
        <f>$A$23</f>
        <v>Education</v>
      </c>
      <c r="B81" s="18">
        <f t="shared" si="7"/>
        <v>-0.22672391936791048</v>
      </c>
      <c r="C81" s="18">
        <f t="shared" si="8"/>
        <v>1.4818151109107447</v>
      </c>
      <c r="D81" s="18">
        <f t="shared" si="9"/>
        <v>0.53352169493243728</v>
      </c>
      <c r="E81" s="18">
        <f t="shared" si="10"/>
        <v>0.60678313736963752</v>
      </c>
      <c r="F81" s="18">
        <f t="shared" si="5"/>
        <v>0.58235672652706683</v>
      </c>
    </row>
    <row r="82" spans="1:6" x14ac:dyDescent="0.25">
      <c r="A82" s="10" t="str">
        <f>$A$24</f>
        <v>Health and social work</v>
      </c>
      <c r="B82" s="18">
        <f t="shared" si="7"/>
        <v>4.5880590155708445</v>
      </c>
      <c r="C82" s="18">
        <f t="shared" si="8"/>
        <v>-1.4554441850882949</v>
      </c>
      <c r="D82" s="18">
        <f t="shared" si="9"/>
        <v>1.2886370519011425</v>
      </c>
      <c r="E82" s="18">
        <f t="shared" si="10"/>
        <v>0.59642549882943374</v>
      </c>
      <c r="F82" s="18">
        <f t="shared" si="5"/>
        <v>0.82663545718055786</v>
      </c>
    </row>
    <row r="83" spans="1:6" x14ac:dyDescent="0.25">
      <c r="A83" s="10" t="str">
        <f>$A$25</f>
        <v>Arts and entertainment</v>
      </c>
      <c r="B83" s="18">
        <f>IF(AND(C$3-B$3 &lt;&gt; 0,B25&lt;&gt;0,C25&lt;&gt;0),(EXP(LN(C25/B25)/(C$3-B$3))-1)*100,0)</f>
        <v>0.55823872213776049</v>
      </c>
      <c r="C83" s="18">
        <f t="shared" si="8"/>
        <v>-2.1364009860312061</v>
      </c>
      <c r="D83" s="18">
        <f t="shared" si="9"/>
        <v>-1.0722890125522966</v>
      </c>
      <c r="E83" s="18">
        <f t="shared" si="10"/>
        <v>0.57673557890083327</v>
      </c>
      <c r="F83" s="18">
        <f t="shared" si="5"/>
        <v>2.4028950014032269E-2</v>
      </c>
    </row>
    <row r="84" spans="1:6" x14ac:dyDescent="0.25">
      <c r="A84" s="10" t="str">
        <f>$A$26</f>
        <v>Other services</v>
      </c>
      <c r="B84" s="18">
        <f t="shared" si="7"/>
        <v>-4.4638661215836368</v>
      </c>
      <c r="C84" s="18">
        <f t="shared" si="8"/>
        <v>-5.3720216342641347</v>
      </c>
      <c r="D84" s="18">
        <f t="shared" si="9"/>
        <v>-0.53555828922632331</v>
      </c>
      <c r="E84" s="18">
        <f t="shared" si="10"/>
        <v>-7.1428857883359953E-3</v>
      </c>
      <c r="F84" s="18">
        <f t="shared" si="5"/>
        <v>-0.18359253748900795</v>
      </c>
    </row>
    <row r="85" spans="1:6" x14ac:dyDescent="0.25">
      <c r="B85" s="18"/>
      <c r="C85" s="18"/>
      <c r="D85" s="18"/>
      <c r="E85" s="18"/>
      <c r="F85" s="18"/>
    </row>
    <row r="86" spans="1:6" x14ac:dyDescent="0.25">
      <c r="A86" t="str">
        <f>$A$28</f>
        <v>All industries</v>
      </c>
      <c r="B86" s="18">
        <f>IF(AND(C$3-B$3 &lt;&gt; 0,B28&lt;&gt;0,C28&lt;&gt;0),(EXP(LN(C28/B28)/(C$3-B$3))-1)*100,0)</f>
        <v>0.21535006256829803</v>
      </c>
      <c r="C86" s="18">
        <f>IF(AND(D$3-C$3 &lt;&gt; 0,C28&lt;&gt;0,D28&lt;&gt;0),(EXP(LN(D28/C28)/(D$3-C$3))-1)*100,0)</f>
        <v>-2.6938938797602008</v>
      </c>
      <c r="D86" s="18">
        <f>IF(AND(E$3-D$3 &lt;&gt; 0,D28&lt;&gt;0,E28&lt;&gt;0),(EXP(LN(E28/D28)/(E$3-D$3))-1)*100,0)</f>
        <v>0.47645957719999465</v>
      </c>
      <c r="E86" s="18">
        <f>IF(AND(F$3-E$3 &lt;&gt; 0,E28&lt;&gt;0,F28&lt;&gt;0),(EXP(LN(F28/E28)/(F$3-E$3))-1)*100,0)</f>
        <v>0.26862934467044575</v>
      </c>
      <c r="F86" s="18">
        <f>IF(AND(F$3-D$3 &lt;&gt; 0,D28&lt;&gt;0,F28&lt;&gt;0),(EXP(LN(F28/D28)/(F$3-D$3))-1)*100,0)</f>
        <v>0.33785827979151417</v>
      </c>
    </row>
    <row r="89" spans="1:6" ht="13" x14ac:dyDescent="0.3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5">
      <c r="A90" t="str">
        <f>$A$5</f>
        <v>Agriculture</v>
      </c>
      <c r="B90" s="27">
        <f t="shared" ref="B90:E105" si="11">C5-B5</f>
        <v>-0.67899999999999761</v>
      </c>
      <c r="C90" s="27">
        <f>D5-C5</f>
        <v>-1.1710000000000016</v>
      </c>
      <c r="D90" s="27">
        <f t="shared" si="11"/>
        <v>9.7000000000000863E-2</v>
      </c>
      <c r="E90" s="27">
        <f t="shared" si="11"/>
        <v>2.9999999999974492E-3</v>
      </c>
      <c r="F90" s="27">
        <f>F5-D5</f>
        <v>9.9999999999998312E-2</v>
      </c>
    </row>
    <row r="91" spans="1:6" x14ac:dyDescent="0.25">
      <c r="A91" t="str">
        <f>$A$6</f>
        <v>Mining and quarrying</v>
      </c>
      <c r="B91" s="27">
        <f t="shared" si="11"/>
        <v>-1.7000000000000182E-2</v>
      </c>
      <c r="C91" s="27">
        <f t="shared" ref="C91:C105" si="12">D6-C6</f>
        <v>9.9999999999995093E-3</v>
      </c>
      <c r="D91" s="27">
        <f t="shared" si="11"/>
        <v>-4.5999999999999555E-2</v>
      </c>
      <c r="E91" s="27">
        <f t="shared" si="11"/>
        <v>-4.5999999999999958E-2</v>
      </c>
      <c r="F91" s="27">
        <f t="shared" ref="F91:F111" si="13">F6-D6</f>
        <v>-9.1999999999999513E-2</v>
      </c>
    </row>
    <row r="92" spans="1:6" x14ac:dyDescent="0.25">
      <c r="A92" t="str">
        <f>$A$7</f>
        <v>Food drink and tobacco</v>
      </c>
      <c r="B92" s="27">
        <f t="shared" si="11"/>
        <v>-0.66999999999999194</v>
      </c>
      <c r="C92" s="27">
        <f t="shared" si="12"/>
        <v>-4.4999999999991935E-2</v>
      </c>
      <c r="D92" s="27">
        <f t="shared" si="11"/>
        <v>3.899999999999082E-2</v>
      </c>
      <c r="E92" s="27">
        <f t="shared" si="11"/>
        <v>-0.14699999999999935</v>
      </c>
      <c r="F92" s="27">
        <f t="shared" si="13"/>
        <v>-0.10800000000000853</v>
      </c>
    </row>
    <row r="93" spans="1:6" x14ac:dyDescent="0.25">
      <c r="A93" t="str">
        <f>$A$8</f>
        <v>Engineering</v>
      </c>
      <c r="B93" s="27">
        <f t="shared" si="11"/>
        <v>1.2069999999999856</v>
      </c>
      <c r="C93" s="27">
        <f t="shared" si="12"/>
        <v>-0.75199999999996958</v>
      </c>
      <c r="D93" s="27">
        <f t="shared" si="11"/>
        <v>0.45299999999997898</v>
      </c>
      <c r="E93" s="27">
        <f t="shared" si="11"/>
        <v>-0.77700000000002944</v>
      </c>
      <c r="F93" s="27">
        <f t="shared" si="13"/>
        <v>-0.32400000000005047</v>
      </c>
    </row>
    <row r="94" spans="1:6" x14ac:dyDescent="0.25">
      <c r="A94" t="str">
        <f>$A$9</f>
        <v>Rest of manufacturing</v>
      </c>
      <c r="B94" s="27">
        <f t="shared" si="11"/>
        <v>8.9000000000055479E-2</v>
      </c>
      <c r="C94" s="27">
        <f t="shared" si="12"/>
        <v>-4.608999999999952</v>
      </c>
      <c r="D94" s="27">
        <f t="shared" si="11"/>
        <v>-1.8840000000001353</v>
      </c>
      <c r="E94" s="27">
        <f t="shared" si="11"/>
        <v>-4.6729999999998881</v>
      </c>
      <c r="F94" s="27">
        <f t="shared" si="13"/>
        <v>-6.5570000000000235</v>
      </c>
    </row>
    <row r="95" spans="1:6" x14ac:dyDescent="0.25">
      <c r="A95" t="str">
        <f>$A$10</f>
        <v>Electricity and gas</v>
      </c>
      <c r="B95" s="27">
        <f t="shared" si="11"/>
        <v>-3.5160000000000045</v>
      </c>
      <c r="C95" s="27">
        <f t="shared" si="12"/>
        <v>0.26200000000000001</v>
      </c>
      <c r="D95" s="27">
        <f t="shared" si="11"/>
        <v>-0.11499999999999755</v>
      </c>
      <c r="E95" s="27">
        <f t="shared" si="11"/>
        <v>-3.800000000000292E-2</v>
      </c>
      <c r="F95" s="27">
        <f t="shared" si="13"/>
        <v>-0.15300000000000047</v>
      </c>
    </row>
    <row r="96" spans="1:6" x14ac:dyDescent="0.25">
      <c r="A96" t="str">
        <f>$A$11</f>
        <v>Water and sewerage</v>
      </c>
      <c r="B96" s="27">
        <f t="shared" si="11"/>
        <v>7.4000000000019384E-2</v>
      </c>
      <c r="C96" s="27">
        <f t="shared" si="12"/>
        <v>-0.6029999999999891</v>
      </c>
      <c r="D96" s="27">
        <f t="shared" si="11"/>
        <v>0.10999999999998877</v>
      </c>
      <c r="E96" s="27">
        <f t="shared" si="11"/>
        <v>0.1349999999999989</v>
      </c>
      <c r="F96" s="27">
        <f t="shared" si="13"/>
        <v>0.24499999999998767</v>
      </c>
    </row>
    <row r="97" spans="1:6" x14ac:dyDescent="0.25">
      <c r="A97" t="str">
        <f>$A$12</f>
        <v>Construction</v>
      </c>
      <c r="B97" s="27">
        <f t="shared" si="11"/>
        <v>7.3119999999999408</v>
      </c>
      <c r="C97" s="27">
        <f t="shared" si="12"/>
        <v>-2.0599999999998602</v>
      </c>
      <c r="D97" s="27">
        <f t="shared" si="11"/>
        <v>-0.11099999999999</v>
      </c>
      <c r="E97" s="27">
        <f t="shared" si="11"/>
        <v>0.54599999999987858</v>
      </c>
      <c r="F97" s="27">
        <f t="shared" si="13"/>
        <v>0.43499999999988859</v>
      </c>
    </row>
    <row r="98" spans="1:6" x14ac:dyDescent="0.25">
      <c r="A98" t="str">
        <f>$A$13</f>
        <v>Wholesale and retail trade</v>
      </c>
      <c r="B98" s="27">
        <f t="shared" si="11"/>
        <v>-3.5059999999998865</v>
      </c>
      <c r="C98" s="27">
        <f t="shared" si="12"/>
        <v>-1.4860000000001037</v>
      </c>
      <c r="D98" s="27">
        <f t="shared" si="11"/>
        <v>0.80500000000000682</v>
      </c>
      <c r="E98" s="27">
        <f t="shared" si="11"/>
        <v>0.9640000000002118</v>
      </c>
      <c r="F98" s="27">
        <f t="shared" si="13"/>
        <v>1.7690000000002186</v>
      </c>
    </row>
    <row r="99" spans="1:6" x14ac:dyDescent="0.25">
      <c r="A99" t="str">
        <f>$A$14</f>
        <v>Transport and storage</v>
      </c>
      <c r="B99" s="27">
        <f t="shared" si="11"/>
        <v>0.71600000000005792</v>
      </c>
      <c r="C99" s="27">
        <f t="shared" si="12"/>
        <v>-1.2250000000001577</v>
      </c>
      <c r="D99" s="27">
        <f t="shared" si="11"/>
        <v>3.0160000000001261</v>
      </c>
      <c r="E99" s="27">
        <f t="shared" si="11"/>
        <v>1.7969999999999544</v>
      </c>
      <c r="F99" s="27">
        <f t="shared" si="13"/>
        <v>4.8130000000000805</v>
      </c>
    </row>
    <row r="100" spans="1:6" x14ac:dyDescent="0.25">
      <c r="A100" t="str">
        <f>$A$15</f>
        <v>Accommodation and food</v>
      </c>
      <c r="B100" s="27">
        <f t="shared" si="11"/>
        <v>2.0689999999999849</v>
      </c>
      <c r="C100" s="27">
        <f t="shared" si="12"/>
        <v>0.7270000000000465</v>
      </c>
      <c r="D100" s="27">
        <f t="shared" si="11"/>
        <v>1.4650000000000034</v>
      </c>
      <c r="E100" s="27">
        <f t="shared" si="11"/>
        <v>3.184999999999981</v>
      </c>
      <c r="F100" s="27">
        <f t="shared" si="13"/>
        <v>4.6499999999999844</v>
      </c>
    </row>
    <row r="101" spans="1:6" x14ac:dyDescent="0.25">
      <c r="A101" t="str">
        <f>$A$16</f>
        <v>Media</v>
      </c>
      <c r="B101" s="27">
        <f t="shared" si="11"/>
        <v>0.11699999999999822</v>
      </c>
      <c r="C101" s="27">
        <f t="shared" si="12"/>
        <v>0.28500000000000503</v>
      </c>
      <c r="D101" s="27">
        <f t="shared" si="11"/>
        <v>-3.2000000000003581E-2</v>
      </c>
      <c r="E101" s="27">
        <f t="shared" si="11"/>
        <v>2.799999999999736E-2</v>
      </c>
      <c r="F101" s="27">
        <f t="shared" si="13"/>
        <v>-4.0000000000062208E-3</v>
      </c>
    </row>
    <row r="102" spans="1:6" x14ac:dyDescent="0.25">
      <c r="A102" t="str">
        <f>$A$17</f>
        <v>Information technology</v>
      </c>
      <c r="B102" s="27">
        <f t="shared" si="11"/>
        <v>-0.1440000000000099</v>
      </c>
      <c r="C102" s="27">
        <f t="shared" si="12"/>
        <v>0.47899999999995657</v>
      </c>
      <c r="D102" s="27">
        <f t="shared" si="11"/>
        <v>0.27700000000002944</v>
      </c>
      <c r="E102" s="27">
        <f t="shared" si="11"/>
        <v>0.23999999999999488</v>
      </c>
      <c r="F102" s="27">
        <f t="shared" si="13"/>
        <v>0.51700000000002433</v>
      </c>
    </row>
    <row r="103" spans="1:6" x14ac:dyDescent="0.25">
      <c r="A103" t="str">
        <f>$A$18</f>
        <v>Finance and insurance</v>
      </c>
      <c r="B103" s="27">
        <f t="shared" si="11"/>
        <v>6.499999999999595E-2</v>
      </c>
      <c r="C103" s="27">
        <f t="shared" si="12"/>
        <v>0.15699999999999292</v>
      </c>
      <c r="D103" s="27">
        <f t="shared" si="11"/>
        <v>1.2999999999998124E-2</v>
      </c>
      <c r="E103" s="27">
        <f t="shared" si="11"/>
        <v>-0.40000000000002522</v>
      </c>
      <c r="F103" s="27">
        <f t="shared" si="13"/>
        <v>-0.3870000000000271</v>
      </c>
    </row>
    <row r="104" spans="1:6" x14ac:dyDescent="0.25">
      <c r="A104" t="str">
        <f>$A$19</f>
        <v>Real estate</v>
      </c>
      <c r="B104" s="27">
        <f t="shared" si="11"/>
        <v>2.462000000000006</v>
      </c>
      <c r="C104" s="27">
        <f t="shared" si="12"/>
        <v>5.4999999999994387E-2</v>
      </c>
      <c r="D104" s="27">
        <f t="shared" si="11"/>
        <v>6.7999999999992511E-2</v>
      </c>
      <c r="E104" s="27">
        <f t="shared" si="11"/>
        <v>0.93000000000002281</v>
      </c>
      <c r="F104" s="27">
        <f t="shared" si="13"/>
        <v>0.99800000000001532</v>
      </c>
    </row>
    <row r="105" spans="1:6" x14ac:dyDescent="0.25">
      <c r="A105" t="str">
        <f>$A$20</f>
        <v>Professional services</v>
      </c>
      <c r="B105" s="27">
        <f t="shared" si="11"/>
        <v>-3.7979999999999627</v>
      </c>
      <c r="C105" s="27">
        <f t="shared" si="12"/>
        <v>-6.5000000000008384E-2</v>
      </c>
      <c r="D105" s="27">
        <f t="shared" si="11"/>
        <v>0.82699999999998397</v>
      </c>
      <c r="E105" s="27">
        <f t="shared" si="11"/>
        <v>1.3370000000000495</v>
      </c>
      <c r="F105" s="27">
        <f t="shared" si="13"/>
        <v>2.1640000000000335</v>
      </c>
    </row>
    <row r="106" spans="1:6" x14ac:dyDescent="0.25">
      <c r="A106" s="10" t="str">
        <f>$A$21</f>
        <v>Support services</v>
      </c>
      <c r="B106" s="27">
        <f t="shared" ref="B106:B111" si="14">C21-B21</f>
        <v>-5.9470000000000454</v>
      </c>
      <c r="C106" s="27">
        <f t="shared" ref="C106:C111" si="15">D21-C21</f>
        <v>-2.1260000000000758</v>
      </c>
      <c r="D106" s="27">
        <f t="shared" ref="D106:D111" si="16">E21-D21</f>
        <v>1.6869999999999834</v>
      </c>
      <c r="E106" s="27">
        <f t="shared" ref="E106:E111" si="17">F21-E21</f>
        <v>1.8279999999999959</v>
      </c>
      <c r="F106" s="27">
        <f t="shared" si="13"/>
        <v>3.5149999999999793</v>
      </c>
    </row>
    <row r="107" spans="1:6" x14ac:dyDescent="0.25">
      <c r="A107" s="10" t="str">
        <f>$A$22</f>
        <v>Public admin. and defence</v>
      </c>
      <c r="B107" s="27">
        <f t="shared" si="14"/>
        <v>-0.54899999999996041</v>
      </c>
      <c r="C107" s="27">
        <f t="shared" si="15"/>
        <v>-0.17300000000001958</v>
      </c>
      <c r="D107" s="27">
        <f t="shared" si="16"/>
        <v>0.27300000000001212</v>
      </c>
      <c r="E107" s="27">
        <f t="shared" si="17"/>
        <v>0.6709999999999976</v>
      </c>
      <c r="F107" s="27">
        <f t="shared" si="13"/>
        <v>0.94400000000000972</v>
      </c>
    </row>
    <row r="108" spans="1:6" x14ac:dyDescent="0.25">
      <c r="A108" s="10" t="str">
        <f>$A$23</f>
        <v>Education</v>
      </c>
      <c r="B108" s="27">
        <f t="shared" si="14"/>
        <v>-0.40500000000006509</v>
      </c>
      <c r="C108" s="27">
        <f t="shared" si="15"/>
        <v>0.65799999999991599</v>
      </c>
      <c r="D108" s="27">
        <f t="shared" si="16"/>
        <v>1.2149999999999963</v>
      </c>
      <c r="E108" s="27">
        <f t="shared" si="17"/>
        <v>2.8859999999999033</v>
      </c>
      <c r="F108" s="27">
        <f t="shared" si="13"/>
        <v>4.1009999999998996</v>
      </c>
    </row>
    <row r="109" spans="1:6" x14ac:dyDescent="0.25">
      <c r="A109" s="10" t="str">
        <f>$A$24</f>
        <v>Health and social work</v>
      </c>
      <c r="B109" s="27">
        <f t="shared" si="14"/>
        <v>11.962999999999901</v>
      </c>
      <c r="C109" s="27">
        <f t="shared" si="15"/>
        <v>-1.0599999999998033</v>
      </c>
      <c r="D109" s="27">
        <f t="shared" si="16"/>
        <v>4.7449999999996919</v>
      </c>
      <c r="E109" s="27">
        <f t="shared" si="17"/>
        <v>4.6880000000001729</v>
      </c>
      <c r="F109" s="27">
        <f t="shared" si="13"/>
        <v>9.4329999999998648</v>
      </c>
    </row>
    <row r="110" spans="1:6" x14ac:dyDescent="0.25">
      <c r="A110" s="10" t="str">
        <f>$A$25</f>
        <v>Arts and entertainment</v>
      </c>
      <c r="B110" s="27">
        <f t="shared" si="14"/>
        <v>0.26799999999999002</v>
      </c>
      <c r="C110" s="27">
        <f t="shared" si="15"/>
        <v>-0.25999999999999801</v>
      </c>
      <c r="D110" s="27">
        <f t="shared" si="16"/>
        <v>-0.62500000000000533</v>
      </c>
      <c r="E110" s="27">
        <f t="shared" si="17"/>
        <v>0.6679999999999886</v>
      </c>
      <c r="F110" s="27">
        <f t="shared" si="13"/>
        <v>4.2999999999983274E-2</v>
      </c>
    </row>
    <row r="111" spans="1:6" x14ac:dyDescent="0.25">
      <c r="A111" s="10" t="str">
        <f>$A$26</f>
        <v>Other services</v>
      </c>
      <c r="B111" s="27">
        <f t="shared" si="14"/>
        <v>-2.7419999999999867</v>
      </c>
      <c r="C111" s="27">
        <f t="shared" si="15"/>
        <v>-0.73500000000001897</v>
      </c>
      <c r="D111" s="27">
        <f t="shared" si="16"/>
        <v>-0.34299999999996977</v>
      </c>
      <c r="E111" s="27">
        <f t="shared" si="17"/>
        <v>-9.0000000000287628E-3</v>
      </c>
      <c r="F111" s="27">
        <f t="shared" si="13"/>
        <v>-0.35199999999999854</v>
      </c>
    </row>
    <row r="112" spans="1:6" x14ac:dyDescent="0.25">
      <c r="B112" s="27"/>
      <c r="C112" s="27"/>
      <c r="D112" s="27"/>
      <c r="E112" s="27"/>
      <c r="F112" s="27"/>
    </row>
    <row r="113" spans="1:6" x14ac:dyDescent="0.25">
      <c r="A113" s="24" t="str">
        <f>$A$28</f>
        <v>All industries</v>
      </c>
      <c r="B113" s="29">
        <f>C28-B28</f>
        <v>4.3689999999999714</v>
      </c>
      <c r="C113" s="29">
        <f>D28-C28</f>
        <v>-13.736999999999966</v>
      </c>
      <c r="D113" s="29">
        <f>E28-D28</f>
        <v>11.933999999999628</v>
      </c>
      <c r="E113" s="29">
        <f>F28-E28</f>
        <v>13.816000000000088</v>
      </c>
      <c r="F113" s="29">
        <f>F28-D28</f>
        <v>25.749999999999716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topLeftCell="A87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CONCATENATE("Industry Table 4  Employment by Industry Group in Sector (SIC 2007), ",B$5,"-",F$5,", ",Info!B5)</f>
        <v>Industry Table 4  Employment by Industry Group in Sector (SIC 2007), 2015-2035, Black Country</v>
      </c>
    </row>
    <row r="2" spans="1:12" ht="12.75" customHeight="1" x14ac:dyDescent="0.3">
      <c r="A2" s="182" t="s">
        <v>519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'Ind T1'!A7</f>
        <v>Primary sector and utilities</v>
      </c>
      <c r="B7" s="31">
        <f>'Ind T1'!B7</f>
        <v>12.683999999999983</v>
      </c>
      <c r="C7" s="31">
        <f>'Ind T1'!C7</f>
        <v>8.5460000000000012</v>
      </c>
      <c r="D7" s="31">
        <f>'Ind T1'!D7</f>
        <v>7.0440000000000094</v>
      </c>
      <c r="E7" s="31">
        <f>'Ind T1'!E7</f>
        <v>7.0900000000000025</v>
      </c>
      <c r="F7" s="31">
        <f>'Ind T1'!F7</f>
        <v>7.1439999999999957</v>
      </c>
      <c r="H7" s="31">
        <f>C7-B7</f>
        <v>-4.1379999999999821</v>
      </c>
      <c r="I7" s="31">
        <f>D7-C7</f>
        <v>-1.5019999999999918</v>
      </c>
      <c r="J7" s="31">
        <f>E7-D7</f>
        <v>4.5999999999993157E-2</v>
      </c>
      <c r="K7" s="31">
        <f>F7-E7</f>
        <v>5.3999999999993165E-2</v>
      </c>
      <c r="L7" s="31">
        <f>F7-D7</f>
        <v>9.9999999999986322E-2</v>
      </c>
    </row>
    <row r="8" spans="1:12" ht="13" x14ac:dyDescent="0.3">
      <c r="A8" t="str">
        <f>'Ind T2'!A5</f>
        <v>Agriculture</v>
      </c>
      <c r="B8" s="32">
        <f>'Ind T2'!B5</f>
        <v>2.9649999999999994</v>
      </c>
      <c r="C8" s="32">
        <f>'Ind T2'!C5</f>
        <v>2.2860000000000018</v>
      </c>
      <c r="D8" s="32">
        <f>'Ind T2'!D5</f>
        <v>1.1150000000000002</v>
      </c>
      <c r="E8" s="32">
        <f>'Ind T2'!E5</f>
        <v>1.2120000000000011</v>
      </c>
      <c r="F8" s="32">
        <f>'Ind T2'!F5</f>
        <v>1.2149999999999985</v>
      </c>
      <c r="H8" s="11">
        <f t="shared" ref="H8:H40" si="0">C8-B8</f>
        <v>-0.67899999999999761</v>
      </c>
      <c r="I8" s="31">
        <f t="shared" ref="I8:I38" si="1">D8-C8</f>
        <v>-1.1710000000000016</v>
      </c>
      <c r="J8" s="11">
        <f t="shared" ref="J8:J38" si="2">E8-D8</f>
        <v>9.7000000000000863E-2</v>
      </c>
      <c r="K8" s="11">
        <f t="shared" ref="K8:K38" si="3">F8-E8</f>
        <v>2.9999999999974492E-3</v>
      </c>
      <c r="L8" s="31">
        <f t="shared" ref="L8:L40" si="4">F8-D8</f>
        <v>9.9999999999998312E-2</v>
      </c>
    </row>
    <row r="9" spans="1:12" ht="13" x14ac:dyDescent="0.3">
      <c r="A9" t="str">
        <f>'Ind T2'!A6</f>
        <v>Mining and quarrying</v>
      </c>
      <c r="B9" s="32">
        <f>'Ind T2'!B6</f>
        <v>0.16200000000000017</v>
      </c>
      <c r="C9" s="32">
        <f>'Ind T2'!C6</f>
        <v>0.14499999999999999</v>
      </c>
      <c r="D9" s="32">
        <f>'Ind T2'!D6</f>
        <v>0.1549999999999995</v>
      </c>
      <c r="E9" s="32">
        <f>'Ind T2'!E6</f>
        <v>0.10899999999999994</v>
      </c>
      <c r="F9" s="32">
        <f>'Ind T2'!F6</f>
        <v>6.2999999999999987E-2</v>
      </c>
      <c r="H9" s="11">
        <f t="shared" si="0"/>
        <v>-1.7000000000000182E-2</v>
      </c>
      <c r="I9" s="31">
        <f t="shared" si="1"/>
        <v>9.9999999999995093E-3</v>
      </c>
      <c r="J9" s="11">
        <f t="shared" si="2"/>
        <v>-4.5999999999999555E-2</v>
      </c>
      <c r="K9" s="11">
        <f t="shared" si="3"/>
        <v>-4.5999999999999958E-2</v>
      </c>
      <c r="L9" s="31">
        <f t="shared" si="4"/>
        <v>-9.1999999999999513E-2</v>
      </c>
    </row>
    <row r="10" spans="1:12" ht="13" x14ac:dyDescent="0.3">
      <c r="A10" t="str">
        <f>'Ind T2'!A10</f>
        <v>Electricity and gas</v>
      </c>
      <c r="B10" s="32">
        <f>'Ind T2'!B10</f>
        <v>5.225000000000005</v>
      </c>
      <c r="C10" s="32">
        <f>'Ind T2'!C10</f>
        <v>1.7090000000000003</v>
      </c>
      <c r="D10" s="32">
        <f>'Ind T2'!D10</f>
        <v>1.9710000000000003</v>
      </c>
      <c r="E10" s="32">
        <f>'Ind T2'!E10</f>
        <v>1.8560000000000028</v>
      </c>
      <c r="F10" s="32">
        <f>'Ind T2'!F10</f>
        <v>1.8179999999999998</v>
      </c>
      <c r="H10" s="11">
        <f t="shared" si="0"/>
        <v>-3.5160000000000045</v>
      </c>
      <c r="I10" s="31">
        <f t="shared" si="1"/>
        <v>0.26200000000000001</v>
      </c>
      <c r="J10" s="11">
        <f t="shared" si="2"/>
        <v>-0.11499999999999755</v>
      </c>
      <c r="K10" s="11">
        <f t="shared" si="3"/>
        <v>-3.800000000000292E-2</v>
      </c>
      <c r="L10" s="31">
        <f t="shared" si="4"/>
        <v>-0.15300000000000047</v>
      </c>
    </row>
    <row r="11" spans="1:12" ht="13" x14ac:dyDescent="0.3">
      <c r="A11" t="str">
        <f>'Ind T2'!A11</f>
        <v>Water and sewerage</v>
      </c>
      <c r="B11" s="32">
        <f>'Ind T2'!B11</f>
        <v>4.3319999999999794</v>
      </c>
      <c r="C11" s="32">
        <f>'Ind T2'!C11</f>
        <v>4.4059999999999988</v>
      </c>
      <c r="D11" s="32">
        <f>'Ind T2'!D11</f>
        <v>3.8030000000000097</v>
      </c>
      <c r="E11" s="32">
        <f>'Ind T2'!E11</f>
        <v>3.9129999999999985</v>
      </c>
      <c r="F11" s="32">
        <f>'Ind T2'!F11</f>
        <v>4.0479999999999974</v>
      </c>
      <c r="H11" s="11">
        <f t="shared" ref="H11" si="5">C11-B11</f>
        <v>7.4000000000019384E-2</v>
      </c>
      <c r="I11" s="31">
        <f t="shared" ref="I11" si="6">D11-C11</f>
        <v>-0.6029999999999891</v>
      </c>
      <c r="J11" s="11">
        <f t="shared" ref="J11" si="7">E11-D11</f>
        <v>0.10999999999998877</v>
      </c>
      <c r="K11" s="11">
        <f t="shared" ref="K11" si="8">F11-E11</f>
        <v>0.1349999999999989</v>
      </c>
      <c r="L11" s="31">
        <f t="shared" si="4"/>
        <v>0.24499999999998767</v>
      </c>
    </row>
    <row r="12" spans="1:12" ht="13" x14ac:dyDescent="0.3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ht="13" x14ac:dyDescent="0.3">
      <c r="A13" s="30" t="str">
        <f>'Ind T1'!A8</f>
        <v>Manufacturing</v>
      </c>
      <c r="B13" s="31">
        <f>'Ind T1'!B8</f>
        <v>68.658999999999878</v>
      </c>
      <c r="C13" s="31">
        <f>'Ind T1'!C8</f>
        <v>69.284999999999926</v>
      </c>
      <c r="D13" s="31">
        <f>'Ind T1'!D8</f>
        <v>63.879000000000019</v>
      </c>
      <c r="E13" s="31">
        <f>'Ind T1'!E8</f>
        <v>62.486999999999853</v>
      </c>
      <c r="F13" s="31">
        <f>'Ind T1'!F8</f>
        <v>56.88999999999993</v>
      </c>
      <c r="H13" s="31">
        <f t="shared" si="0"/>
        <v>0.62600000000004741</v>
      </c>
      <c r="I13" s="31">
        <f t="shared" si="1"/>
        <v>-5.4059999999999064</v>
      </c>
      <c r="J13" s="31">
        <f t="shared" si="2"/>
        <v>-1.3920000000001664</v>
      </c>
      <c r="K13" s="31">
        <f t="shared" si="3"/>
        <v>-5.5969999999999231</v>
      </c>
      <c r="L13" s="31">
        <f t="shared" si="4"/>
        <v>-6.9890000000000896</v>
      </c>
    </row>
    <row r="14" spans="1:12" ht="13" x14ac:dyDescent="0.3">
      <c r="A14" t="str">
        <f>'Ind T2'!A7</f>
        <v>Food drink and tobacco</v>
      </c>
      <c r="B14" s="32">
        <f>'Ind T2'!B7</f>
        <v>7.0119999999999862</v>
      </c>
      <c r="C14" s="32">
        <f>'Ind T2'!C7</f>
        <v>6.3419999999999943</v>
      </c>
      <c r="D14" s="32">
        <f>'Ind T2'!D7</f>
        <v>6.2970000000000024</v>
      </c>
      <c r="E14" s="32">
        <f>'Ind T2'!E7</f>
        <v>6.3359999999999932</v>
      </c>
      <c r="F14" s="32">
        <f>'Ind T2'!F7</f>
        <v>6.1889999999999938</v>
      </c>
      <c r="H14" s="11">
        <f t="shared" si="0"/>
        <v>-0.66999999999999194</v>
      </c>
      <c r="I14" s="31">
        <f t="shared" si="1"/>
        <v>-4.4999999999991935E-2</v>
      </c>
      <c r="J14" s="11">
        <f t="shared" si="2"/>
        <v>3.899999999999082E-2</v>
      </c>
      <c r="K14" s="11">
        <f t="shared" si="3"/>
        <v>-0.14699999999999935</v>
      </c>
      <c r="L14" s="31">
        <f t="shared" si="4"/>
        <v>-0.10800000000000853</v>
      </c>
    </row>
    <row r="15" spans="1:12" ht="13" x14ac:dyDescent="0.3">
      <c r="A15" t="str">
        <f>'Ind T2'!A8</f>
        <v>Engineering</v>
      </c>
      <c r="B15" s="32">
        <f>'Ind T2'!B8</f>
        <v>6.9600000000000088</v>
      </c>
      <c r="C15" s="32">
        <f>'Ind T2'!C8</f>
        <v>8.1669999999999945</v>
      </c>
      <c r="D15" s="32">
        <f>'Ind T2'!D8</f>
        <v>7.4150000000000249</v>
      </c>
      <c r="E15" s="32">
        <f>'Ind T2'!E8</f>
        <v>7.8680000000000039</v>
      </c>
      <c r="F15" s="32">
        <f>'Ind T2'!F8</f>
        <v>7.0909999999999744</v>
      </c>
      <c r="H15" s="11">
        <f t="shared" si="0"/>
        <v>1.2069999999999856</v>
      </c>
      <c r="I15" s="31">
        <f t="shared" si="1"/>
        <v>-0.75199999999996958</v>
      </c>
      <c r="J15" s="11">
        <f t="shared" si="2"/>
        <v>0.45299999999997898</v>
      </c>
      <c r="K15" s="11">
        <f t="shared" si="3"/>
        <v>-0.77700000000002944</v>
      </c>
      <c r="L15" s="31">
        <f t="shared" si="4"/>
        <v>-0.32400000000005047</v>
      </c>
    </row>
    <row r="16" spans="1:12" ht="13" x14ac:dyDescent="0.3">
      <c r="A16" t="str">
        <f>'Ind T2'!A9</f>
        <v>Rest of manufacturing</v>
      </c>
      <c r="B16" s="32">
        <f>'Ind T2'!B9</f>
        <v>54.686999999999884</v>
      </c>
      <c r="C16" s="32">
        <f>'Ind T2'!C9</f>
        <v>54.775999999999939</v>
      </c>
      <c r="D16" s="32">
        <f>'Ind T2'!D9</f>
        <v>50.166999999999987</v>
      </c>
      <c r="E16" s="32">
        <f>'Ind T2'!E9</f>
        <v>48.282999999999852</v>
      </c>
      <c r="F16" s="32">
        <f>'Ind T2'!F9</f>
        <v>43.609999999999964</v>
      </c>
      <c r="H16" s="11">
        <f t="shared" si="0"/>
        <v>8.9000000000055479E-2</v>
      </c>
      <c r="I16" s="31">
        <f t="shared" si="1"/>
        <v>-4.608999999999952</v>
      </c>
      <c r="J16" s="11">
        <f t="shared" si="2"/>
        <v>-1.8840000000001353</v>
      </c>
      <c r="K16" s="11">
        <f t="shared" si="3"/>
        <v>-4.6729999999998881</v>
      </c>
      <c r="L16" s="31">
        <f t="shared" si="4"/>
        <v>-6.5570000000000235</v>
      </c>
    </row>
    <row r="17" spans="1:12" ht="13" x14ac:dyDescent="0.3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ht="13" x14ac:dyDescent="0.3">
      <c r="A18" s="30" t="str">
        <f>'Ind T1'!A9</f>
        <v>Construction</v>
      </c>
      <c r="B18" s="31">
        <f>'Ind T1'!B9</f>
        <v>31.762999999999963</v>
      </c>
      <c r="C18" s="31">
        <f>'Ind T1'!C9</f>
        <v>39.074999999999903</v>
      </c>
      <c r="D18" s="31">
        <f>'Ind T1'!D9</f>
        <v>37.015000000000043</v>
      </c>
      <c r="E18" s="31">
        <f>'Ind T1'!E9</f>
        <v>36.904000000000053</v>
      </c>
      <c r="F18" s="31">
        <f>'Ind T1'!F9</f>
        <v>37.449999999999932</v>
      </c>
      <c r="H18" s="31">
        <f t="shared" si="0"/>
        <v>7.3119999999999408</v>
      </c>
      <c r="I18" s="31">
        <f t="shared" si="1"/>
        <v>-2.0599999999998602</v>
      </c>
      <c r="J18" s="31">
        <f t="shared" si="2"/>
        <v>-0.11099999999999</v>
      </c>
      <c r="K18" s="31">
        <f t="shared" si="3"/>
        <v>0.54599999999987858</v>
      </c>
      <c r="L18" s="31">
        <f t="shared" si="4"/>
        <v>0.43499999999988859</v>
      </c>
    </row>
    <row r="19" spans="1:12" ht="13" x14ac:dyDescent="0.3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ht="13" x14ac:dyDescent="0.3">
      <c r="A20" s="30" t="str">
        <f>'Ind T1'!A10</f>
        <v>Trade, accomod. and transport</v>
      </c>
      <c r="B20" s="31">
        <f>'Ind T1'!B10</f>
        <v>147.42899999999989</v>
      </c>
      <c r="C20" s="31">
        <f>'Ind T1'!C10</f>
        <v>146.70800000000006</v>
      </c>
      <c r="D20" s="31">
        <f>'Ind T1'!D10</f>
        <v>144.72399999999985</v>
      </c>
      <c r="E20" s="31">
        <f>'Ind T1'!E10</f>
        <v>150.00999999999996</v>
      </c>
      <c r="F20" s="31">
        <f>'Ind T1'!F10</f>
        <v>155.95600000000013</v>
      </c>
      <c r="H20" s="31">
        <f t="shared" si="0"/>
        <v>-0.72099999999983311</v>
      </c>
      <c r="I20" s="31">
        <f t="shared" si="1"/>
        <v>-1.9840000000002078</v>
      </c>
      <c r="J20" s="31">
        <f t="shared" si="2"/>
        <v>5.2860000000001151</v>
      </c>
      <c r="K20" s="31">
        <f t="shared" si="3"/>
        <v>5.9460000000001685</v>
      </c>
      <c r="L20" s="31">
        <f t="shared" si="4"/>
        <v>11.232000000000284</v>
      </c>
    </row>
    <row r="21" spans="1:12" ht="13" x14ac:dyDescent="0.3">
      <c r="A21" s="10" t="str">
        <f>'Ind T2'!A13</f>
        <v>Wholesale and retail trade</v>
      </c>
      <c r="B21" s="32">
        <f>'Ind T2'!B13</f>
        <v>92.065999999999917</v>
      </c>
      <c r="C21" s="32">
        <f>'Ind T2'!C13</f>
        <v>88.560000000000031</v>
      </c>
      <c r="D21" s="32">
        <f>'Ind T2'!D13</f>
        <v>87.073999999999927</v>
      </c>
      <c r="E21" s="32">
        <f>'Ind T2'!E13</f>
        <v>87.878999999999934</v>
      </c>
      <c r="F21" s="32">
        <f>'Ind T2'!F13</f>
        <v>88.843000000000146</v>
      </c>
      <c r="H21" s="11">
        <f t="shared" si="0"/>
        <v>-3.5059999999998865</v>
      </c>
      <c r="I21" s="31">
        <f t="shared" si="1"/>
        <v>-1.4860000000001037</v>
      </c>
      <c r="J21" s="11">
        <f t="shared" si="2"/>
        <v>0.80500000000000682</v>
      </c>
      <c r="K21" s="11">
        <f t="shared" si="3"/>
        <v>0.9640000000002118</v>
      </c>
      <c r="L21" s="31">
        <f t="shared" si="4"/>
        <v>1.7690000000002186</v>
      </c>
    </row>
    <row r="22" spans="1:12" ht="13" x14ac:dyDescent="0.3">
      <c r="A22" s="10" t="str">
        <f>'Ind T2'!A14</f>
        <v>Transport and storage</v>
      </c>
      <c r="B22" s="32">
        <f>'Ind T2'!B14</f>
        <v>33.457000000000008</v>
      </c>
      <c r="C22" s="32">
        <f>'Ind T2'!C14</f>
        <v>34.173000000000066</v>
      </c>
      <c r="D22" s="32">
        <f>'Ind T2'!D14</f>
        <v>32.947999999999908</v>
      </c>
      <c r="E22" s="32">
        <f>'Ind T2'!E14</f>
        <v>35.964000000000034</v>
      </c>
      <c r="F22" s="32">
        <f>'Ind T2'!F14</f>
        <v>37.760999999999989</v>
      </c>
      <c r="H22" s="11">
        <f t="shared" si="0"/>
        <v>0.71600000000005792</v>
      </c>
      <c r="I22" s="31">
        <f t="shared" si="1"/>
        <v>-1.2250000000001577</v>
      </c>
      <c r="J22" s="11">
        <f t="shared" si="2"/>
        <v>3.0160000000001261</v>
      </c>
      <c r="K22" s="11">
        <f t="shared" si="3"/>
        <v>1.7969999999999544</v>
      </c>
      <c r="L22" s="31">
        <f t="shared" si="4"/>
        <v>4.8130000000000805</v>
      </c>
    </row>
    <row r="23" spans="1:12" ht="13" x14ac:dyDescent="0.3">
      <c r="A23" s="10" t="str">
        <f>'Ind T2'!A15</f>
        <v>Accommodation and food</v>
      </c>
      <c r="B23" s="32">
        <f>'Ind T2'!B15</f>
        <v>21.905999999999974</v>
      </c>
      <c r="C23" s="32">
        <f>'Ind T2'!C15</f>
        <v>23.974999999999959</v>
      </c>
      <c r="D23" s="32">
        <f>'Ind T2'!D15</f>
        <v>24.702000000000005</v>
      </c>
      <c r="E23" s="32">
        <f>'Ind T2'!E15</f>
        <v>26.167000000000009</v>
      </c>
      <c r="F23" s="32">
        <f>'Ind T2'!F15</f>
        <v>29.35199999999999</v>
      </c>
      <c r="H23" s="11">
        <f t="shared" si="0"/>
        <v>2.0689999999999849</v>
      </c>
      <c r="I23" s="31">
        <f t="shared" si="1"/>
        <v>0.7270000000000465</v>
      </c>
      <c r="J23" s="11">
        <f t="shared" si="2"/>
        <v>1.4650000000000034</v>
      </c>
      <c r="K23" s="11">
        <f t="shared" si="3"/>
        <v>3.184999999999981</v>
      </c>
      <c r="L23" s="31">
        <f t="shared" si="4"/>
        <v>4.6499999999999844</v>
      </c>
    </row>
    <row r="24" spans="1:12" ht="13" x14ac:dyDescent="0.3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ht="13" x14ac:dyDescent="0.3">
      <c r="A25" s="30" t="str">
        <f>'Ind T1'!A11</f>
        <v>Business and other services</v>
      </c>
      <c r="B25" s="31">
        <f>'Ind T1'!B11</f>
        <v>123.34700000000011</v>
      </c>
      <c r="C25" s="31">
        <f>'Ind T1'!C11</f>
        <v>113.62800000000011</v>
      </c>
      <c r="D25" s="31">
        <f>'Ind T1'!D11</f>
        <v>111.41799999999995</v>
      </c>
      <c r="E25" s="31">
        <f>'Ind T1'!E11</f>
        <v>113.28999999999995</v>
      </c>
      <c r="F25" s="31">
        <f>'Ind T1'!F11</f>
        <v>117.91199999999995</v>
      </c>
      <c r="H25" s="31">
        <f t="shared" si="0"/>
        <v>-9.7189999999999941</v>
      </c>
      <c r="I25" s="31">
        <f t="shared" si="1"/>
        <v>-2.2100000000001643</v>
      </c>
      <c r="J25" s="31">
        <f t="shared" si="2"/>
        <v>1.8719999999999999</v>
      </c>
      <c r="K25" s="31">
        <f t="shared" si="3"/>
        <v>4.6219999999999999</v>
      </c>
      <c r="L25" s="31">
        <f t="shared" si="4"/>
        <v>6.4939999999999998</v>
      </c>
    </row>
    <row r="26" spans="1:12" ht="13" x14ac:dyDescent="0.3">
      <c r="A26" s="10" t="str">
        <f>'Ind T2'!A16</f>
        <v>Media</v>
      </c>
      <c r="B26" s="11">
        <f>'Ind T2'!B16</f>
        <v>1.7079999999999993</v>
      </c>
      <c r="C26" s="11">
        <f>'Ind T2'!C16</f>
        <v>1.8249999999999975</v>
      </c>
      <c r="D26" s="11">
        <f>'Ind T2'!D16</f>
        <v>2.1100000000000025</v>
      </c>
      <c r="E26" s="11">
        <f>'Ind T2'!E16</f>
        <v>2.077999999999999</v>
      </c>
      <c r="F26" s="11">
        <f>'Ind T2'!F16</f>
        <v>2.1059999999999963</v>
      </c>
      <c r="H26" s="11">
        <f t="shared" si="0"/>
        <v>0.11699999999999822</v>
      </c>
      <c r="I26" s="31">
        <f t="shared" si="1"/>
        <v>0.28500000000000503</v>
      </c>
      <c r="J26" s="11">
        <f t="shared" si="2"/>
        <v>-3.2000000000003581E-2</v>
      </c>
      <c r="K26" s="11">
        <f t="shared" si="3"/>
        <v>2.799999999999736E-2</v>
      </c>
      <c r="L26" s="31">
        <f t="shared" si="4"/>
        <v>-4.0000000000062208E-3</v>
      </c>
    </row>
    <row r="27" spans="1:12" ht="13" x14ac:dyDescent="0.3">
      <c r="A27" s="10" t="str">
        <f>'Ind T2'!A17</f>
        <v>Information technology</v>
      </c>
      <c r="B27" s="11">
        <f>'Ind T2'!B17</f>
        <v>6.5380000000000287</v>
      </c>
      <c r="C27" s="11">
        <f>'Ind T2'!C17</f>
        <v>6.3940000000000188</v>
      </c>
      <c r="D27" s="11">
        <f>'Ind T2'!D17</f>
        <v>6.8729999999999754</v>
      </c>
      <c r="E27" s="11">
        <f>'Ind T2'!E17</f>
        <v>7.1500000000000048</v>
      </c>
      <c r="F27" s="11">
        <f>'Ind T2'!F17</f>
        <v>7.39</v>
      </c>
      <c r="H27" s="11">
        <f t="shared" si="0"/>
        <v>-0.1440000000000099</v>
      </c>
      <c r="I27" s="31">
        <f t="shared" si="1"/>
        <v>0.47899999999995657</v>
      </c>
      <c r="J27" s="11">
        <f t="shared" si="2"/>
        <v>0.27700000000002944</v>
      </c>
      <c r="K27" s="11">
        <f t="shared" si="3"/>
        <v>0.23999999999999488</v>
      </c>
      <c r="L27" s="31">
        <f t="shared" si="4"/>
        <v>0.51700000000002433</v>
      </c>
    </row>
    <row r="28" spans="1:12" ht="13" x14ac:dyDescent="0.3">
      <c r="A28" s="10" t="str">
        <f>'Ind T2'!A18</f>
        <v>Finance and insurance</v>
      </c>
      <c r="B28" s="11">
        <f>'Ind T2'!B18</f>
        <v>10.219000000000026</v>
      </c>
      <c r="C28" s="11">
        <f>'Ind T2'!C18</f>
        <v>10.284000000000022</v>
      </c>
      <c r="D28" s="11">
        <f>'Ind T2'!D18</f>
        <v>10.441000000000015</v>
      </c>
      <c r="E28" s="11">
        <f>'Ind T2'!E18</f>
        <v>10.454000000000013</v>
      </c>
      <c r="F28" s="11">
        <f>'Ind T2'!F18</f>
        <v>10.053999999999988</v>
      </c>
      <c r="H28" s="11">
        <f t="shared" si="0"/>
        <v>6.499999999999595E-2</v>
      </c>
      <c r="I28" s="31">
        <f t="shared" si="1"/>
        <v>0.15699999999999292</v>
      </c>
      <c r="J28" s="11">
        <f t="shared" si="2"/>
        <v>1.2999999999998124E-2</v>
      </c>
      <c r="K28" s="11">
        <f t="shared" si="3"/>
        <v>-0.40000000000002522</v>
      </c>
      <c r="L28" s="31">
        <f t="shared" si="4"/>
        <v>-0.3870000000000271</v>
      </c>
    </row>
    <row r="29" spans="1:12" ht="13" x14ac:dyDescent="0.3">
      <c r="A29" s="10" t="str">
        <f>'Ind T2'!A19</f>
        <v>Real estate</v>
      </c>
      <c r="B29" s="11">
        <f>'Ind T2'!B19</f>
        <v>7.7229999999999945</v>
      </c>
      <c r="C29" s="11">
        <f>'Ind T2'!C19</f>
        <v>10.185</v>
      </c>
      <c r="D29" s="11">
        <f>'Ind T2'!D19</f>
        <v>10.239999999999995</v>
      </c>
      <c r="E29" s="11">
        <f>'Ind T2'!E19</f>
        <v>10.307999999999987</v>
      </c>
      <c r="F29" s="11">
        <f>'Ind T2'!F19</f>
        <v>11.23800000000001</v>
      </c>
      <c r="H29" s="11">
        <f t="shared" ref="H29:H31" si="9">C29-B29</f>
        <v>2.462000000000006</v>
      </c>
      <c r="I29" s="31">
        <f t="shared" ref="I29:I31" si="10">D29-C29</f>
        <v>5.4999999999994387E-2</v>
      </c>
      <c r="J29" s="11">
        <f t="shared" ref="J29:J31" si="11">E29-D29</f>
        <v>6.7999999999992511E-2</v>
      </c>
      <c r="K29" s="11">
        <f t="shared" ref="K29:K31" si="12">F29-E29</f>
        <v>0.93000000000002281</v>
      </c>
      <c r="L29" s="31">
        <f t="shared" si="4"/>
        <v>0.99800000000001532</v>
      </c>
    </row>
    <row r="30" spans="1:12" ht="13" x14ac:dyDescent="0.3">
      <c r="A30" s="10" t="str">
        <f>'Ind T2'!A20</f>
        <v>Professional services</v>
      </c>
      <c r="B30" s="11">
        <f>'Ind T2'!B20</f>
        <v>28.591999999999977</v>
      </c>
      <c r="C30" s="11">
        <f>'Ind T2'!C20</f>
        <v>24.794000000000015</v>
      </c>
      <c r="D30" s="11">
        <f>'Ind T2'!D20</f>
        <v>24.729000000000006</v>
      </c>
      <c r="E30" s="11">
        <f>'Ind T2'!E20</f>
        <v>25.55599999999999</v>
      </c>
      <c r="F30" s="11">
        <f>'Ind T2'!F20</f>
        <v>26.89300000000004</v>
      </c>
      <c r="H30" s="11">
        <f t="shared" si="9"/>
        <v>-3.7979999999999627</v>
      </c>
      <c r="I30" s="31">
        <f t="shared" si="10"/>
        <v>-6.5000000000008384E-2</v>
      </c>
      <c r="J30" s="11">
        <f t="shared" si="11"/>
        <v>0.82699999999998397</v>
      </c>
      <c r="K30" s="11">
        <f t="shared" si="12"/>
        <v>1.3370000000000495</v>
      </c>
      <c r="L30" s="31">
        <f t="shared" si="4"/>
        <v>2.1640000000000335</v>
      </c>
    </row>
    <row r="31" spans="1:12" ht="13" x14ac:dyDescent="0.3">
      <c r="A31" s="10" t="str">
        <f>'Ind T2'!A21</f>
        <v>Support services</v>
      </c>
      <c r="B31" s="11">
        <f>'Ind T2'!B21</f>
        <v>40.241000000000078</v>
      </c>
      <c r="C31" s="11">
        <f>'Ind T2'!C21</f>
        <v>34.294000000000032</v>
      </c>
      <c r="D31" s="11">
        <f>'Ind T2'!D21</f>
        <v>32.167999999999957</v>
      </c>
      <c r="E31" s="11">
        <f>'Ind T2'!E21</f>
        <v>33.85499999999994</v>
      </c>
      <c r="F31" s="11">
        <f>'Ind T2'!F21</f>
        <v>35.682999999999936</v>
      </c>
      <c r="H31" s="11">
        <f t="shared" si="9"/>
        <v>-5.9470000000000454</v>
      </c>
      <c r="I31" s="31">
        <f t="shared" si="10"/>
        <v>-2.1260000000000758</v>
      </c>
      <c r="J31" s="11">
        <f t="shared" si="11"/>
        <v>1.6869999999999834</v>
      </c>
      <c r="K31" s="11">
        <f t="shared" si="12"/>
        <v>1.8279999999999959</v>
      </c>
      <c r="L31" s="31">
        <f t="shared" si="4"/>
        <v>3.5149999999999793</v>
      </c>
    </row>
    <row r="32" spans="1:12" ht="13" x14ac:dyDescent="0.3">
      <c r="A32" s="10" t="str">
        <f>'Ind T2'!A25</f>
        <v>Arts and entertainment</v>
      </c>
      <c r="B32" s="11">
        <f>'Ind T2'!B25</f>
        <v>11.902000000000019</v>
      </c>
      <c r="C32" s="11">
        <f>'Ind T2'!C25</f>
        <v>12.170000000000009</v>
      </c>
      <c r="D32" s="11">
        <f>'Ind T2'!D25</f>
        <v>11.910000000000011</v>
      </c>
      <c r="E32" s="11">
        <f>'Ind T2'!E25</f>
        <v>11.285000000000005</v>
      </c>
      <c r="F32" s="11">
        <f>'Ind T2'!F25</f>
        <v>11.952999999999994</v>
      </c>
      <c r="H32" s="11">
        <f t="shared" ref="H32" si="13">C32-B32</f>
        <v>0.26799999999999002</v>
      </c>
      <c r="I32" s="31">
        <f t="shared" ref="I32:I33" si="14">D32-C32</f>
        <v>-0.25999999999999801</v>
      </c>
      <c r="J32" s="11">
        <f t="shared" ref="J32:J33" si="15">E32-D32</f>
        <v>-0.62500000000000533</v>
      </c>
      <c r="K32" s="11">
        <f t="shared" ref="K32:K33" si="16">F32-E32</f>
        <v>0.6679999999999886</v>
      </c>
      <c r="L32" s="31">
        <f t="shared" si="4"/>
        <v>4.2999999999983274E-2</v>
      </c>
    </row>
    <row r="33" spans="1:12" ht="13" x14ac:dyDescent="0.3">
      <c r="A33" s="10" t="str">
        <f>'Ind T2'!A26</f>
        <v>Other services</v>
      </c>
      <c r="B33" s="11">
        <f>'Ind T2'!B26</f>
        <v>16.423999999999992</v>
      </c>
      <c r="C33" s="11">
        <f>'Ind T2'!C26</f>
        <v>13.682000000000006</v>
      </c>
      <c r="D33" s="11">
        <f>'Ind T2'!D26</f>
        <v>12.946999999999987</v>
      </c>
      <c r="E33" s="11">
        <f>'Ind T2'!E26</f>
        <v>12.604000000000017</v>
      </c>
      <c r="F33" s="11">
        <f>'Ind T2'!F26</f>
        <v>12.594999999999988</v>
      </c>
      <c r="H33" s="11">
        <f>C33-B33</f>
        <v>-2.7419999999999867</v>
      </c>
      <c r="I33" s="31">
        <f t="shared" si="14"/>
        <v>-0.73500000000001897</v>
      </c>
      <c r="J33" s="11">
        <f t="shared" si="15"/>
        <v>-0.34299999999996977</v>
      </c>
      <c r="K33" s="11">
        <f t="shared" si="16"/>
        <v>-9.0000000000287628E-3</v>
      </c>
      <c r="L33" s="31">
        <f t="shared" si="4"/>
        <v>-0.35199999999999854</v>
      </c>
    </row>
    <row r="34" spans="1:12" ht="13" x14ac:dyDescent="0.3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ht="13" x14ac:dyDescent="0.3">
      <c r="A35" s="30" t="str">
        <f>'Ind T1'!A12</f>
        <v>Non-marketed services</v>
      </c>
      <c r="B35" s="31">
        <f>'Ind T1'!B12</f>
        <v>121.68000000000021</v>
      </c>
      <c r="C35" s="31">
        <f>'Ind T1'!C12</f>
        <v>132.68900000000008</v>
      </c>
      <c r="D35" s="31">
        <f>'Ind T1'!D12</f>
        <v>132.11400000000015</v>
      </c>
      <c r="E35" s="31">
        <f>'Ind T1'!E12</f>
        <v>138.34699999999987</v>
      </c>
      <c r="F35" s="31">
        <f>'Ind T1'!F12</f>
        <v>146.59199999999993</v>
      </c>
      <c r="H35" s="31">
        <f t="shared" si="0"/>
        <v>11.008999999999872</v>
      </c>
      <c r="I35" s="31">
        <f t="shared" si="1"/>
        <v>-0.57499999999993179</v>
      </c>
      <c r="J35" s="31">
        <f t="shared" si="2"/>
        <v>6.2329999999997199</v>
      </c>
      <c r="K35" s="31">
        <f t="shared" si="3"/>
        <v>8.2450000000000614</v>
      </c>
      <c r="L35" s="31">
        <f t="shared" si="4"/>
        <v>14.477999999999781</v>
      </c>
    </row>
    <row r="36" spans="1:12" ht="13" x14ac:dyDescent="0.3">
      <c r="A36" s="10" t="str">
        <f>'Ind T2'!A22</f>
        <v>Public admin. and defence</v>
      </c>
      <c r="B36" s="32">
        <f>'Ind T2'!B22</f>
        <v>16.002999999999975</v>
      </c>
      <c r="C36" s="32">
        <f>'Ind T2'!C22</f>
        <v>15.454000000000015</v>
      </c>
      <c r="D36" s="32">
        <f>'Ind T2'!D22</f>
        <v>15.280999999999995</v>
      </c>
      <c r="E36" s="32">
        <f>'Ind T2'!E22</f>
        <v>15.554000000000007</v>
      </c>
      <c r="F36" s="32">
        <f>'Ind T2'!F22</f>
        <v>16.225000000000005</v>
      </c>
      <c r="H36" s="11">
        <f t="shared" si="0"/>
        <v>-0.54899999999996041</v>
      </c>
      <c r="I36" s="31">
        <f t="shared" si="1"/>
        <v>-0.17300000000001958</v>
      </c>
      <c r="J36" s="11">
        <f t="shared" si="2"/>
        <v>0.27300000000001212</v>
      </c>
      <c r="K36" s="11">
        <f t="shared" si="3"/>
        <v>0.6709999999999976</v>
      </c>
      <c r="L36" s="31">
        <f t="shared" si="4"/>
        <v>0.94400000000000972</v>
      </c>
    </row>
    <row r="37" spans="1:12" ht="13" x14ac:dyDescent="0.3">
      <c r="A37" s="10" t="str">
        <f>'Ind T2'!A23</f>
        <v>Education</v>
      </c>
      <c r="B37" s="32">
        <f>'Ind T2'!B23</f>
        <v>44.810000000000109</v>
      </c>
      <c r="C37" s="32">
        <f>'Ind T2'!C23</f>
        <v>44.405000000000044</v>
      </c>
      <c r="D37" s="32">
        <f>'Ind T2'!D23</f>
        <v>45.06299999999996</v>
      </c>
      <c r="E37" s="32">
        <f>'Ind T2'!E23</f>
        <v>46.277999999999956</v>
      </c>
      <c r="F37" s="32">
        <f>'Ind T2'!F23</f>
        <v>49.163999999999859</v>
      </c>
      <c r="H37" s="11">
        <f t="shared" si="0"/>
        <v>-0.40500000000006509</v>
      </c>
      <c r="I37" s="31">
        <f t="shared" si="1"/>
        <v>0.65799999999991599</v>
      </c>
      <c r="J37" s="11">
        <f t="shared" si="2"/>
        <v>1.2149999999999963</v>
      </c>
      <c r="K37" s="11">
        <f t="shared" si="3"/>
        <v>2.8859999999999033</v>
      </c>
      <c r="L37" s="31">
        <f t="shared" si="4"/>
        <v>4.1009999999998996</v>
      </c>
    </row>
    <row r="38" spans="1:12" ht="13" x14ac:dyDescent="0.3">
      <c r="A38" s="10" t="str">
        <f>'Ind T2'!A24</f>
        <v>Health and social work</v>
      </c>
      <c r="B38" s="32">
        <f>'Ind T2'!B24</f>
        <v>60.867000000000111</v>
      </c>
      <c r="C38" s="32">
        <f>'Ind T2'!C24</f>
        <v>72.830000000000013</v>
      </c>
      <c r="D38" s="32">
        <f>'Ind T2'!D24</f>
        <v>71.770000000000209</v>
      </c>
      <c r="E38" s="32">
        <f>'Ind T2'!E24</f>
        <v>76.514999999999901</v>
      </c>
      <c r="F38" s="32">
        <f>'Ind T2'!F24</f>
        <v>81.203000000000074</v>
      </c>
      <c r="H38" s="11">
        <f t="shared" si="0"/>
        <v>11.962999999999901</v>
      </c>
      <c r="I38" s="31">
        <f t="shared" si="1"/>
        <v>-1.0599999999998033</v>
      </c>
      <c r="J38" s="11">
        <f t="shared" si="2"/>
        <v>4.7449999999996919</v>
      </c>
      <c r="K38" s="11">
        <f t="shared" si="3"/>
        <v>4.6880000000001729</v>
      </c>
      <c r="L38" s="31">
        <f t="shared" si="4"/>
        <v>9.4329999999998648</v>
      </c>
    </row>
    <row r="39" spans="1:12" ht="13" x14ac:dyDescent="0.3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ht="13" x14ac:dyDescent="0.3">
      <c r="A40" s="39" t="str">
        <f>'Ind T1'!A14</f>
        <v>All industries</v>
      </c>
      <c r="B40" s="33">
        <f>'Ind T1'!B14</f>
        <v>505.56200000000001</v>
      </c>
      <c r="C40" s="33">
        <f>'Ind T1'!C14</f>
        <v>509.9310000000001</v>
      </c>
      <c r="D40" s="33">
        <f>'Ind T1'!D14</f>
        <v>496.19400000000002</v>
      </c>
      <c r="E40" s="33">
        <f>'Ind T1'!E14</f>
        <v>508.1279999999997</v>
      </c>
      <c r="F40" s="33">
        <f>'Ind T1'!F14</f>
        <v>521.94399999999996</v>
      </c>
      <c r="G40" s="24"/>
      <c r="H40" s="34">
        <f t="shared" si="0"/>
        <v>4.369000000000085</v>
      </c>
      <c r="I40" s="34">
        <f>D40-C40</f>
        <v>-13.73700000000008</v>
      </c>
      <c r="J40" s="34">
        <f>E40-D40</f>
        <v>11.933999999999685</v>
      </c>
      <c r="K40" s="34">
        <f>F40-E40</f>
        <v>13.816000000000258</v>
      </c>
      <c r="L40" s="205">
        <f t="shared" si="4"/>
        <v>25.749999999999943</v>
      </c>
    </row>
    <row r="44" spans="1:12" ht="15.5" x14ac:dyDescent="0.35">
      <c r="A44" s="19" t="str">
        <f>CONCATENATE(A1," (Continued)")</f>
        <v>Industry Table 4  Employment by Industry Group in Sector (SIC 2007), 2015-2035, Black Country (Continued)</v>
      </c>
    </row>
    <row r="46" spans="1:12" x14ac:dyDescent="0.25">
      <c r="L46" s="16" t="s">
        <v>21</v>
      </c>
    </row>
    <row r="47" spans="1:12" ht="13" x14ac:dyDescent="0.3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ht="13" x14ac:dyDescent="0.3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ht="13" x14ac:dyDescent="0.3">
      <c r="A50" s="30" t="str">
        <f>A7</f>
        <v>Primary sector and utilities</v>
      </c>
      <c r="B50" s="44">
        <f>IF(AND(C$5-B$5 &lt;&gt; 0,B7&lt;&gt;0,C7&lt;&gt;0),(EXP(LN(C7/B7)/(C$5-B$5))-1)*100,0)</f>
        <v>-9.4003199917863434</v>
      </c>
      <c r="C50" s="44">
        <f t="shared" ref="B50:E54" si="17">IF(AND(D$5-C$5 &lt;&gt; 0,C7&lt;&gt;0,D7&lt;&gt;0),(EXP(LN(D7/C7)/(D$5-C$5))-1)*100,0)</f>
        <v>-17.575473905920802</v>
      </c>
      <c r="D50" s="44">
        <f t="shared" si="17"/>
        <v>0.13026777305009674</v>
      </c>
      <c r="E50" s="44">
        <f t="shared" si="17"/>
        <v>7.5903822684342259E-2</v>
      </c>
      <c r="F50" s="44">
        <f>IF(AND(F$5-D$5 &lt;&gt; 0,D7&lt;&gt;0,F7&lt;&gt;0),(EXP(LN(F7/D7)/(F$5-D$5))-1)*100,0)</f>
        <v>9.402185913227612E-2</v>
      </c>
      <c r="H50" s="44">
        <f>(B7/B$40)*100</f>
        <v>2.5088910954541648</v>
      </c>
      <c r="I50" s="44">
        <f>(C7/C$40)*100</f>
        <v>1.6759130156825137</v>
      </c>
      <c r="J50" s="44">
        <f>(D7/D$40)*100</f>
        <v>1.4196060411855058</v>
      </c>
      <c r="K50" s="44">
        <f>(E7/E$40)*100</f>
        <v>1.3953177152213629</v>
      </c>
      <c r="L50" s="44">
        <f>(F7/F$40)*100</f>
        <v>1.3687292123292913</v>
      </c>
    </row>
    <row r="51" spans="1:12" ht="13" x14ac:dyDescent="0.3">
      <c r="A51" t="str">
        <f>A8</f>
        <v>Agriculture</v>
      </c>
      <c r="B51" s="40">
        <f t="shared" si="17"/>
        <v>-6.2949747366430886</v>
      </c>
      <c r="C51" s="44">
        <f t="shared" si="17"/>
        <v>-51.224846894138267</v>
      </c>
      <c r="D51" s="40">
        <f t="shared" si="17"/>
        <v>1.6823443259135429</v>
      </c>
      <c r="E51" s="40">
        <f t="shared" si="17"/>
        <v>2.4724947565291089E-2</v>
      </c>
      <c r="F51" s="44">
        <f t="shared" ref="F51:F83" si="18">IF(AND(F$5-D$5 &lt;&gt; 0,D8&lt;&gt;0,F8&lt;&gt;0),(EXP(LN(F8/D8)/(F$5-D$5))-1)*100,0)</f>
        <v>0.57424028723909171</v>
      </c>
      <c r="H51" s="40">
        <f t="shared" ref="H51:L54" si="19">(B8/B$7)*100</f>
        <v>23.375906654052375</v>
      </c>
      <c r="I51" s="40">
        <f t="shared" si="19"/>
        <v>26.749356424058057</v>
      </c>
      <c r="J51" s="40">
        <f t="shared" si="19"/>
        <v>15.829074389551373</v>
      </c>
      <c r="K51" s="40">
        <f t="shared" si="19"/>
        <v>17.094499294781389</v>
      </c>
      <c r="L51" s="40">
        <f t="shared" si="19"/>
        <v>17.007278835386327</v>
      </c>
    </row>
    <row r="52" spans="1:12" ht="13" x14ac:dyDescent="0.3">
      <c r="A52" t="str">
        <f>A9</f>
        <v>Mining and quarrying</v>
      </c>
      <c r="B52" s="40">
        <f>IF(AND(C$5-B$5 &lt;&gt; 0,B9&lt;&gt;0,C9&lt;&gt;0),(EXP(LN(C9/B9)/(C$5-B$5))-1)*100,0)</f>
        <v>-2.7335093503809027</v>
      </c>
      <c r="C52" s="44">
        <f t="shared" si="17"/>
        <v>6.8965517241375895</v>
      </c>
      <c r="D52" s="40">
        <f t="shared" si="17"/>
        <v>-6.7993459798906475</v>
      </c>
      <c r="E52" s="40">
        <f t="shared" si="17"/>
        <v>-5.3345714789729275</v>
      </c>
      <c r="F52" s="44">
        <f t="shared" si="18"/>
        <v>-5.8253698205931848</v>
      </c>
      <c r="H52" s="40">
        <f t="shared" si="19"/>
        <v>1.2771996215704855</v>
      </c>
      <c r="I52" s="40">
        <f t="shared" si="19"/>
        <v>1.6967002106248532</v>
      </c>
      <c r="J52" s="40">
        <f t="shared" si="19"/>
        <v>2.2004542873367305</v>
      </c>
      <c r="K52" s="40">
        <f t="shared" si="19"/>
        <v>1.5373765867418887</v>
      </c>
      <c r="L52" s="40">
        <f t="shared" si="19"/>
        <v>0.88185890257558819</v>
      </c>
    </row>
    <row r="53" spans="1:12" ht="13" x14ac:dyDescent="0.3">
      <c r="A53" t="str">
        <f>A10</f>
        <v>Electricity and gas</v>
      </c>
      <c r="B53" s="40">
        <f t="shared" si="17"/>
        <v>-24.375251739496395</v>
      </c>
      <c r="C53" s="44">
        <f t="shared" si="17"/>
        <v>15.330602691632533</v>
      </c>
      <c r="D53" s="40">
        <f t="shared" si="17"/>
        <v>-1.1951485565641184</v>
      </c>
      <c r="E53" s="40">
        <f t="shared" si="17"/>
        <v>-0.20665256504547314</v>
      </c>
      <c r="F53" s="44">
        <f t="shared" si="18"/>
        <v>-0.53724519762728962</v>
      </c>
      <c r="H53" s="40">
        <f t="shared" si="19"/>
        <v>41.193629769788807</v>
      </c>
      <c r="I53" s="40">
        <f t="shared" si="19"/>
        <v>19.997659723847413</v>
      </c>
      <c r="J53" s="40">
        <f t="shared" si="19"/>
        <v>27.981260647359424</v>
      </c>
      <c r="K53" s="40">
        <f t="shared" si="19"/>
        <v>26.177715091678451</v>
      </c>
      <c r="L53" s="40">
        <f t="shared" si="19"/>
        <v>25.447928331466979</v>
      </c>
    </row>
    <row r="54" spans="1:12" ht="13" x14ac:dyDescent="0.3">
      <c r="A54" t="str">
        <f>A11</f>
        <v>Water and sewerage</v>
      </c>
      <c r="B54" s="40">
        <f t="shared" si="17"/>
        <v>0.4243457888008173</v>
      </c>
      <c r="C54" s="44">
        <f t="shared" si="17"/>
        <v>-13.685882886972067</v>
      </c>
      <c r="D54" s="40">
        <f t="shared" si="17"/>
        <v>0.57191149061968094</v>
      </c>
      <c r="E54" s="40">
        <f t="shared" si="17"/>
        <v>0.33976177382473161</v>
      </c>
      <c r="F54" s="44">
        <f t="shared" si="18"/>
        <v>0.41708541045613057</v>
      </c>
      <c r="H54" s="40">
        <f t="shared" si="19"/>
        <v>34.15326395458834</v>
      </c>
      <c r="I54" s="40">
        <f t="shared" si="19"/>
        <v>51.556283641469669</v>
      </c>
      <c r="J54" s="40">
        <f t="shared" si="19"/>
        <v>53.989210675752474</v>
      </c>
      <c r="K54" s="40">
        <f t="shared" si="19"/>
        <v>55.190409026798271</v>
      </c>
      <c r="L54" s="40">
        <f t="shared" si="19"/>
        <v>56.6629339305711</v>
      </c>
    </row>
    <row r="55" spans="1:12" ht="13" x14ac:dyDescent="0.3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ht="13" x14ac:dyDescent="0.3">
      <c r="A56" s="30" t="str">
        <f>A13</f>
        <v>Manufacturing</v>
      </c>
      <c r="B56" s="44">
        <f t="shared" ref="B56:E59" si="20">IF(AND(C$5-B$5 &lt;&gt; 0,B13&lt;&gt;0,C13&lt;&gt;0),(EXP(LN(C13/B13)/(C$5-B$5))-1)*100,0)</f>
        <v>0.22716285343247211</v>
      </c>
      <c r="C56" s="44">
        <f t="shared" si="20"/>
        <v>-7.8025546655118845</v>
      </c>
      <c r="D56" s="44">
        <f t="shared" si="20"/>
        <v>-0.43967326985793198</v>
      </c>
      <c r="E56" s="44">
        <f t="shared" si="20"/>
        <v>-0.93400042837514796</v>
      </c>
      <c r="F56" s="44">
        <f t="shared" si="18"/>
        <v>-0.76949802181702776</v>
      </c>
      <c r="H56" s="44">
        <f>(B13/B$40)*100</f>
        <v>13.580727981928998</v>
      </c>
      <c r="I56" s="44">
        <f>(C13/C$40)*100</f>
        <v>13.587132376733305</v>
      </c>
      <c r="J56" s="44">
        <f>(D13/D$40)*100</f>
        <v>12.873795330052362</v>
      </c>
      <c r="K56" s="44">
        <f>(E13/E$40)*100</f>
        <v>12.297491970527091</v>
      </c>
      <c r="L56" s="44">
        <f>(F13/F$40)*100</f>
        <v>10.899636742639045</v>
      </c>
    </row>
    <row r="57" spans="1:12" ht="13" x14ac:dyDescent="0.3">
      <c r="A57" t="str">
        <f>A14</f>
        <v>Food drink and tobacco</v>
      </c>
      <c r="B57" s="40">
        <f t="shared" si="20"/>
        <v>-2.4794633382234421</v>
      </c>
      <c r="C57" s="44">
        <f t="shared" si="20"/>
        <v>-0.70955534531680353</v>
      </c>
      <c r="D57" s="40">
        <f t="shared" si="20"/>
        <v>0.12356277608251975</v>
      </c>
      <c r="E57" s="40">
        <f t="shared" si="20"/>
        <v>-0.23446601557614022</v>
      </c>
      <c r="F57" s="44">
        <f t="shared" si="18"/>
        <v>-0.11526556315361036</v>
      </c>
      <c r="H57" s="40">
        <f t="shared" ref="H57:L59" si="21">(B14/B$13)*100</f>
        <v>10.212790748481625</v>
      </c>
      <c r="I57" s="40">
        <f t="shared" si="21"/>
        <v>9.1534964277982258</v>
      </c>
      <c r="J57" s="40">
        <f t="shared" si="21"/>
        <v>9.8576997135208764</v>
      </c>
      <c r="K57" s="40">
        <f t="shared" si="21"/>
        <v>10.139709059484387</v>
      </c>
      <c r="L57" s="40">
        <f t="shared" si="21"/>
        <v>10.878889084197576</v>
      </c>
    </row>
    <row r="58" spans="1:12" ht="13" x14ac:dyDescent="0.3">
      <c r="A58" t="str">
        <f>A15</f>
        <v>Engineering</v>
      </c>
      <c r="B58" s="40">
        <f t="shared" si="20"/>
        <v>4.079052282152662</v>
      </c>
      <c r="C58" s="44">
        <f t="shared" si="20"/>
        <v>-9.2077874372470951</v>
      </c>
      <c r="D58" s="40">
        <f t="shared" si="20"/>
        <v>1.1930391085656966</v>
      </c>
      <c r="E58" s="40">
        <f t="shared" si="20"/>
        <v>-1.0343882860529674</v>
      </c>
      <c r="F58" s="44">
        <f t="shared" si="18"/>
        <v>-0.29741418690564236</v>
      </c>
      <c r="H58" s="40">
        <f t="shared" si="21"/>
        <v>10.137054137112427</v>
      </c>
      <c r="I58" s="40">
        <f t="shared" si="21"/>
        <v>11.787544201486618</v>
      </c>
      <c r="J58" s="40">
        <f t="shared" si="21"/>
        <v>11.607883655035337</v>
      </c>
      <c r="K58" s="40">
        <f t="shared" si="21"/>
        <v>12.591419015155189</v>
      </c>
      <c r="L58" s="40">
        <f t="shared" si="21"/>
        <v>12.464404992089968</v>
      </c>
    </row>
    <row r="59" spans="1:12" ht="13" x14ac:dyDescent="0.3">
      <c r="A59" t="str">
        <f>A16</f>
        <v>Rest of manufacturing</v>
      </c>
      <c r="B59" s="40">
        <f t="shared" si="20"/>
        <v>4.0661279454745625E-2</v>
      </c>
      <c r="C59" s="44">
        <f t="shared" si="20"/>
        <v>-8.4142690229296768</v>
      </c>
      <c r="D59" s="40">
        <f t="shared" si="20"/>
        <v>-0.76263523090429608</v>
      </c>
      <c r="E59" s="40">
        <f t="shared" si="20"/>
        <v>-1.0127671219584022</v>
      </c>
      <c r="F59" s="44">
        <f t="shared" si="18"/>
        <v>-0.92945995550864913</v>
      </c>
      <c r="H59" s="40">
        <f t="shared" si="21"/>
        <v>79.650155114405948</v>
      </c>
      <c r="I59" s="40">
        <f t="shared" si="21"/>
        <v>79.058959370715172</v>
      </c>
      <c r="J59" s="40">
        <f t="shared" si="21"/>
        <v>78.534416631443776</v>
      </c>
      <c r="K59" s="40">
        <f t="shared" si="21"/>
        <v>77.268871925360415</v>
      </c>
      <c r="L59" s="40">
        <f t="shared" si="21"/>
        <v>76.656705923712451</v>
      </c>
    </row>
    <row r="60" spans="1:12" ht="13" x14ac:dyDescent="0.3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ht="13" x14ac:dyDescent="0.3">
      <c r="A61" s="30" t="str">
        <f>A18</f>
        <v>Construction</v>
      </c>
      <c r="B61" s="44">
        <f>IF(AND(C$5-B$5 &lt;&gt; 0,B18&lt;&gt;0,C18&lt;&gt;0),(EXP(LN(C18/B18)/(C$5-B$5))-1)*100,0)</f>
        <v>5.3160029551780896</v>
      </c>
      <c r="C61" s="44">
        <f>IF(AND(D$5-C$5 &lt;&gt; 0,C18&lt;&gt;0,D18&lt;&gt;0),(EXP(LN(D18/C18)/(D$5-C$5))-1)*100,0)</f>
        <v>-5.2719129878435407</v>
      </c>
      <c r="D61" s="44">
        <f>IF(AND(E$5-D$5 &lt;&gt; 0,D18&lt;&gt;0,E18&lt;&gt;0),(EXP(LN(E18/D18)/(E$5-D$5))-1)*100,0)</f>
        <v>-6.0047756904835214E-2</v>
      </c>
      <c r="E61" s="44">
        <f>IF(AND(F$5-E$5 &lt;&gt; 0,E18&lt;&gt;0,F18&lt;&gt;0),(EXP(LN(F18/E18)/(F$5-E$5))-1)*100,0)</f>
        <v>0.14697554040972172</v>
      </c>
      <c r="F61" s="44">
        <f t="shared" si="18"/>
        <v>7.7920169124201522E-2</v>
      </c>
      <c r="H61" s="44">
        <f>(B18/B$40)*100</f>
        <v>6.2827111214845983</v>
      </c>
      <c r="I61" s="44">
        <f>(C18/C$40)*100</f>
        <v>7.6628014378415692</v>
      </c>
      <c r="J61" s="44">
        <f>(D18/D$40)*100</f>
        <v>7.4597838748554075</v>
      </c>
      <c r="K61" s="44">
        <f>(E18/E$40)*100</f>
        <v>7.2627369481705548</v>
      </c>
      <c r="L61" s="44">
        <f>(F18/F$40)*100</f>
        <v>7.1750992443633672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-0.1224871041336506</v>
      </c>
      <c r="C63" s="44">
        <f t="shared" si="22"/>
        <v>-1.3523461569922568</v>
      </c>
      <c r="D63" s="44">
        <f t="shared" si="22"/>
        <v>0.7200495444993793</v>
      </c>
      <c r="E63" s="44">
        <f t="shared" si="22"/>
        <v>0.38947607086932123</v>
      </c>
      <c r="F63" s="44">
        <f t="shared" si="18"/>
        <v>0.49954649968433351</v>
      </c>
      <c r="H63" s="44">
        <f>(B20/B$40)*100</f>
        <v>29.161408491935685</v>
      </c>
      <c r="I63" s="44">
        <f>(C20/C$40)*100</f>
        <v>28.770166944155196</v>
      </c>
      <c r="J63" s="44">
        <f>(D20/D$40)*100</f>
        <v>29.166817817224683</v>
      </c>
      <c r="K63" s="44">
        <f>(E20/E$40)*100</f>
        <v>29.522088922476236</v>
      </c>
      <c r="L63" s="44">
        <f>(F20/F$40)*100</f>
        <v>29.879833851907513</v>
      </c>
    </row>
    <row r="64" spans="1:12" ht="13" x14ac:dyDescent="0.3">
      <c r="A64" t="str">
        <f>A21</f>
        <v>Wholesale and retail trade</v>
      </c>
      <c r="B64" s="40">
        <f t="shared" si="22"/>
        <v>-0.96594010595912883</v>
      </c>
      <c r="C64" s="44">
        <f t="shared" si="22"/>
        <v>-1.6779584462512487</v>
      </c>
      <c r="D64" s="40">
        <f t="shared" si="22"/>
        <v>0.1842202066080878</v>
      </c>
      <c r="E64" s="40">
        <f t="shared" si="22"/>
        <v>0.10915852189896658</v>
      </c>
      <c r="F64" s="44">
        <f t="shared" si="18"/>
        <v>0.13417283261345503</v>
      </c>
      <c r="H64" s="40">
        <f t="shared" ref="H64:L66" si="23">(B21/B$20)*100</f>
        <v>62.447686683081336</v>
      </c>
      <c r="I64" s="40">
        <f t="shared" si="23"/>
        <v>60.364806281866009</v>
      </c>
      <c r="J64" s="40">
        <f t="shared" si="23"/>
        <v>60.165556507559224</v>
      </c>
      <c r="K64" s="40">
        <f t="shared" si="23"/>
        <v>58.582094527031501</v>
      </c>
      <c r="L64" s="40">
        <f t="shared" si="23"/>
        <v>56.96670855882433</v>
      </c>
    </row>
    <row r="65" spans="1:12" ht="13" x14ac:dyDescent="0.3">
      <c r="A65" t="str">
        <f>A22</f>
        <v>Transport and storage</v>
      </c>
      <c r="B65" s="40">
        <f>IF(AND(C$5-B$5 &lt;&gt; 0,B22&lt;&gt;0,C22&lt;&gt;0),(EXP(LN(C22/B22)/(C$5-B$5))-1)*100,0)</f>
        <v>0.53077430073900089</v>
      </c>
      <c r="C65" s="44">
        <f t="shared" si="22"/>
        <v>-3.5847013724289778</v>
      </c>
      <c r="D65" s="40">
        <f t="shared" si="22"/>
        <v>1.7671907993296987</v>
      </c>
      <c r="E65" s="40">
        <f t="shared" si="22"/>
        <v>0.48877448295603365</v>
      </c>
      <c r="F65" s="44">
        <f t="shared" si="18"/>
        <v>0.91311881014866092</v>
      </c>
      <c r="H65" s="40">
        <f t="shared" si="23"/>
        <v>22.693635580516748</v>
      </c>
      <c r="I65" s="40">
        <f t="shared" si="23"/>
        <v>23.293208277667237</v>
      </c>
      <c r="J65" s="40">
        <f t="shared" si="23"/>
        <v>22.766092700588665</v>
      </c>
      <c r="K65" s="40">
        <f t="shared" si="23"/>
        <v>23.974401706552925</v>
      </c>
      <c r="L65" s="40">
        <f t="shared" si="23"/>
        <v>24.212598425196823</v>
      </c>
    </row>
    <row r="66" spans="1:12" ht="13" x14ac:dyDescent="0.3">
      <c r="A66" t="str">
        <f>A23</f>
        <v>Accommodation and food</v>
      </c>
      <c r="B66" s="40">
        <f t="shared" si="22"/>
        <v>2.2819226552231564</v>
      </c>
      <c r="C66" s="44">
        <f t="shared" si="22"/>
        <v>3.0323253388948812</v>
      </c>
      <c r="D66" s="40">
        <f t="shared" si="22"/>
        <v>1.158961776139944</v>
      </c>
      <c r="E66" s="40">
        <f t="shared" si="22"/>
        <v>1.1552380457874767</v>
      </c>
      <c r="F66" s="44">
        <f t="shared" si="18"/>
        <v>1.1564792740077046</v>
      </c>
      <c r="H66" s="40">
        <f t="shared" si="23"/>
        <v>14.858677736401923</v>
      </c>
      <c r="I66" s="40">
        <f t="shared" si="23"/>
        <v>16.341985440466743</v>
      </c>
      <c r="J66" s="40">
        <f t="shared" si="23"/>
        <v>17.068350791852101</v>
      </c>
      <c r="K66" s="40">
        <f t="shared" si="23"/>
        <v>17.443503766415581</v>
      </c>
      <c r="L66" s="40">
        <f t="shared" si="23"/>
        <v>18.820693015978843</v>
      </c>
    </row>
    <row r="67" spans="1:12" ht="13" x14ac:dyDescent="0.3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ht="13" x14ac:dyDescent="0.3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-2.0308832035628166</v>
      </c>
      <c r="C68" s="44">
        <f t="shared" si="24"/>
        <v>-1.9449431478158252</v>
      </c>
      <c r="D68" s="44">
        <f t="shared" si="24"/>
        <v>0.33379603338987707</v>
      </c>
      <c r="E68" s="44">
        <f t="shared" si="24"/>
        <v>0.40067738054005986</v>
      </c>
      <c r="F68" s="44">
        <f t="shared" si="18"/>
        <v>0.37837864603122995</v>
      </c>
      <c r="H68" s="44">
        <f>(B25/B$40)*100</f>
        <v>24.397996684877445</v>
      </c>
      <c r="I68" s="44">
        <f>(C25/C$40)*100</f>
        <v>22.283014760820599</v>
      </c>
      <c r="J68" s="44">
        <f>(D25/D$40)*100</f>
        <v>22.454523835435321</v>
      </c>
      <c r="K68" s="44">
        <f>(E25/E$40)*100</f>
        <v>22.295563322627373</v>
      </c>
      <c r="L68" s="44">
        <f>(F25/F$40)*100</f>
        <v>22.590929295096785</v>
      </c>
    </row>
    <row r="69" spans="1:12" ht="13" x14ac:dyDescent="0.3">
      <c r="A69" t="str">
        <f>A26</f>
        <v>Media</v>
      </c>
      <c r="B69" s="40">
        <f t="shared" si="24"/>
        <v>1.67021702684782</v>
      </c>
      <c r="C69" s="44">
        <f t="shared" si="24"/>
        <v>15.616438356164686</v>
      </c>
      <c r="D69" s="40">
        <f t="shared" si="24"/>
        <v>-0.30517448932220193</v>
      </c>
      <c r="E69" s="40">
        <f t="shared" si="24"/>
        <v>0.13393482302543891</v>
      </c>
      <c r="F69" s="44">
        <f t="shared" si="18"/>
        <v>-1.2649425067379205E-2</v>
      </c>
      <c r="H69" s="40">
        <f t="shared" ref="H69:L71" si="25">(B26/B$25)*100</f>
        <v>1.3847114238692453</v>
      </c>
      <c r="I69" s="40">
        <f t="shared" si="25"/>
        <v>1.6061182103002742</v>
      </c>
      <c r="J69" s="40">
        <f t="shared" si="25"/>
        <v>1.8937694088926416</v>
      </c>
      <c r="K69" s="40">
        <f t="shared" si="25"/>
        <v>1.8342307352811369</v>
      </c>
      <c r="L69" s="40">
        <f t="shared" si="25"/>
        <v>1.7860777529004657</v>
      </c>
    </row>
    <row r="70" spans="1:12" ht="13" x14ac:dyDescent="0.3">
      <c r="A70" t="str">
        <f>A27</f>
        <v>Information technology</v>
      </c>
      <c r="B70" s="40">
        <f t="shared" si="24"/>
        <v>-0.55523428649664197</v>
      </c>
      <c r="C70" s="44">
        <f t="shared" si="24"/>
        <v>7.4913981857984924</v>
      </c>
      <c r="D70" s="40">
        <f t="shared" si="24"/>
        <v>0.79336387547543907</v>
      </c>
      <c r="E70" s="40">
        <f t="shared" si="24"/>
        <v>0.33069939042569274</v>
      </c>
      <c r="F70" s="44">
        <f t="shared" si="18"/>
        <v>0.48468443215556878</v>
      </c>
      <c r="H70" s="40">
        <f t="shared" si="25"/>
        <v>5.3004937290732839</v>
      </c>
      <c r="I70" s="40">
        <f t="shared" si="25"/>
        <v>5.6271341570739715</v>
      </c>
      <c r="J70" s="40">
        <f t="shared" si="25"/>
        <v>6.1686621551275183</v>
      </c>
      <c r="K70" s="40">
        <f t="shared" si="25"/>
        <v>6.3112366493070944</v>
      </c>
      <c r="L70" s="40">
        <f t="shared" si="25"/>
        <v>6.2673858470723962</v>
      </c>
    </row>
    <row r="71" spans="1:12" ht="13" x14ac:dyDescent="0.3">
      <c r="A71" t="str">
        <f>A28</f>
        <v>Finance and insurance</v>
      </c>
      <c r="B71" s="40">
        <f t="shared" si="24"/>
        <v>0.15863961906079638</v>
      </c>
      <c r="C71" s="44">
        <f t="shared" si="24"/>
        <v>1.5266433294437221</v>
      </c>
      <c r="D71" s="40">
        <f t="shared" si="24"/>
        <v>2.4889436561537082E-2</v>
      </c>
      <c r="E71" s="40">
        <f t="shared" si="24"/>
        <v>-0.38938108837733854</v>
      </c>
      <c r="F71" s="44">
        <f t="shared" si="18"/>
        <v>-0.25148190668480286</v>
      </c>
      <c r="H71" s="40">
        <f t="shared" si="25"/>
        <v>8.2847576349647891</v>
      </c>
      <c r="I71" s="40">
        <f t="shared" si="25"/>
        <v>9.0505861231386735</v>
      </c>
      <c r="J71" s="40">
        <f t="shared" si="25"/>
        <v>9.3710172503545373</v>
      </c>
      <c r="K71" s="40">
        <f t="shared" si="25"/>
        <v>9.2276458645953028</v>
      </c>
      <c r="L71" s="40">
        <f t="shared" si="25"/>
        <v>8.5266978763823804</v>
      </c>
    </row>
    <row r="72" spans="1:12" ht="13" x14ac:dyDescent="0.3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7.1627252564684163</v>
      </c>
      <c r="C72" s="44">
        <f t="shared" si="27"/>
        <v>0.5400098183602875</v>
      </c>
      <c r="D72" s="40">
        <f t="shared" si="27"/>
        <v>0.13246111591629361</v>
      </c>
      <c r="E72" s="40">
        <f t="shared" si="27"/>
        <v>0.86754756855971227</v>
      </c>
      <c r="F72" s="44">
        <f t="shared" si="18"/>
        <v>0.62192110201613193</v>
      </c>
      <c r="H72" s="40">
        <f t="shared" ref="H72:L72" si="28">(B29/B$25)*100</f>
        <v>6.2611980834556071</v>
      </c>
      <c r="I72" s="40">
        <f t="shared" si="28"/>
        <v>8.9634597106346945</v>
      </c>
      <c r="J72" s="40">
        <f t="shared" si="28"/>
        <v>9.1906155199339423</v>
      </c>
      <c r="K72" s="40">
        <f t="shared" si="28"/>
        <v>9.0987730602877495</v>
      </c>
      <c r="L72" s="40">
        <f t="shared" si="28"/>
        <v>9.5308365560757302</v>
      </c>
    </row>
    <row r="73" spans="1:12" ht="13" x14ac:dyDescent="0.3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-3.5003994953859086</v>
      </c>
      <c r="C73" s="44">
        <f t="shared" si="29"/>
        <v>-0.26216020004843354</v>
      </c>
      <c r="D73" s="40">
        <f t="shared" si="29"/>
        <v>0.6600785538924292</v>
      </c>
      <c r="E73" s="40">
        <f t="shared" si="29"/>
        <v>0.51124147170613643</v>
      </c>
      <c r="F73" s="44">
        <f t="shared" si="18"/>
        <v>0.56082936389389992</v>
      </c>
      <c r="H73" s="40">
        <f t="shared" ref="H73:L73" si="30">(B30/B$25)*100</f>
        <v>23.180134093249087</v>
      </c>
      <c r="I73" s="40">
        <f t="shared" si="30"/>
        <v>21.820325975991825</v>
      </c>
      <c r="J73" s="40">
        <f t="shared" si="30"/>
        <v>22.194797968012367</v>
      </c>
      <c r="K73" s="40">
        <f t="shared" si="30"/>
        <v>22.558036896460411</v>
      </c>
      <c r="L73" s="40">
        <f t="shared" si="30"/>
        <v>22.807687088676346</v>
      </c>
    </row>
    <row r="74" spans="1:12" ht="13" x14ac:dyDescent="0.3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-3.9190375559401081</v>
      </c>
      <c r="C74" s="44">
        <f t="shared" si="31"/>
        <v>-6.1993351606697171</v>
      </c>
      <c r="D74" s="40">
        <f t="shared" si="31"/>
        <v>1.0275338288977087</v>
      </c>
      <c r="E74" s="40">
        <f t="shared" si="31"/>
        <v>0.52726201894128799</v>
      </c>
      <c r="F74" s="44">
        <f t="shared" si="18"/>
        <v>0.69374342982508885</v>
      </c>
      <c r="H74" s="40">
        <f>(B31/B$25)*100</f>
        <v>32.624222721266058</v>
      </c>
      <c r="I74" s="40">
        <f t="shared" ref="I74:L74" si="32">(C31/C$25)*100</f>
        <v>30.180941317280951</v>
      </c>
      <c r="J74" s="40">
        <f t="shared" si="32"/>
        <v>28.871457035667458</v>
      </c>
      <c r="K74" s="40">
        <f t="shared" si="32"/>
        <v>29.883484861858907</v>
      </c>
      <c r="L74" s="40">
        <f t="shared" si="32"/>
        <v>30.26239907727793</v>
      </c>
    </row>
    <row r="75" spans="1:12" ht="13" x14ac:dyDescent="0.3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0.55823872213776049</v>
      </c>
      <c r="C75" s="44">
        <f t="shared" si="33"/>
        <v>-2.1364009860312061</v>
      </c>
      <c r="D75" s="40">
        <f t="shared" si="33"/>
        <v>-1.0722890125522966</v>
      </c>
      <c r="E75" s="40">
        <f t="shared" si="33"/>
        <v>0.57673557890083327</v>
      </c>
      <c r="F75" s="44">
        <f t="shared" si="18"/>
        <v>2.4028950014032269E-2</v>
      </c>
      <c r="H75" s="40">
        <f t="shared" ref="H75:L75" si="34">(B32/B$25)*100</f>
        <v>9.6492010344799688</v>
      </c>
      <c r="I75" s="40">
        <f t="shared" si="34"/>
        <v>10.710388284577741</v>
      </c>
      <c r="J75" s="40">
        <f t="shared" si="34"/>
        <v>10.689475668204434</v>
      </c>
      <c r="K75" s="40">
        <f t="shared" si="34"/>
        <v>9.9611616206196576</v>
      </c>
      <c r="L75" s="40">
        <f t="shared" si="34"/>
        <v>10.137220978356739</v>
      </c>
    </row>
    <row r="76" spans="1:12" ht="13" x14ac:dyDescent="0.3">
      <c r="A76" t="str">
        <f t="shared" si="26"/>
        <v>Other services</v>
      </c>
      <c r="B76" s="40">
        <f t="shared" ref="B76:E76" si="35">IF(AND(C$5-B$5 &lt;&gt; 0,B33&lt;&gt;0,C33&lt;&gt;0),(EXP(LN(C33/B33)/(C$5-B$5))-1)*100,0)</f>
        <v>-4.4638661215836368</v>
      </c>
      <c r="C76" s="44">
        <f t="shared" si="35"/>
        <v>-5.3720216342641347</v>
      </c>
      <c r="D76" s="40">
        <f t="shared" si="35"/>
        <v>-0.53555828922632331</v>
      </c>
      <c r="E76" s="40">
        <f t="shared" si="35"/>
        <v>-7.1428857883359953E-3</v>
      </c>
      <c r="F76" s="44">
        <f t="shared" si="18"/>
        <v>-0.18359253748900795</v>
      </c>
      <c r="H76" s="40">
        <f t="shared" ref="H76:L76" si="36">(B33/B$25)*100</f>
        <v>13.315281279641969</v>
      </c>
      <c r="I76" s="40">
        <f t="shared" si="36"/>
        <v>12.041046221001858</v>
      </c>
      <c r="J76" s="40">
        <f t="shared" si="36"/>
        <v>11.620204993807098</v>
      </c>
      <c r="K76" s="40">
        <f t="shared" si="36"/>
        <v>11.125430311589746</v>
      </c>
      <c r="L76" s="40">
        <f t="shared" si="36"/>
        <v>10.681694823258017</v>
      </c>
    </row>
    <row r="77" spans="1:12" ht="13" x14ac:dyDescent="0.3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ht="13" x14ac:dyDescent="0.3">
      <c r="A78" s="30" t="str">
        <f>A35</f>
        <v>Non-marketed services</v>
      </c>
      <c r="B78" s="44">
        <f t="shared" ref="B78:E79" si="37">IF(AND(C$5-B$5 &lt;&gt; 0,B35&lt;&gt;0,C35&lt;&gt;0),(EXP(LN(C35/B35)/(C$5-B$5))-1)*100,0)</f>
        <v>2.1889484105769075</v>
      </c>
      <c r="C78" s="44">
        <f t="shared" ref="C78:C83" si="38">IF(AND(D$5-C$5 &lt;&gt; 0,C35&lt;&gt;0,D35&lt;&gt;0),(EXP(LN(D35/C35)/(D$5-C$5))-1)*100,0)</f>
        <v>-0.4333441355349188</v>
      </c>
      <c r="D78" s="44">
        <f t="shared" si="37"/>
        <v>0.92626019532742188</v>
      </c>
      <c r="E78" s="44">
        <f t="shared" si="37"/>
        <v>0.58056071780010488</v>
      </c>
      <c r="F78" s="44">
        <f t="shared" si="18"/>
        <v>0.69566210813678531</v>
      </c>
      <c r="H78" s="44">
        <f>(B35/B$40)*100</f>
        <v>24.068264624319113</v>
      </c>
      <c r="I78" s="44">
        <f>(C35/C$40)*100</f>
        <v>26.020971464766813</v>
      </c>
      <c r="J78" s="44">
        <f>(D35/D$40)*100</f>
        <v>26.625473101246715</v>
      </c>
      <c r="K78" s="44">
        <f>(E35/E$40)*100</f>
        <v>27.226801120977377</v>
      </c>
      <c r="L78" s="44">
        <f>(F35/F$40)*100</f>
        <v>28.085771653663983</v>
      </c>
    </row>
    <row r="79" spans="1:12" ht="13" x14ac:dyDescent="0.3">
      <c r="A79" t="str">
        <f>A36</f>
        <v>Public admin. and defence</v>
      </c>
      <c r="B79" s="40">
        <f t="shared" si="37"/>
        <v>-0.86891133297999357</v>
      </c>
      <c r="C79" s="44">
        <f t="shared" si="38"/>
        <v>-1.1194512747510044</v>
      </c>
      <c r="D79" s="40">
        <f t="shared" si="37"/>
        <v>0.35478013312981727</v>
      </c>
      <c r="E79" s="40">
        <f t="shared" si="37"/>
        <v>0.42324739563102121</v>
      </c>
      <c r="F79" s="44">
        <f t="shared" si="18"/>
        <v>0.40041978615537044</v>
      </c>
      <c r="H79" s="40">
        <f>(B36/B$35)*100</f>
        <v>13.151709401709358</v>
      </c>
      <c r="I79" s="40">
        <f t="shared" ref="I79:L81" si="39">(C36/C$35)*100</f>
        <v>11.646783079230385</v>
      </c>
      <c r="J79" s="40">
        <f t="shared" si="39"/>
        <v>11.566525879164947</v>
      </c>
      <c r="K79" s="40">
        <f t="shared" si="39"/>
        <v>11.242744692693027</v>
      </c>
      <c r="L79" s="40">
        <f t="shared" si="39"/>
        <v>11.068134686749627</v>
      </c>
    </row>
    <row r="80" spans="1:12" ht="13" x14ac:dyDescent="0.3">
      <c r="A80" t="str">
        <f>A37</f>
        <v>Education</v>
      </c>
      <c r="B80" s="40">
        <f t="shared" ref="B80:E81" si="40">IF(AND(C$5-B$5 &lt;&gt; 0,B37&lt;&gt;0,C37&lt;&gt;0),(EXP(LN(C37/B37)/(C$5-B$5))-1)*100,0)</f>
        <v>-0.22672391936791048</v>
      </c>
      <c r="C80" s="44">
        <f t="shared" si="38"/>
        <v>1.4818151109107447</v>
      </c>
      <c r="D80" s="40">
        <f t="shared" si="40"/>
        <v>0.53352169493243728</v>
      </c>
      <c r="E80" s="40">
        <f t="shared" si="40"/>
        <v>0.60678313736963752</v>
      </c>
      <c r="F80" s="44">
        <f t="shared" si="18"/>
        <v>0.58235672652706683</v>
      </c>
      <c r="H80" s="40">
        <f>(B37/B$35)*100</f>
        <v>36.826101249178201</v>
      </c>
      <c r="I80" s="40">
        <f t="shared" si="39"/>
        <v>33.465471892922558</v>
      </c>
      <c r="J80" s="40">
        <f t="shared" si="39"/>
        <v>34.109178436804513</v>
      </c>
      <c r="K80" s="40">
        <f t="shared" si="39"/>
        <v>33.450671138514025</v>
      </c>
      <c r="L80" s="40">
        <f t="shared" si="39"/>
        <v>33.537982973149887</v>
      </c>
    </row>
    <row r="81" spans="1:12" ht="13" x14ac:dyDescent="0.3">
      <c r="A81" t="str">
        <f>A38</f>
        <v>Health and social work</v>
      </c>
      <c r="B81" s="40">
        <f>IF(AND(C$5-B$5 &lt;&gt; 0,B38&lt;&gt;0,C38&lt;&gt;0),(EXP(LN(C38/B38)/(C$5-B$5))-1)*100,0)</f>
        <v>4.5880590155708445</v>
      </c>
      <c r="C81" s="44">
        <f t="shared" si="38"/>
        <v>-1.4554441850882949</v>
      </c>
      <c r="D81" s="40">
        <f t="shared" si="40"/>
        <v>1.2886370519011425</v>
      </c>
      <c r="E81" s="40">
        <f t="shared" si="40"/>
        <v>0.59642549882943374</v>
      </c>
      <c r="F81" s="44">
        <f t="shared" si="18"/>
        <v>0.82663545718055786</v>
      </c>
      <c r="H81" s="40">
        <f>(B38/B$35)*100</f>
        <v>50.022189349112431</v>
      </c>
      <c r="I81" s="40">
        <f t="shared" si="39"/>
        <v>54.887745027847046</v>
      </c>
      <c r="J81" s="40">
        <f t="shared" si="39"/>
        <v>54.324295684030552</v>
      </c>
      <c r="K81" s="40">
        <f t="shared" si="39"/>
        <v>55.306584168792952</v>
      </c>
      <c r="L81" s="40">
        <f t="shared" si="39"/>
        <v>55.393882340100497</v>
      </c>
    </row>
    <row r="82" spans="1:12" ht="13" x14ac:dyDescent="0.3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ht="13" x14ac:dyDescent="0.3">
      <c r="A83" s="24" t="str">
        <f>A40</f>
        <v>All industries</v>
      </c>
      <c r="B83" s="43">
        <f>IF(AND(C$5-B$5 &lt;&gt; 0,B40&lt;&gt;0,C40&lt;&gt;0),(EXP(LN(C40/B40)/(C$5-B$5))-1)*100,0)</f>
        <v>0.21535006256829803</v>
      </c>
      <c r="C83" s="206">
        <f t="shared" si="38"/>
        <v>-2.693893879760223</v>
      </c>
      <c r="D83" s="43">
        <f>IF(AND(E$5-D$5 &lt;&gt; 0,D40&lt;&gt;0,E40&lt;&gt;0),(EXP(LN(E40/D40)/(E$5-D$5))-1)*100,0)</f>
        <v>0.47645957719999465</v>
      </c>
      <c r="E83" s="43">
        <f>IF(AND(F$5-E$5 &lt;&gt; 0,E40&lt;&gt;0,F40&lt;&gt;0),(EXP(LN(F40/E40)/(F$5-E$5))-1)*100,0)</f>
        <v>0.26862934467044575</v>
      </c>
      <c r="F83" s="206">
        <f t="shared" si="18"/>
        <v>0.33785827979151417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ht="13" x14ac:dyDescent="0.3">
      <c r="A86" s="36"/>
      <c r="B86" s="28" t="s">
        <v>15</v>
      </c>
      <c r="C86" s="28"/>
    </row>
    <row r="87" spans="1:12" ht="13" x14ac:dyDescent="0.3">
      <c r="A87" s="24"/>
      <c r="B87" s="37" t="str">
        <f>B5&amp;"-"&amp;D5</f>
        <v>2015-2020</v>
      </c>
      <c r="C87" s="37" t="str">
        <f>F48</f>
        <v>2020-2035</v>
      </c>
    </row>
    <row r="89" spans="1:12" ht="13" x14ac:dyDescent="0.3">
      <c r="A89" s="30" t="str">
        <f>A7</f>
        <v>Primary sector and utilities</v>
      </c>
      <c r="B89" s="44">
        <f>IF(AND(D$5-B$5 &lt;&gt; 0,B7&lt;&gt;0,D7&lt;&gt;0),(EXP(LN(D7/B7)/(D$5-B$5))-1)*100,0)</f>
        <v>-11.097776560099071</v>
      </c>
      <c r="C89" s="44">
        <f>IF(AND(F$5-D$5 &lt;&gt; 0,D7&lt;&gt;0,F7&lt;&gt;0),(EXP(LN(F7/D7)/(F$5-D$5))-1)*100,0)</f>
        <v>9.402185913227612E-2</v>
      </c>
    </row>
    <row r="90" spans="1:12" ht="13" x14ac:dyDescent="0.3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-17.766261616063083</v>
      </c>
      <c r="C90" s="44">
        <f t="shared" ref="C90:C122" si="43">IF(AND(F$5-D$5 &lt;&gt; 0,D8&lt;&gt;0,F8&lt;&gt;0),(EXP(LN(F8/D8)/(F$5-D$5))-1)*100,0)</f>
        <v>0.57424028723909171</v>
      </c>
    </row>
    <row r="91" spans="1:12" ht="13" x14ac:dyDescent="0.3">
      <c r="A91" s="30" t="str">
        <f t="shared" si="41"/>
        <v>Mining and quarrying</v>
      </c>
      <c r="B91" s="44">
        <f t="shared" si="42"/>
        <v>-0.8795336388493058</v>
      </c>
      <c r="C91" s="44">
        <f t="shared" si="43"/>
        <v>-5.8253698205931848</v>
      </c>
    </row>
    <row r="92" spans="1:12" ht="13" x14ac:dyDescent="0.3">
      <c r="A92" s="30" t="str">
        <f t="shared" si="41"/>
        <v>Electricity and gas</v>
      </c>
      <c r="B92" s="44">
        <f t="shared" si="42"/>
        <v>-17.715115116248825</v>
      </c>
      <c r="C92" s="44">
        <f t="shared" si="43"/>
        <v>-0.53724519762728962</v>
      </c>
    </row>
    <row r="93" spans="1:12" ht="13" x14ac:dyDescent="0.3">
      <c r="A93" s="30" t="str">
        <f t="shared" si="41"/>
        <v>Water and sewerage</v>
      </c>
      <c r="B93" s="44">
        <f t="shared" si="42"/>
        <v>-2.5711502018754384</v>
      </c>
      <c r="C93" s="44">
        <f t="shared" si="43"/>
        <v>0.41708541045613057</v>
      </c>
    </row>
    <row r="94" spans="1:12" ht="13" x14ac:dyDescent="0.3">
      <c r="A94" s="30"/>
      <c r="B94" s="44"/>
      <c r="C94" s="44"/>
    </row>
    <row r="95" spans="1:12" ht="13" x14ac:dyDescent="0.3">
      <c r="A95" s="30" t="str">
        <f t="shared" si="41"/>
        <v>Manufacturing</v>
      </c>
      <c r="B95" s="44">
        <f t="shared" si="42"/>
        <v>-1.4328664326009766</v>
      </c>
      <c r="C95" s="44">
        <f t="shared" si="43"/>
        <v>-0.76949802181702776</v>
      </c>
    </row>
    <row r="96" spans="1:12" ht="13" x14ac:dyDescent="0.3">
      <c r="A96" s="30" t="str">
        <f t="shared" si="41"/>
        <v>Food drink and tobacco</v>
      </c>
      <c r="B96" s="44">
        <f t="shared" si="42"/>
        <v>-2.128023882976382</v>
      </c>
      <c r="C96" s="44">
        <f t="shared" si="43"/>
        <v>-0.11526556315361036</v>
      </c>
    </row>
    <row r="97" spans="1:3" ht="13" x14ac:dyDescent="0.3">
      <c r="A97" s="30" t="str">
        <f t="shared" si="41"/>
        <v>Engineering</v>
      </c>
      <c r="B97" s="44">
        <f t="shared" si="42"/>
        <v>1.2745642296063897</v>
      </c>
      <c r="C97" s="44">
        <f t="shared" si="43"/>
        <v>-0.29741418690564236</v>
      </c>
    </row>
    <row r="98" spans="1:3" ht="13" x14ac:dyDescent="0.3">
      <c r="A98" s="30" t="str">
        <f t="shared" si="41"/>
        <v>Rest of manufacturing</v>
      </c>
      <c r="B98" s="44">
        <f t="shared" si="42"/>
        <v>-1.7105723243751592</v>
      </c>
      <c r="C98" s="44">
        <f t="shared" si="43"/>
        <v>-0.92945995550864913</v>
      </c>
    </row>
    <row r="99" spans="1:3" ht="13" x14ac:dyDescent="0.3">
      <c r="A99" s="30"/>
      <c r="B99" s="44"/>
      <c r="C99" s="44"/>
    </row>
    <row r="100" spans="1:3" ht="13" x14ac:dyDescent="0.3">
      <c r="A100" s="30" t="str">
        <f t="shared" si="41"/>
        <v>Construction</v>
      </c>
      <c r="B100" s="44">
        <f t="shared" si="42"/>
        <v>3.1077352720811469</v>
      </c>
      <c r="C100" s="44">
        <f t="shared" si="43"/>
        <v>7.7920169124201522E-2</v>
      </c>
    </row>
    <row r="101" spans="1:3" ht="13" x14ac:dyDescent="0.3">
      <c r="A101" s="30"/>
      <c r="B101" s="44"/>
      <c r="C101" s="44"/>
    </row>
    <row r="102" spans="1:3" ht="13" x14ac:dyDescent="0.3">
      <c r="A102" s="30" t="str">
        <f t="shared" si="41"/>
        <v>Trade, accomod. and transport</v>
      </c>
      <c r="B102" s="44">
        <f t="shared" si="42"/>
        <v>-0.36967947018972103</v>
      </c>
      <c r="C102" s="44">
        <f t="shared" si="43"/>
        <v>0.49954649968433351</v>
      </c>
    </row>
    <row r="103" spans="1:3" ht="13" x14ac:dyDescent="0.3">
      <c r="A103" s="30" t="str">
        <f t="shared" si="41"/>
        <v>Wholesale and retail trade</v>
      </c>
      <c r="B103" s="44">
        <f t="shared" si="42"/>
        <v>-1.1087550815141123</v>
      </c>
      <c r="C103" s="44">
        <f t="shared" si="43"/>
        <v>0.13417283261345503</v>
      </c>
    </row>
    <row r="104" spans="1:3" ht="13" x14ac:dyDescent="0.3">
      <c r="A104" s="30" t="str">
        <f t="shared" si="41"/>
        <v>Transport and storage</v>
      </c>
      <c r="B104" s="44">
        <f t="shared" si="42"/>
        <v>-0.30613985664943444</v>
      </c>
      <c r="C104" s="44">
        <f t="shared" si="43"/>
        <v>0.91311881014866092</v>
      </c>
    </row>
    <row r="105" spans="1:3" ht="13" x14ac:dyDescent="0.3">
      <c r="A105" s="30" t="str">
        <f t="shared" si="41"/>
        <v>Accommodation and food</v>
      </c>
      <c r="B105" s="44">
        <f t="shared" si="42"/>
        <v>2.4315646878177999</v>
      </c>
      <c r="C105" s="44">
        <f t="shared" si="43"/>
        <v>1.1564792740077046</v>
      </c>
    </row>
    <row r="106" spans="1:3" ht="13" x14ac:dyDescent="0.3">
      <c r="A106" s="30"/>
      <c r="B106" s="44"/>
      <c r="C106" s="44"/>
    </row>
    <row r="107" spans="1:3" ht="13" x14ac:dyDescent="0.3">
      <c r="A107" s="30" t="str">
        <f t="shared" si="41"/>
        <v>Business and other services</v>
      </c>
      <c r="B107" s="44">
        <f t="shared" si="42"/>
        <v>-2.0137012202789295</v>
      </c>
      <c r="C107" s="44">
        <f t="shared" si="43"/>
        <v>0.37837864603122995</v>
      </c>
    </row>
    <row r="108" spans="1:3" ht="13" x14ac:dyDescent="0.3">
      <c r="A108" s="30" t="str">
        <f t="shared" si="41"/>
        <v>Media</v>
      </c>
      <c r="B108" s="44">
        <f t="shared" si="42"/>
        <v>4.317919695720529</v>
      </c>
      <c r="C108" s="44">
        <f t="shared" si="43"/>
        <v>-1.2649425067379205E-2</v>
      </c>
    </row>
    <row r="109" spans="1:3" ht="13" x14ac:dyDescent="0.3">
      <c r="A109" s="30" t="str">
        <f t="shared" si="41"/>
        <v>Information technology</v>
      </c>
      <c r="B109" s="44">
        <f t="shared" si="42"/>
        <v>1.0043982331081835</v>
      </c>
      <c r="C109" s="44">
        <f t="shared" si="43"/>
        <v>0.48468443215556878</v>
      </c>
    </row>
    <row r="110" spans="1:3" ht="13" x14ac:dyDescent="0.3">
      <c r="A110" s="30" t="str">
        <f t="shared" si="41"/>
        <v>Finance and insurance</v>
      </c>
      <c r="B110" s="44">
        <f t="shared" si="42"/>
        <v>0.43075771892968628</v>
      </c>
      <c r="C110" s="44">
        <f t="shared" si="43"/>
        <v>-0.25148190668480286</v>
      </c>
    </row>
    <row r="111" spans="1:3" ht="13" x14ac:dyDescent="0.3">
      <c r="A111" s="30" t="str">
        <f t="shared" si="41"/>
        <v>Real estate</v>
      </c>
      <c r="B111" s="44">
        <f t="shared" si="42"/>
        <v>5.8041699319459461</v>
      </c>
      <c r="C111" s="44">
        <f t="shared" si="43"/>
        <v>0.62192110201613193</v>
      </c>
    </row>
    <row r="112" spans="1:3" ht="13" x14ac:dyDescent="0.3">
      <c r="A112" s="30" t="str">
        <f t="shared" si="41"/>
        <v>Professional services</v>
      </c>
      <c r="B112" s="44">
        <f t="shared" si="42"/>
        <v>-2.8612738674500982</v>
      </c>
      <c r="C112" s="44">
        <f t="shared" si="43"/>
        <v>0.56082936389389992</v>
      </c>
    </row>
    <row r="113" spans="1:3" ht="13" x14ac:dyDescent="0.3">
      <c r="A113" s="30" t="str">
        <f t="shared" si="41"/>
        <v>Support services</v>
      </c>
      <c r="B113" s="44">
        <f t="shared" si="42"/>
        <v>-4.3794892507493248</v>
      </c>
      <c r="C113" s="44">
        <f t="shared" si="43"/>
        <v>0.69374342982508885</v>
      </c>
    </row>
    <row r="114" spans="1:3" ht="13" x14ac:dyDescent="0.3">
      <c r="A114" s="30" t="str">
        <f t="shared" si="41"/>
        <v>Arts and entertainment</v>
      </c>
      <c r="B114" s="44">
        <f t="shared" si="42"/>
        <v>1.3439505911638783E-2</v>
      </c>
      <c r="C114" s="44">
        <f t="shared" si="43"/>
        <v>2.4028950014032269E-2</v>
      </c>
    </row>
    <row r="115" spans="1:3" ht="13" x14ac:dyDescent="0.3">
      <c r="A115" s="30" t="str">
        <f t="shared" si="41"/>
        <v>Other services</v>
      </c>
      <c r="B115" s="44">
        <f t="shared" si="42"/>
        <v>-4.6461918152840065</v>
      </c>
      <c r="C115" s="44">
        <f t="shared" si="43"/>
        <v>-0.18359253748900795</v>
      </c>
    </row>
    <row r="116" spans="1:3" ht="13" x14ac:dyDescent="0.3">
      <c r="A116" s="30"/>
      <c r="B116" s="44"/>
      <c r="C116" s="44"/>
    </row>
    <row r="117" spans="1:3" ht="13" x14ac:dyDescent="0.3">
      <c r="A117" s="30" t="str">
        <f t="shared" si="41"/>
        <v>Non-marketed services</v>
      </c>
      <c r="B117" s="44">
        <f t="shared" si="42"/>
        <v>1.6590222007271782</v>
      </c>
      <c r="C117" s="44">
        <f t="shared" si="43"/>
        <v>0.69566210813678531</v>
      </c>
    </row>
    <row r="118" spans="1:3" ht="13" x14ac:dyDescent="0.3">
      <c r="A118" s="30" t="str">
        <f t="shared" si="41"/>
        <v>Public admin. and defence</v>
      </c>
      <c r="B118" s="44">
        <f t="shared" si="42"/>
        <v>-0.91907005465534652</v>
      </c>
      <c r="C118" s="44">
        <f t="shared" si="43"/>
        <v>0.40041978615537044</v>
      </c>
    </row>
    <row r="119" spans="1:3" ht="13" x14ac:dyDescent="0.3">
      <c r="A119" s="30" t="str">
        <f t="shared" si="41"/>
        <v>Education</v>
      </c>
      <c r="B119" s="44">
        <f t="shared" si="42"/>
        <v>0.11266705941839206</v>
      </c>
      <c r="C119" s="44">
        <f t="shared" si="43"/>
        <v>0.58235672652706683</v>
      </c>
    </row>
    <row r="120" spans="1:3" ht="13" x14ac:dyDescent="0.3">
      <c r="A120" s="30" t="str">
        <f t="shared" si="41"/>
        <v>Health and social work</v>
      </c>
      <c r="B120" s="44">
        <f t="shared" si="42"/>
        <v>3.3504114333352764</v>
      </c>
      <c r="C120" s="44">
        <f t="shared" si="43"/>
        <v>0.82663545718055786</v>
      </c>
    </row>
    <row r="121" spans="1:3" ht="13" x14ac:dyDescent="0.3">
      <c r="A121" s="30"/>
      <c r="B121" s="44"/>
      <c r="C121" s="44"/>
    </row>
    <row r="122" spans="1:3" ht="13" x14ac:dyDescent="0.3">
      <c r="A122" s="347" t="str">
        <f t="shared" si="41"/>
        <v>All industries</v>
      </c>
      <c r="B122" s="206">
        <f t="shared" si="42"/>
        <v>-0.37337526450476055</v>
      </c>
      <c r="C122" s="206">
        <f t="shared" si="43"/>
        <v>0.33785827979151417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topLeftCell="A188" zoomScale="85" zoomScaleNormal="85" workbookViewId="0">
      <selection activeCell="E106" sqref="E106"/>
    </sheetView>
  </sheetViews>
  <sheetFormatPr defaultColWidth="9.1796875" defaultRowHeight="12.5" x14ac:dyDescent="0.25"/>
  <cols>
    <col min="1" max="1" width="22.1796875" style="282" customWidth="1"/>
    <col min="2" max="2" width="9.1796875" style="283"/>
    <col min="3" max="3" width="9.26953125" style="282" customWidth="1"/>
    <col min="4" max="4" width="9.1796875" style="283"/>
    <col min="5" max="5" width="9.26953125" style="282" customWidth="1"/>
    <col min="6" max="6" width="9.1796875" style="283"/>
    <col min="7" max="7" width="9.26953125" style="282" customWidth="1"/>
    <col min="8" max="8" width="9.1796875" style="283"/>
    <col min="9" max="9" width="9.26953125" style="282" customWidth="1"/>
    <col min="10" max="10" width="5.54296875" style="282" customWidth="1"/>
    <col min="11" max="14" width="9.26953125" style="283" customWidth="1"/>
    <col min="15" max="16384" width="9.1796875" style="282"/>
  </cols>
  <sheetData>
    <row r="1" spans="1:17" ht="15.5" x14ac:dyDescent="0.35">
      <c r="A1" s="19" t="str">
        <f>CONCATENATE("Industry Table 5  Employment status by Industry (SIC 2007) and Gender, ",A$8,"-",A$18,", ",Info!B5)</f>
        <v>Industry Table 5  Employment status by Industry (SIC 2007) and Gender, 2020-2035, Black Country</v>
      </c>
    </row>
    <row r="2" spans="1:17" ht="13" x14ac:dyDescent="0.3">
      <c r="A2" s="1" t="s">
        <v>518</v>
      </c>
    </row>
    <row r="5" spans="1:17" ht="13" x14ac:dyDescent="0.3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ht="13" x14ac:dyDescent="0.3">
      <c r="N6" s="287" t="s">
        <v>370</v>
      </c>
    </row>
    <row r="7" spans="1:17" ht="13" x14ac:dyDescent="0.3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ht="13" x14ac:dyDescent="0.3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5">
      <c r="A9" s="282" t="s">
        <v>364</v>
      </c>
      <c r="B9" s="249">
        <f>SUM(B30,B51,B72,B93,B114,B135,B156,B177,B198,B219,B240,B261,B282,B303,B324,B345,B366,B387,B408,B429,B450,B471)</f>
        <v>181.38082677894494</v>
      </c>
      <c r="C9" s="299" t="str">
        <f>CONCATENATE("(",ROUND((B9/$H11)*100,1),")")</f>
        <v>(36.6)</v>
      </c>
      <c r="D9" s="249">
        <f>SUM(D30,D51,D72,D93,D114,D135,D156,D177,D198,D219,D240,D261,D282,D303,D324,D345,D366,D387,D408,D429,D450,D471)</f>
        <v>41.657454411784698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42.061123213381151</v>
      </c>
      <c r="G9" s="299" t="str">
        <f>CONCATENATE("(",ROUND((F9/$H11)*100,1),")")</f>
        <v>(8.5)</v>
      </c>
      <c r="H9" s="249">
        <f>SUM(H30,H51,H72,H93,H114,H135,H156,H177,H198,H219,H240,H261,H282,H303,H324,H345,H366,H387,H408,H429,H450,H471)</f>
        <v>265.09940440411083</v>
      </c>
      <c r="I9" s="299" t="str">
        <f>CONCATENATE("(",ROUND((H9/$H11)*100,1),")")</f>
        <v>(53.4)</v>
      </c>
      <c r="K9" s="249">
        <f>B14-B9</f>
        <v>2.7532309264709056</v>
      </c>
      <c r="L9" s="249">
        <f>D14-D9</f>
        <v>1.385866396642875</v>
      </c>
      <c r="M9" s="249">
        <f>F14-F9</f>
        <v>0.63646474191774161</v>
      </c>
      <c r="N9" s="249">
        <f>SUM(K9:M9)</f>
        <v>4.7755620650315223</v>
      </c>
      <c r="O9" s="298"/>
      <c r="P9" s="298"/>
      <c r="Q9" s="298"/>
    </row>
    <row r="10" spans="1:17" x14ac:dyDescent="0.25">
      <c r="A10" s="282" t="s">
        <v>365</v>
      </c>
      <c r="B10" s="249">
        <f t="shared" ref="B10:B21" si="0">SUM(B31,B52,B73,B94,B115,B136,B157,B178,B199,B220,B241,B262,B283,B304,B325,B346,B367,B388,B409,B430,B451,B472)</f>
        <v>111.54209032790023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102.44524353813723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17.107261729851832</v>
      </c>
      <c r="G10" s="299" t="str">
        <f>CONCATENATE("(",ROUND((F10/$H11)*100,1),")")</f>
        <v>(3.4)</v>
      </c>
      <c r="H10" s="249">
        <f t="shared" ref="H10" si="3">SUM(H31,H52,H73,H94,H115,H136,H157,H178,H199,H220,H241,H262,H283,H304,H325,H346,H367,H388,H409,H430,H451,H472)</f>
        <v>231.09459559588927</v>
      </c>
      <c r="I10" s="299" t="str">
        <f>CONCATENATE("(",ROUND((H10/$H11)*100,1),")")</f>
        <v>(46.6)</v>
      </c>
      <c r="K10" s="249">
        <f t="shared" ref="K10:K11" si="4">B15-B10</f>
        <v>5.5941217088040247</v>
      </c>
      <c r="L10" s="249">
        <f t="shared" ref="L10:L11" si="5">D15-D10</f>
        <v>1.2154655177017588</v>
      </c>
      <c r="M10" s="249">
        <f t="shared" ref="M10:M11" si="6">F15-F10</f>
        <v>0.34885070846251054</v>
      </c>
      <c r="N10" s="249">
        <f t="shared" ref="N10:N11" si="7">SUM(K10:M10)</f>
        <v>7.1584379349682941</v>
      </c>
      <c r="O10" s="298"/>
      <c r="P10" s="298"/>
      <c r="Q10" s="298"/>
    </row>
    <row r="11" spans="1:17" x14ac:dyDescent="0.25">
      <c r="A11" s="282" t="s">
        <v>363</v>
      </c>
      <c r="B11" s="249">
        <f t="shared" si="0"/>
        <v>292.92291710684526</v>
      </c>
      <c r="C11" s="299" t="str">
        <f>CONCATENATE("(",ROUND((B11/$H11)*100,1),")")</f>
        <v>(59)</v>
      </c>
      <c r="D11" s="249">
        <f t="shared" ref="D11" si="8">SUM(D32,D53,D74,D95,D116,D137,D158,D179,D200,D221,D242,D263,D284,D305,D326,D347,D368,D389,D410,D431,D452,D473)</f>
        <v>144.10269794992192</v>
      </c>
      <c r="E11" s="299" t="str">
        <f>CONCATENATE("(",ROUND((D11/$H11)*100,1),")")</f>
        <v>(29)</v>
      </c>
      <c r="F11" s="249">
        <f t="shared" ref="F11" si="9">SUM(F32,F53,F74,F95,F116,F137,F158,F179,F200,F221,F242,F263,F284,F305,F326,F347,F368,F389,F410,F431,F452,F473)</f>
        <v>59.168384943232979</v>
      </c>
      <c r="G11" s="299" t="str">
        <f>CONCATENATE("(",ROUND((F11/$H11)*100,1),")")</f>
        <v>(11.9)</v>
      </c>
      <c r="H11" s="249">
        <f t="shared" ref="H11" si="10">SUM(H32,H53,H74,H95,H116,H137,H158,H179,H200,H221,H242,H263,H284,H305,H326,H347,H368,H389,H410,H431,H452,H473)</f>
        <v>496.19400000000007</v>
      </c>
      <c r="I11" s="299" t="str">
        <f>CONCATENATE("(",ROUND((H11/$H11)*100,1),")")</f>
        <v>(100)</v>
      </c>
      <c r="K11" s="249">
        <f t="shared" si="4"/>
        <v>8.3473526352747172</v>
      </c>
      <c r="L11" s="249">
        <f t="shared" si="5"/>
        <v>2.6013319143446267</v>
      </c>
      <c r="M11" s="249">
        <f t="shared" si="6"/>
        <v>0.98531545038024859</v>
      </c>
      <c r="N11" s="249">
        <f t="shared" si="7"/>
        <v>11.933999999999592</v>
      </c>
      <c r="O11" s="298"/>
      <c r="P11" s="298"/>
      <c r="Q11" s="298"/>
    </row>
    <row r="12" spans="1:17" x14ac:dyDescent="0.25">
      <c r="B12" s="249"/>
      <c r="C12" s="284"/>
      <c r="D12" s="249"/>
      <c r="E12" s="284"/>
      <c r="F12" s="249"/>
      <c r="G12" s="284"/>
      <c r="H12" s="249"/>
      <c r="I12" s="284"/>
    </row>
    <row r="13" spans="1:17" ht="13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5">
      <c r="A14" s="282" t="s">
        <v>364</v>
      </c>
      <c r="B14" s="249">
        <f>SUM(B35,B56,B77,B98,B119,B140,B161,B182,B203,B224,B245,B266,B287,B308,B329,B350,B371,B392,B413,B434,B455,B476)</f>
        <v>184.13405770541584</v>
      </c>
      <c r="C14" s="299" t="str">
        <f>CONCATENATE("(",ROUND((B14/$H16)*100,1),")")</f>
        <v>(36.2)</v>
      </c>
      <c r="D14" s="249">
        <f t="shared" ref="D14" si="11">SUM(D35,D56,D77,D98,D119,D140,D161,D182,D203,D224,D245,D266,D287,D308,D329,D350,D371,D392,D413,D434,D455,D476)</f>
        <v>43.043320808427573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42.697587955298893</v>
      </c>
      <c r="G14" s="299" t="str">
        <f>CONCATENATE("(",ROUND((F14/$H16)*100,1),")")</f>
        <v>(8.4)</v>
      </c>
      <c r="H14" s="249">
        <f t="shared" ref="H14" si="13">SUM(H35,H56,H77,H98,H119,H140,H161,H182,H203,H224,H245,H266,H287,H308,H329,H350,H371,H392,H413,H434,H455,H476)</f>
        <v>269.87496646914224</v>
      </c>
      <c r="I14" s="299" t="str">
        <f>CONCATENATE("(",ROUND((H14/$H16)*100,1),")")</f>
        <v>(53.1)</v>
      </c>
      <c r="K14" s="249">
        <f>B19-B14</f>
        <v>-0.38738776090687566</v>
      </c>
      <c r="L14" s="249">
        <f>D19-D14</f>
        <v>2.3767364767216606</v>
      </c>
      <c r="M14" s="249">
        <f>F19-F14</f>
        <v>1.5801528222420629</v>
      </c>
      <c r="N14" s="249">
        <f>SUM(K14:M14)</f>
        <v>3.5695015380568478</v>
      </c>
    </row>
    <row r="15" spans="1:17" x14ac:dyDescent="0.25">
      <c r="A15" s="282" t="s">
        <v>365</v>
      </c>
      <c r="B15" s="249">
        <f t="shared" si="0"/>
        <v>117.13621203670425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103.66070905583899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17.456112438314342</v>
      </c>
      <c r="G15" s="299" t="str">
        <f>CONCATENATE("(",ROUND((F15/$H16)*100,1),")")</f>
        <v>(3.4)</v>
      </c>
      <c r="H15" s="249">
        <f t="shared" ref="H15" si="16">SUM(H36,H57,H78,H99,H120,H141,H162,H183,H204,H225,H246,H267,H288,H309,H330,H351,H372,H393,H414,H435,H456,H477)</f>
        <v>238.25303353085761</v>
      </c>
      <c r="I15" s="299" t="str">
        <f>CONCATENATE("(",ROUND((H15/$H16)*100,1),")")</f>
        <v>(46.9)</v>
      </c>
      <c r="K15" s="249">
        <f t="shared" ref="K15:K16" si="17">B20-B15</f>
        <v>8.745772686940029</v>
      </c>
      <c r="L15" s="249">
        <f t="shared" ref="L15:L16" si="18">D20-D15</f>
        <v>0.46336889899242806</v>
      </c>
      <c r="M15" s="249">
        <f t="shared" ref="M15:M16" si="19">F20-F15</f>
        <v>1.0373568760107155</v>
      </c>
      <c r="N15" s="249">
        <f t="shared" ref="N15:N16" si="20">SUM(K15:M15)</f>
        <v>10.246498461943172</v>
      </c>
    </row>
    <row r="16" spans="1:17" x14ac:dyDescent="0.25">
      <c r="A16" s="282" t="s">
        <v>363</v>
      </c>
      <c r="B16" s="249">
        <f t="shared" si="0"/>
        <v>301.27026974211998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146.70402986426654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60.153700393613228</v>
      </c>
      <c r="G16" s="299" t="str">
        <f>CONCATENATE("(",ROUND((F16/$H16)*100,1),")")</f>
        <v>(11.8)</v>
      </c>
      <c r="H16" s="249">
        <f t="shared" ref="H16" si="23">SUM(H37,H58,H79,H100,H121,H142,H163,H184,H205,H226,H247,H268,H289,H310,H331,H352,H373,H394,H415,H436,H457,H478)</f>
        <v>508.12799999999982</v>
      </c>
      <c r="I16" s="299" t="str">
        <f>CONCATENATE("(",ROUND((H16/$H16)*100,1),")")</f>
        <v>(100)</v>
      </c>
      <c r="K16" s="249">
        <f t="shared" si="17"/>
        <v>8.3583849260332954</v>
      </c>
      <c r="L16" s="249">
        <f t="shared" si="18"/>
        <v>2.8401053757140744</v>
      </c>
      <c r="M16" s="249">
        <f t="shared" si="19"/>
        <v>2.6175096982527677</v>
      </c>
      <c r="N16" s="249">
        <f t="shared" si="20"/>
        <v>13.816000000000138</v>
      </c>
    </row>
    <row r="17" spans="1:14" x14ac:dyDescent="0.25">
      <c r="B17" s="249"/>
      <c r="C17" s="284"/>
      <c r="D17" s="249"/>
      <c r="E17" s="284"/>
      <c r="F17" s="249"/>
      <c r="G17" s="284"/>
      <c r="H17" s="249"/>
      <c r="I17" s="284"/>
    </row>
    <row r="18" spans="1:14" ht="13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5">
      <c r="A19" s="282" t="s">
        <v>364</v>
      </c>
      <c r="B19" s="249">
        <f t="shared" si="0"/>
        <v>183.74666994450897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45.420057285149234</v>
      </c>
      <c r="E19" s="299" t="str">
        <f>CONCATENATE("(",ROUND((D19/$H21)*100,1),")")</f>
        <v>(8.7)</v>
      </c>
      <c r="F19" s="249">
        <f t="shared" ref="F19" si="25">SUM(F40,F61,F82,F103,F124,F145,F166,F187,F208,F229,F250,F271,F292,F313,F334,F355,F376,F397,F418,F439,F460,F481)</f>
        <v>44.277740777540956</v>
      </c>
      <c r="G19" s="299" t="str">
        <f>CONCATENATE("(",ROUND((F19/$H21)*100,1),")")</f>
        <v>(8.5)</v>
      </c>
      <c r="H19" s="249">
        <f t="shared" ref="H19" si="26">SUM(H40,H61,H82,H103,H124,H145,H166,H187,H208,H229,H250,H271,H292,H313,H334,H355,H376,H397,H418,H439,H460,H481)</f>
        <v>273.44446800719908</v>
      </c>
      <c r="I19" s="299" t="str">
        <f>CONCATENATE("(",ROUND((H19/$H21)*100,1),")")</f>
        <v>(52.4)</v>
      </c>
      <c r="K19" s="249">
        <f>B19-B9</f>
        <v>2.36584316556403</v>
      </c>
      <c r="L19" s="249">
        <f>D19-D9</f>
        <v>3.7626028733645356</v>
      </c>
      <c r="M19" s="249">
        <f>F19-F9</f>
        <v>2.2166175641598045</v>
      </c>
      <c r="N19" s="249">
        <f>SUM(K19:M19)</f>
        <v>8.34506360308837</v>
      </c>
    </row>
    <row r="20" spans="1:14" x14ac:dyDescent="0.25">
      <c r="A20" s="282" t="s">
        <v>365</v>
      </c>
      <c r="B20" s="249">
        <f t="shared" si="0"/>
        <v>125.88198472364428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104.12407795483142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18.493469314325058</v>
      </c>
      <c r="G20" s="299" t="str">
        <f>CONCATENATE("(",ROUND((F20/$H21)*100,1),")")</f>
        <v>(3.5)</v>
      </c>
      <c r="H20" s="249">
        <f t="shared" ref="H20" si="29">SUM(H41,H62,H83,H104,H125,H146,H167,H188,H209,H230,H251,H272,H293,H314,H335,H356,H377,H398,H419,H440,H461,H482)</f>
        <v>248.49953199280077</v>
      </c>
      <c r="I20" s="299" t="str">
        <f>CONCATENATE("(",ROUND((H20/$H21)*100,1),")")</f>
        <v>(47.6)</v>
      </c>
      <c r="K20" s="249">
        <f t="shared" ref="K20:K21" si="30">B20-B10</f>
        <v>14.339894395744054</v>
      </c>
      <c r="L20" s="249">
        <f t="shared" ref="L20:L21" si="31">D20-D10</f>
        <v>1.6788344166941869</v>
      </c>
      <c r="M20" s="249">
        <f t="shared" ref="M20:M21" si="32">F20-F10</f>
        <v>1.386207584473226</v>
      </c>
      <c r="N20" s="249">
        <f t="shared" ref="N20:N21" si="33">SUM(K20:M20)</f>
        <v>17.404936396911467</v>
      </c>
    </row>
    <row r="21" spans="1:14" x14ac:dyDescent="0.25">
      <c r="A21" s="282" t="s">
        <v>363</v>
      </c>
      <c r="B21" s="249">
        <f t="shared" si="0"/>
        <v>309.62865466815327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149.54413523998062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62.771210091865996</v>
      </c>
      <c r="G21" s="299" t="str">
        <f>CONCATENATE("(",ROUND((F21/$H21)*100,1),")")</f>
        <v>(12)</v>
      </c>
      <c r="H21" s="249">
        <f t="shared" ref="H21" si="35">SUM(H42,H63,H84,H105,H126,H147,H168,H189,H210,H231,H252,H273,H294,H315,H336,H357,H378,H399,H420,H441,H462,H483)</f>
        <v>521.94399999999985</v>
      </c>
      <c r="I21" s="299" t="str">
        <f>CONCATENATE("(",ROUND((H21/$H21)*100,1),")")</f>
        <v>(100)</v>
      </c>
      <c r="K21" s="249">
        <f t="shared" si="30"/>
        <v>16.705737561308013</v>
      </c>
      <c r="L21" s="249">
        <f t="shared" si="31"/>
        <v>5.4414372900587011</v>
      </c>
      <c r="M21" s="249">
        <f t="shared" si="32"/>
        <v>3.6028251486330163</v>
      </c>
      <c r="N21" s="249">
        <f t="shared" si="33"/>
        <v>25.74999999999973</v>
      </c>
    </row>
    <row r="22" spans="1:14" x14ac:dyDescent="0.25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ht="13" x14ac:dyDescent="0.3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ht="13" x14ac:dyDescent="0.3">
      <c r="N27" s="287" t="s">
        <v>370</v>
      </c>
    </row>
    <row r="28" spans="1:14" ht="13" x14ac:dyDescent="0.3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ht="13" x14ac:dyDescent="0.3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5">
      <c r="A30" s="282" t="s">
        <v>364</v>
      </c>
      <c r="B30" s="302">
        <f>'Ind T6'!L9</f>
        <v>0.36218995912090057</v>
      </c>
      <c r="C30" s="299" t="str">
        <f>CONCATENATE("(",ROUND((B30/$H32)*100,1),")")</f>
        <v>(32.5)</v>
      </c>
      <c r="D30" s="302">
        <f>'Ind T6'!M9</f>
        <v>9.1662636832434558E-3</v>
      </c>
      <c r="E30" s="299" t="str">
        <f>CONCATENATE("(",ROUND((D30/$H32)*100,1),")")</f>
        <v>(0.8)</v>
      </c>
      <c r="F30" s="302">
        <f>'Ind T6'!N9</f>
        <v>0.37669912515430498</v>
      </c>
      <c r="G30" s="299" t="str">
        <f>CONCATENATE("(",ROUND((F30/$H32)*100,1),")")</f>
        <v>(33.8)</v>
      </c>
      <c r="H30" s="302">
        <f>SUM(B30,D30,F30)</f>
        <v>0.74805534795844908</v>
      </c>
      <c r="I30" s="299" t="str">
        <f>CONCATENATE("(",ROUND((H30/$H32)*100,1),")")</f>
        <v>(67.1)</v>
      </c>
      <c r="K30" s="302">
        <f>B35-B30</f>
        <v>4.3742082164634044E-2</v>
      </c>
      <c r="L30" s="302">
        <f>D35-D30</f>
        <v>8.4984505079701601E-4</v>
      </c>
      <c r="M30" s="302">
        <f>F35-F30</f>
        <v>1.947102333454892E-2</v>
      </c>
      <c r="N30" s="302">
        <f>SUM(K30:M30)</f>
        <v>6.4062950549979986E-2</v>
      </c>
    </row>
    <row r="31" spans="1:14" x14ac:dyDescent="0.25">
      <c r="A31" s="282" t="s">
        <v>365</v>
      </c>
      <c r="B31" s="302">
        <f>'Ind T6'!L8</f>
        <v>0.20494197037119444</v>
      </c>
      <c r="C31" s="299" t="str">
        <f>CONCATENATE("(",ROUND((B31/$H32)*100,1),")")</f>
        <v>(18.4)</v>
      </c>
      <c r="D31" s="302">
        <f>'Ind T6'!M8</f>
        <v>9.9015254761140262E-3</v>
      </c>
      <c r="E31" s="299" t="str">
        <f>CONCATENATE("(",ROUND((D31/$H32)*100,1),")")</f>
        <v>(0.9)</v>
      </c>
      <c r="F31" s="302">
        <f>'Ind T6'!N8</f>
        <v>0.15210115619424142</v>
      </c>
      <c r="G31" s="299" t="str">
        <f>CONCATENATE("(",ROUND((F31/$H32)*100,1),")")</f>
        <v>(13.6)</v>
      </c>
      <c r="H31" s="302">
        <f t="shared" ref="H31" si="36">SUM(B31,D31,F31)</f>
        <v>0.36694465204154991</v>
      </c>
      <c r="I31" s="299" t="str">
        <f>CONCATENATE("(",ROUND((H31/$H32)*100,1),")")</f>
        <v>(32.9)</v>
      </c>
      <c r="K31" s="302">
        <f t="shared" ref="K31:K32" si="37">B36-B31</f>
        <v>1.7242776677738492E-2</v>
      </c>
      <c r="L31" s="302">
        <f t="shared" ref="L31:L32" si="38">D36-D31</f>
        <v>5.2132879041170456E-4</v>
      </c>
      <c r="M31" s="302">
        <f t="shared" ref="M31:M32" si="39">F36-F31</f>
        <v>1.517294398187008E-2</v>
      </c>
      <c r="N31" s="302">
        <f t="shared" ref="N31:N32" si="40">SUM(K31:M31)</f>
        <v>3.2937049450020274E-2</v>
      </c>
    </row>
    <row r="32" spans="1:14" x14ac:dyDescent="0.25">
      <c r="A32" s="282" t="s">
        <v>363</v>
      </c>
      <c r="B32" s="302">
        <f>SUM(B30:B31)</f>
        <v>0.56713192949209501</v>
      </c>
      <c r="C32" s="299" t="str">
        <f>CONCATENATE("(",ROUND((B32/$H32)*100,1),")")</f>
        <v>(50.9)</v>
      </c>
      <c r="D32" s="302">
        <f>SUM(D30:D31)</f>
        <v>1.906778915935748E-2</v>
      </c>
      <c r="E32" s="299" t="str">
        <f>CONCATENATE("(",ROUND((D32/$H32)*100,1),")")</f>
        <v>(1.7)</v>
      </c>
      <c r="F32" s="302">
        <f>SUM(F30:F31)</f>
        <v>0.5288002813485464</v>
      </c>
      <c r="G32" s="299" t="str">
        <f>CONCATENATE("(",ROUND((F32/$H32)*100,1),")")</f>
        <v>(47.4)</v>
      </c>
      <c r="H32" s="302">
        <f>SUM(H30:H31)</f>
        <v>1.1149999999999989</v>
      </c>
      <c r="I32" s="299" t="str">
        <f>CONCATENATE("(",ROUND((H32/$H32)*100,1),")")</f>
        <v>(100)</v>
      </c>
      <c r="K32" s="302">
        <f t="shared" si="37"/>
        <v>6.0984858842372591E-2</v>
      </c>
      <c r="L32" s="302">
        <f t="shared" si="38"/>
        <v>1.371173841208724E-3</v>
      </c>
      <c r="M32" s="302">
        <f t="shared" si="39"/>
        <v>3.4643967316418944E-2</v>
      </c>
      <c r="N32" s="302">
        <f t="shared" si="40"/>
        <v>9.7000000000000253E-2</v>
      </c>
    </row>
    <row r="33" spans="1:14" x14ac:dyDescent="0.25">
      <c r="B33" s="302"/>
      <c r="C33" s="284"/>
      <c r="D33" s="302"/>
      <c r="E33" s="284"/>
      <c r="F33" s="302"/>
      <c r="G33" s="284"/>
      <c r="H33" s="302"/>
      <c r="I33" s="284"/>
    </row>
    <row r="34" spans="1:14" ht="13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5">
      <c r="A35" s="282" t="s">
        <v>364</v>
      </c>
      <c r="B35" s="302">
        <f>'Ind T6'!Q9</f>
        <v>0.40593204128553462</v>
      </c>
      <c r="C35" s="299" t="str">
        <f>CONCATENATE("(",ROUND((B35/$H37)*100,1),")")</f>
        <v>(33.5)</v>
      </c>
      <c r="D35" s="302">
        <f>'Ind T6'!R9</f>
        <v>1.0016108734040472E-2</v>
      </c>
      <c r="E35" s="299" t="str">
        <f>CONCATENATE("(",ROUND((D35/$H37)*100,1),")")</f>
        <v>(0.8)</v>
      </c>
      <c r="F35" s="302">
        <f>'Ind T6'!S9</f>
        <v>0.3961701484888539</v>
      </c>
      <c r="G35" s="299" t="str">
        <f>CONCATENATE("(",ROUND((F35/$H37)*100,1),")")</f>
        <v>(32.7)</v>
      </c>
      <c r="H35" s="302">
        <f>SUM(B35,D35,F35)</f>
        <v>0.81211829850842898</v>
      </c>
      <c r="I35" s="299" t="str">
        <f>CONCATENATE("(",ROUND((H35/$H37)*100,1),")")</f>
        <v>(67)</v>
      </c>
      <c r="K35" s="302">
        <f>B40-B35</f>
        <v>3.205023847416516E-2</v>
      </c>
      <c r="L35" s="302">
        <f>D40-D35</f>
        <v>1.0911499777471745E-5</v>
      </c>
      <c r="M35" s="302">
        <f>F40-F35</f>
        <v>-3.1227330851580526E-2</v>
      </c>
      <c r="N35" s="302">
        <f>SUM(K35:M35)</f>
        <v>8.3381912236210609E-4</v>
      </c>
    </row>
    <row r="36" spans="1:14" x14ac:dyDescent="0.25">
      <c r="A36" s="282" t="s">
        <v>365</v>
      </c>
      <c r="B36" s="302">
        <f>'Ind T6'!Q8</f>
        <v>0.22218474704893293</v>
      </c>
      <c r="C36" s="299" t="str">
        <f>CONCATENATE("(",ROUND((B36/$H37)*100,1),")")</f>
        <v>(18.3)</v>
      </c>
      <c r="D36" s="302">
        <f>'Ind T6'!R8</f>
        <v>1.0422854266525731E-2</v>
      </c>
      <c r="E36" s="299" t="str">
        <f>CONCATENATE("(",ROUND((D36/$H37)*100,1),")")</f>
        <v>(0.9)</v>
      </c>
      <c r="F36" s="302">
        <f>'Ind T6'!S8</f>
        <v>0.1672741001761115</v>
      </c>
      <c r="G36" s="299" t="str">
        <f>CONCATENATE("(",ROUND((F36/$H37)*100,1),")")</f>
        <v>(13.8)</v>
      </c>
      <c r="H36" s="302">
        <f t="shared" ref="H36" si="41">SUM(B36,D36,F36)</f>
        <v>0.39988170149157015</v>
      </c>
      <c r="I36" s="299" t="str">
        <f>CONCATENATE("(",ROUND((H36/$H37)*100,1),")")</f>
        <v>(33)</v>
      </c>
      <c r="K36" s="302">
        <f t="shared" ref="K36:K37" si="42">B41-B36</f>
        <v>-1.2340118453789406E-3</v>
      </c>
      <c r="L36" s="302">
        <f t="shared" ref="L36:L37" si="43">D41-D36</f>
        <v>-8.030226716585244E-4</v>
      </c>
      <c r="M36" s="302">
        <f t="shared" ref="M36:M37" si="44">F41-F36</f>
        <v>4.2032153946758577E-3</v>
      </c>
      <c r="N36" s="302">
        <f t="shared" ref="N36:N37" si="45">SUM(K36:M36)</f>
        <v>2.1661808776383927E-3</v>
      </c>
    </row>
    <row r="37" spans="1:14" x14ac:dyDescent="0.25">
      <c r="A37" s="282" t="s">
        <v>363</v>
      </c>
      <c r="B37" s="302">
        <f>SUM(B35:B36)</f>
        <v>0.6281167883344676</v>
      </c>
      <c r="C37" s="299" t="str">
        <f>CONCATENATE("(",ROUND((B37/$H37)*100,1),")")</f>
        <v>(51.8)</v>
      </c>
      <c r="D37" s="302">
        <f>SUM(D35:D36)</f>
        <v>2.0438963000566204E-2</v>
      </c>
      <c r="E37" s="299" t="str">
        <f>CONCATENATE("(",ROUND((D37/$H37)*100,1),")")</f>
        <v>(1.7)</v>
      </c>
      <c r="F37" s="302">
        <f>SUM(F35:F36)</f>
        <v>0.56344424866496534</v>
      </c>
      <c r="G37" s="299" t="str">
        <f>CONCATENATE("(",ROUND((F37/$H37)*100,1),")")</f>
        <v>(46.5)</v>
      </c>
      <c r="H37" s="302">
        <f>SUM(H35:H36)</f>
        <v>1.2119999999999991</v>
      </c>
      <c r="I37" s="299" t="str">
        <f>CONCATENATE("(",ROUND((H37/$H37)*100,1),")")</f>
        <v>(100)</v>
      </c>
      <c r="K37" s="302">
        <f t="shared" si="42"/>
        <v>3.0816226628786136E-2</v>
      </c>
      <c r="L37" s="302">
        <f t="shared" si="43"/>
        <v>-7.9211117188105612E-4</v>
      </c>
      <c r="M37" s="302">
        <f t="shared" si="44"/>
        <v>-2.702411545690464E-2</v>
      </c>
      <c r="N37" s="302">
        <f t="shared" si="45"/>
        <v>3.0000000000004398E-3</v>
      </c>
    </row>
    <row r="38" spans="1:14" x14ac:dyDescent="0.25">
      <c r="B38" s="302"/>
      <c r="C38" s="284"/>
      <c r="D38" s="302"/>
      <c r="E38" s="284"/>
      <c r="F38" s="302"/>
      <c r="G38" s="284"/>
      <c r="H38" s="302"/>
      <c r="I38" s="284"/>
    </row>
    <row r="39" spans="1:14" ht="13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5">
      <c r="A40" s="282" t="s">
        <v>364</v>
      </c>
      <c r="B40" s="302">
        <f>'Ind T6'!V9</f>
        <v>0.43798227975969978</v>
      </c>
      <c r="C40" s="299" t="str">
        <f>CONCATENATE("(",ROUND((B40/$H42)*100,1),")")</f>
        <v>(36)</v>
      </c>
      <c r="D40" s="302">
        <f>'Ind T6'!W9</f>
        <v>1.0027020233817944E-2</v>
      </c>
      <c r="E40" s="299" t="str">
        <f>CONCATENATE("(",ROUND((D40/$H42)*100,1),")")</f>
        <v>(0.8)</v>
      </c>
      <c r="F40" s="302">
        <f>'Ind T6'!X9</f>
        <v>0.36494281763727338</v>
      </c>
      <c r="G40" s="299" t="str">
        <f>CONCATENATE("(",ROUND((F40/$H42)*100,1),")")</f>
        <v>(30)</v>
      </c>
      <c r="H40" s="302">
        <f>SUM(B40,D40,F40)</f>
        <v>0.81295211763079112</v>
      </c>
      <c r="I40" s="299" t="str">
        <f>CONCATENATE("(",ROUND((H40/$H42)*100,1),")")</f>
        <v>(66.9)</v>
      </c>
      <c r="K40" s="302">
        <f>B40-B30</f>
        <v>7.5792320638799204E-2</v>
      </c>
      <c r="L40" s="302">
        <f>D40-D30</f>
        <v>8.6075655057448776E-4</v>
      </c>
      <c r="M40" s="302">
        <f>F40-F30</f>
        <v>-1.1756307517031606E-2</v>
      </c>
      <c r="N40" s="302">
        <f>SUM(K40:M40)</f>
        <v>6.4896769672342092E-2</v>
      </c>
    </row>
    <row r="41" spans="1:14" x14ac:dyDescent="0.25">
      <c r="A41" s="282" t="s">
        <v>365</v>
      </c>
      <c r="B41" s="302">
        <f>'Ind T6'!V8</f>
        <v>0.22095073520355399</v>
      </c>
      <c r="C41" s="299" t="str">
        <f>CONCATENATE("(",ROUND((B41/$H42)*100,1),")")</f>
        <v>(18.2)</v>
      </c>
      <c r="D41" s="302">
        <f>'Ind T6'!W8</f>
        <v>9.6198315948672064E-3</v>
      </c>
      <c r="E41" s="299" t="str">
        <f>CONCATENATE("(",ROUND((D41/$H42)*100,1),")")</f>
        <v>(0.8)</v>
      </c>
      <c r="F41" s="302">
        <f>'Ind T6'!X8</f>
        <v>0.17147731557078735</v>
      </c>
      <c r="G41" s="299" t="str">
        <f>CONCATENATE("(",ROUND((F41/$H42)*100,1),")")</f>
        <v>(14.1)</v>
      </c>
      <c r="H41" s="302">
        <f t="shared" ref="H41" si="46">SUM(B41,D41,F41)</f>
        <v>0.40204788236920852</v>
      </c>
      <c r="I41" s="299" t="str">
        <f>CONCATENATE("(",ROUND((H41/$H42)*100,1),")")</f>
        <v>(33.1)</v>
      </c>
      <c r="K41" s="302">
        <f t="shared" ref="K41:K42" si="47">B41-B31</f>
        <v>1.6008764832359551E-2</v>
      </c>
      <c r="L41" s="302">
        <f t="shared" ref="L41:L42" si="48">D41-D31</f>
        <v>-2.8169388124681984E-4</v>
      </c>
      <c r="M41" s="302">
        <f t="shared" ref="M41:M42" si="49">F41-F31</f>
        <v>1.9376159376545937E-2</v>
      </c>
      <c r="N41" s="302">
        <f t="shared" ref="N41:N42" si="50">SUM(K41:M41)</f>
        <v>3.510323032765867E-2</v>
      </c>
    </row>
    <row r="42" spans="1:14" x14ac:dyDescent="0.25">
      <c r="A42" s="282" t="s">
        <v>363</v>
      </c>
      <c r="B42" s="302">
        <f>SUM(B40:B41)</f>
        <v>0.65893301496325374</v>
      </c>
      <c r="C42" s="299" t="str">
        <f>CONCATENATE("(",ROUND((B42/$H42)*100,1),")")</f>
        <v>(54.2)</v>
      </c>
      <c r="D42" s="302">
        <f>SUM(D40:D41)</f>
        <v>1.9646851828685148E-2</v>
      </c>
      <c r="E42" s="299" t="str">
        <f>CONCATENATE("(",ROUND((D42/$H42)*100,1),")")</f>
        <v>(1.6)</v>
      </c>
      <c r="F42" s="302">
        <f>SUM(F40:F41)</f>
        <v>0.5364201332080607</v>
      </c>
      <c r="G42" s="299" t="str">
        <f>CONCATENATE("(",ROUND((F42/$H42)*100,1),")")</f>
        <v>(44.1)</v>
      </c>
      <c r="H42" s="302">
        <f>SUM(H40:H41)</f>
        <v>1.2149999999999996</v>
      </c>
      <c r="I42" s="299" t="str">
        <f>CONCATENATE("(",ROUND((H42/$H42)*100,1),")")</f>
        <v>(100)</v>
      </c>
      <c r="K42" s="302">
        <f t="shared" si="47"/>
        <v>9.1801085471158728E-2</v>
      </c>
      <c r="L42" s="302">
        <f t="shared" si="48"/>
        <v>5.7906266932766792E-4</v>
      </c>
      <c r="M42" s="302">
        <f t="shared" si="49"/>
        <v>7.6198518595143039E-3</v>
      </c>
      <c r="N42" s="302">
        <f t="shared" si="50"/>
        <v>0.1000000000000007</v>
      </c>
    </row>
    <row r="43" spans="1:14" x14ac:dyDescent="0.25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ht="13" x14ac:dyDescent="0.3">
      <c r="C46" s="182"/>
      <c r="E46" s="182"/>
      <c r="G46" s="182"/>
      <c r="I46" s="182"/>
    </row>
    <row r="47" spans="1:14" ht="13" x14ac:dyDescent="0.3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ht="13" x14ac:dyDescent="0.3">
      <c r="N48" s="287" t="s">
        <v>370</v>
      </c>
    </row>
    <row r="49" spans="1:14" ht="13" x14ac:dyDescent="0.3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ht="13" x14ac:dyDescent="0.3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5">
      <c r="A51" s="282" t="s">
        <v>364</v>
      </c>
      <c r="B51" s="302">
        <f>'Ind T6'!L18</f>
        <v>0.12747906197626399</v>
      </c>
      <c r="C51" s="299" t="str">
        <f>CONCATENATE("(",ROUND((B51/$H53)*100,1),")")</f>
        <v>(82.2)</v>
      </c>
      <c r="D51" s="302">
        <f>'Ind T6'!M18</f>
        <v>2.1419597990060346E-3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0.12962102177527002</v>
      </c>
      <c r="I51" s="299" t="str">
        <f>CONCATENATE("(",ROUND((H51/$H53)*100,1),")")</f>
        <v>(83.6)</v>
      </c>
      <c r="K51" s="302">
        <f>B56-B51</f>
        <v>-3.785413184823723E-2</v>
      </c>
      <c r="L51" s="302">
        <f>D56-D51</f>
        <v>-6.1876248207288998E-4</v>
      </c>
      <c r="M51" s="302">
        <f>F56-F51</f>
        <v>0</v>
      </c>
      <c r="N51" s="302">
        <f>SUM(K51:M51)</f>
        <v>-3.847289433031012E-2</v>
      </c>
    </row>
    <row r="52" spans="1:14" x14ac:dyDescent="0.25">
      <c r="A52" s="282" t="s">
        <v>365</v>
      </c>
      <c r="B52" s="302">
        <f>'Ind T6'!L17</f>
        <v>2.2003768844479642E-2</v>
      </c>
      <c r="C52" s="299" t="str">
        <f>CONCATENATE("(",ROUND((B52/$H53)*100,1),")")</f>
        <v>(14.2)</v>
      </c>
      <c r="D52" s="302">
        <f>'Ind T6'!M17</f>
        <v>3.3752093802500815E-3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2.5378978224729724E-2</v>
      </c>
      <c r="I52" s="299" t="str">
        <f>CONCATENATE("(",ROUND((H52/$H53)*100,1),")")</f>
        <v>(16.4)</v>
      </c>
      <c r="K52" s="302">
        <f t="shared" ref="K52:K53" si="52">B57-B52</f>
        <v>-6.589011996542625E-3</v>
      </c>
      <c r="L52" s="302">
        <f t="shared" ref="L52:L53" si="53">D57-D52</f>
        <v>-9.3809367314708113E-4</v>
      </c>
      <c r="M52" s="302">
        <f t="shared" ref="M52:M53" si="54">F57-F52</f>
        <v>0</v>
      </c>
      <c r="N52" s="302">
        <f t="shared" ref="N52:N53" si="55">SUM(K52:M52)</f>
        <v>-7.5271056696897057E-3</v>
      </c>
    </row>
    <row r="53" spans="1:14" x14ac:dyDescent="0.25">
      <c r="A53" s="282" t="s">
        <v>363</v>
      </c>
      <c r="B53" s="302">
        <f>SUM(B51:B52)</f>
        <v>0.14948283082074362</v>
      </c>
      <c r="C53" s="299" t="str">
        <f>CONCATENATE("(",ROUND((B53/$H53)*100,1),")")</f>
        <v>(96.4)</v>
      </c>
      <c r="D53" s="302">
        <f>SUM(D51:D52)</f>
        <v>5.5171691792561157E-3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0.15499999999999975</v>
      </c>
      <c r="I53" s="299" t="str">
        <f>CONCATENATE("(",ROUND((H53/$H53)*100,1),")")</f>
        <v>(100)</v>
      </c>
      <c r="K53" s="302">
        <f t="shared" si="52"/>
        <v>-4.4443143844779848E-2</v>
      </c>
      <c r="L53" s="302">
        <f t="shared" si="53"/>
        <v>-1.5568561552199711E-3</v>
      </c>
      <c r="M53" s="302">
        <f t="shared" si="54"/>
        <v>0</v>
      </c>
      <c r="N53" s="302">
        <f t="shared" si="55"/>
        <v>-4.5999999999999819E-2</v>
      </c>
    </row>
    <row r="54" spans="1:14" x14ac:dyDescent="0.25">
      <c r="B54" s="302"/>
      <c r="C54" s="284"/>
      <c r="D54" s="302"/>
      <c r="E54" s="284"/>
      <c r="F54" s="302"/>
      <c r="G54" s="284"/>
      <c r="H54" s="302"/>
      <c r="I54" s="284"/>
    </row>
    <row r="55" spans="1:14" ht="13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5">
      <c r="A56" s="282" t="s">
        <v>364</v>
      </c>
      <c r="B56" s="302">
        <f>'Ind T6'!Q18</f>
        <v>8.9624930128026761E-2</v>
      </c>
      <c r="C56" s="299" t="str">
        <f>CONCATENATE("(",ROUND((B56/$H58)*100,1),")")</f>
        <v>(82.2)</v>
      </c>
      <c r="D56" s="302">
        <f>'Ind T6'!R18</f>
        <v>1.5231973169331447E-3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9.1148127444959912E-2</v>
      </c>
      <c r="I56" s="299" t="str">
        <f>CONCATENATE("(",ROUND((H56/$H58)*100,1),")")</f>
        <v>(83.6)</v>
      </c>
      <c r="K56" s="302">
        <f>B61-B56</f>
        <v>-3.7716864213193521E-2</v>
      </c>
      <c r="L56" s="302">
        <f>D61-D56</f>
        <v>-5.396760680177826E-4</v>
      </c>
      <c r="M56" s="302">
        <f>F61-F56</f>
        <v>0</v>
      </c>
      <c r="N56" s="302">
        <f>SUM(K56:M56)</f>
        <v>-3.8256540281211303E-2</v>
      </c>
    </row>
    <row r="57" spans="1:14" x14ac:dyDescent="0.25">
      <c r="A57" s="282" t="s">
        <v>365</v>
      </c>
      <c r="B57" s="302">
        <f>'Ind T6'!Q17</f>
        <v>1.5414756847937017E-2</v>
      </c>
      <c r="C57" s="299" t="str">
        <f>CONCATENATE("(",ROUND((B57/$H58)*100,1),")")</f>
        <v>(14.1)</v>
      </c>
      <c r="D57" s="302">
        <f>'Ind T6'!R17</f>
        <v>2.4371157071030004E-3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1.7851872555040019E-2</v>
      </c>
      <c r="I57" s="299" t="str">
        <f>CONCATENATE("(",ROUND((H57/$H58)*100,1),")")</f>
        <v>(16.4)</v>
      </c>
      <c r="K57" s="302">
        <f t="shared" ref="K57:K58" si="57">B62-B57</f>
        <v>-6.7816258850528256E-3</v>
      </c>
      <c r="L57" s="302">
        <f t="shared" ref="L57:L58" si="58">D62-D57</f>
        <v>-9.6183383373589244E-4</v>
      </c>
      <c r="M57" s="302">
        <f t="shared" ref="M57:M58" si="59">F62-F57</f>
        <v>0</v>
      </c>
      <c r="N57" s="302">
        <f t="shared" ref="N57:N58" si="60">SUM(K57:M57)</f>
        <v>-7.7434597187887181E-3</v>
      </c>
    </row>
    <row r="58" spans="1:14" x14ac:dyDescent="0.25">
      <c r="A58" s="282" t="s">
        <v>363</v>
      </c>
      <c r="B58" s="302">
        <f>SUM(B56:B57)</f>
        <v>0.10503968697596378</v>
      </c>
      <c r="C58" s="299" t="str">
        <f>CONCATENATE("(",ROUND((B58/$H58)*100,1),")")</f>
        <v>(96.4)</v>
      </c>
      <c r="D58" s="302">
        <f>SUM(D56:D57)</f>
        <v>3.9603130240361446E-3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0.10899999999999993</v>
      </c>
      <c r="I58" s="299" t="str">
        <f>CONCATENATE("(",ROUND((H58/$H58)*100,1),")")</f>
        <v>(100)</v>
      </c>
      <c r="K58" s="302">
        <f t="shared" si="57"/>
        <v>-4.4498490098246343E-2</v>
      </c>
      <c r="L58" s="302">
        <f t="shared" si="58"/>
        <v>-1.5015099017536746E-3</v>
      </c>
      <c r="M58" s="302">
        <f t="shared" si="59"/>
        <v>0</v>
      </c>
      <c r="N58" s="302">
        <f t="shared" si="60"/>
        <v>-4.600000000000002E-2</v>
      </c>
    </row>
    <row r="59" spans="1:14" x14ac:dyDescent="0.25">
      <c r="B59" s="302"/>
      <c r="C59" s="284"/>
      <c r="D59" s="302"/>
      <c r="E59" s="284"/>
      <c r="F59" s="302"/>
      <c r="G59" s="284"/>
      <c r="H59" s="302"/>
      <c r="I59" s="284"/>
    </row>
    <row r="60" spans="1:14" ht="13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5">
      <c r="A61" s="282" t="s">
        <v>364</v>
      </c>
      <c r="B61" s="302">
        <f>'Ind T6'!V18</f>
        <v>5.190806591483324E-2</v>
      </c>
      <c r="C61" s="299" t="str">
        <f>CONCATENATE("(",ROUND((B61/$H63)*100,1),")")</f>
        <v>(82.4)</v>
      </c>
      <c r="D61" s="302">
        <f>'Ind T6'!W18</f>
        <v>9.8352124891536207E-4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5.2891587163748602E-2</v>
      </c>
      <c r="I61" s="299" t="str">
        <f>CONCATENATE("(",ROUND((H61/$H63)*100,1),")")</f>
        <v>(84)</v>
      </c>
      <c r="K61" s="302">
        <f>B61-B51</f>
        <v>-7.5570996061430751E-2</v>
      </c>
      <c r="L61" s="302">
        <f>D61-D51</f>
        <v>-1.1584385500906726E-3</v>
      </c>
      <c r="M61" s="302">
        <f>F61-F51</f>
        <v>0</v>
      </c>
      <c r="N61" s="302">
        <f>SUM(K61:M61)</f>
        <v>-7.672943461152143E-2</v>
      </c>
    </row>
    <row r="62" spans="1:14" x14ac:dyDescent="0.25">
      <c r="A62" s="282" t="s">
        <v>365</v>
      </c>
      <c r="B62" s="302">
        <f>'Ind T6'!V17</f>
        <v>8.6331309628841918E-3</v>
      </c>
      <c r="C62" s="299" t="str">
        <f>CONCATENATE("(",ROUND((B62/$H63)*100,1),")")</f>
        <v>(13.7)</v>
      </c>
      <c r="D62" s="302">
        <f>'Ind T6'!W17</f>
        <v>1.475281873367108E-3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1.01084128362513E-2</v>
      </c>
      <c r="I62" s="299" t="str">
        <f>CONCATENATE("(",ROUND((H62/$H63)*100,1),")")</f>
        <v>(16)</v>
      </c>
      <c r="K62" s="302">
        <f t="shared" ref="K62:K63" si="62">B62-B52</f>
        <v>-1.3370637881595451E-2</v>
      </c>
      <c r="L62" s="302">
        <f t="shared" ref="L62:L63" si="63">D62-D52</f>
        <v>-1.8999275068829736E-3</v>
      </c>
      <c r="M62" s="302">
        <f t="shared" ref="M62:M63" si="64">F62-F52</f>
        <v>0</v>
      </c>
      <c r="N62" s="302">
        <f t="shared" ref="N62:N63" si="65">SUM(K62:M62)</f>
        <v>-1.5270565388478425E-2</v>
      </c>
    </row>
    <row r="63" spans="1:14" x14ac:dyDescent="0.25">
      <c r="A63" s="282" t="s">
        <v>363</v>
      </c>
      <c r="B63" s="302">
        <f>SUM(B61:B62)</f>
        <v>6.0541196877717432E-2</v>
      </c>
      <c r="C63" s="299" t="str">
        <f>CONCATENATE("(",ROUND((B63/$H63)*100,1),")")</f>
        <v>(96.1)</v>
      </c>
      <c r="D63" s="302">
        <f>SUM(D61:D62)</f>
        <v>2.45880312228247E-3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6.2999999999999903E-2</v>
      </c>
      <c r="I63" s="299" t="str">
        <f>CONCATENATE("(",ROUND((H63/$H63)*100,1),")")</f>
        <v>(100)</v>
      </c>
      <c r="K63" s="302">
        <f t="shared" si="62"/>
        <v>-8.8941633943026191E-2</v>
      </c>
      <c r="L63" s="302">
        <f t="shared" si="63"/>
        <v>-3.0583660569736457E-3</v>
      </c>
      <c r="M63" s="302">
        <f t="shared" si="64"/>
        <v>0</v>
      </c>
      <c r="N63" s="302">
        <f t="shared" si="65"/>
        <v>-9.1999999999999832E-2</v>
      </c>
    </row>
    <row r="64" spans="1:14" x14ac:dyDescent="0.25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ht="13" x14ac:dyDescent="0.3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ht="13" x14ac:dyDescent="0.3">
      <c r="N69" s="287" t="s">
        <v>370</v>
      </c>
    </row>
    <row r="70" spans="1:14" ht="13" x14ac:dyDescent="0.3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ht="13" x14ac:dyDescent="0.3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5">
      <c r="A72" s="282" t="s">
        <v>364</v>
      </c>
      <c r="B72" s="302">
        <f>'Ind T6'!L27</f>
        <v>3.7305585875618092</v>
      </c>
      <c r="C72" s="299" t="str">
        <f>CONCATENATE("(",ROUND((B72/$H74)*100,1),")")</f>
        <v>(59.2)</v>
      </c>
      <c r="D72" s="302">
        <f>'Ind T6'!M27</f>
        <v>0.34827642443046958</v>
      </c>
      <c r="E72" s="299" t="str">
        <f>CONCATENATE("(",ROUND((D72/$H74)*100,1),")")</f>
        <v>(5.5)</v>
      </c>
      <c r="F72" s="302">
        <f>'Ind T6'!N27</f>
        <v>6.4345406102810421E-2</v>
      </c>
      <c r="G72" s="299" t="str">
        <f>CONCATENATE("(",ROUND((F72/$H74)*100,1),")")</f>
        <v>(1)</v>
      </c>
      <c r="H72" s="302">
        <f>SUM(B72,D72,F72)</f>
        <v>4.1431804180950893</v>
      </c>
      <c r="I72" s="299" t="str">
        <f>CONCATENATE("(",ROUND((H72/$H74)*100,1),")")</f>
        <v>(65.8)</v>
      </c>
      <c r="K72" s="302">
        <f>B77-B72</f>
        <v>-3.1539518145249801E-2</v>
      </c>
      <c r="L72" s="302">
        <f>D77-D72</f>
        <v>9.5481812912828756E-4</v>
      </c>
      <c r="M72" s="302">
        <f>F77-F72</f>
        <v>5.7224983368940607E-4</v>
      </c>
      <c r="N72" s="302">
        <f>SUM(K72:M72)</f>
        <v>-3.0012450182432107E-2</v>
      </c>
    </row>
    <row r="73" spans="1:14" x14ac:dyDescent="0.25">
      <c r="A73" s="282" t="s">
        <v>365</v>
      </c>
      <c r="B73" s="302">
        <f>'Ind T6'!L26</f>
        <v>1.6462467939333705</v>
      </c>
      <c r="C73" s="299" t="str">
        <f>CONCATENATE("(",ROUND((B73/$H74)*100,1),")")</f>
        <v>(26.1)</v>
      </c>
      <c r="D73" s="302">
        <f>'Ind T6'!M26</f>
        <v>0.40450951573330213</v>
      </c>
      <c r="E73" s="299" t="str">
        <f>CONCATENATE("(",ROUND((D73/$H74)*100,1),")")</f>
        <v>(6.4)</v>
      </c>
      <c r="F73" s="302">
        <f>'Ind T6'!N26</f>
        <v>0.10306327223823812</v>
      </c>
      <c r="G73" s="299" t="str">
        <f>CONCATENATE("(",ROUND((F73/$H74)*100,1),")")</f>
        <v>(1.6)</v>
      </c>
      <c r="H73" s="302">
        <f t="shared" ref="H73" si="66">SUM(B73,D73,F73)</f>
        <v>2.1538195819049109</v>
      </c>
      <c r="I73" s="299" t="str">
        <f>CONCATENATE("(",ROUND((H73/$H74)*100,1),")")</f>
        <v>(34.2)</v>
      </c>
      <c r="K73" s="302">
        <f t="shared" ref="K73:K74" si="67">B78-B73</f>
        <v>6.5703515216793518E-2</v>
      </c>
      <c r="L73" s="302">
        <f t="shared" ref="L73:L74" si="68">D78-D73</f>
        <v>2.6034466605773243E-4</v>
      </c>
      <c r="M73" s="302">
        <f t="shared" ref="M73:M74" si="69">F78-F73</f>
        <v>3.048590299582335E-3</v>
      </c>
      <c r="N73" s="302">
        <f t="shared" ref="N73:N74" si="70">SUM(K73:M73)</f>
        <v>6.9012450182433585E-2</v>
      </c>
    </row>
    <row r="74" spans="1:14" x14ac:dyDescent="0.25">
      <c r="A74" s="282" t="s">
        <v>363</v>
      </c>
      <c r="B74" s="302">
        <f>SUM(B72:B73)</f>
        <v>5.3768053814951795</v>
      </c>
      <c r="C74" s="299" t="str">
        <f>CONCATENATE("(",ROUND((B74/$H74)*100,1),")")</f>
        <v>(85.4)</v>
      </c>
      <c r="D74" s="302">
        <f>SUM(D72:D73)</f>
        <v>0.75278594016377176</v>
      </c>
      <c r="E74" s="299" t="str">
        <f>CONCATENATE("(",ROUND((D74/$H74)*100,1),")")</f>
        <v>(12)</v>
      </c>
      <c r="F74" s="302">
        <f>SUM(F72:F73)</f>
        <v>0.16740867834104856</v>
      </c>
      <c r="G74" s="299" t="str">
        <f>CONCATENATE("(",ROUND((F74/$H74)*100,1),")")</f>
        <v>(2.7)</v>
      </c>
      <c r="H74" s="302">
        <f>SUM(H72:H73)</f>
        <v>6.2970000000000006</v>
      </c>
      <c r="I74" s="299" t="str">
        <f>CONCATENATE("(",ROUND((H74/$H74)*100,1),")")</f>
        <v>(100)</v>
      </c>
      <c r="K74" s="302">
        <f t="shared" si="67"/>
        <v>3.4163997071543939E-2</v>
      </c>
      <c r="L74" s="302">
        <f t="shared" si="68"/>
        <v>1.2151627951859645E-3</v>
      </c>
      <c r="M74" s="302">
        <f t="shared" si="69"/>
        <v>3.620840133271741E-3</v>
      </c>
      <c r="N74" s="302">
        <f t="shared" si="70"/>
        <v>3.9000000000001644E-2</v>
      </c>
    </row>
    <row r="75" spans="1:14" x14ac:dyDescent="0.25">
      <c r="B75" s="302"/>
      <c r="C75" s="284"/>
      <c r="D75" s="302"/>
      <c r="E75" s="284"/>
      <c r="F75" s="302"/>
      <c r="G75" s="284"/>
      <c r="H75" s="302"/>
      <c r="I75" s="284"/>
    </row>
    <row r="76" spans="1:14" ht="13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5">
      <c r="A77" s="282" t="s">
        <v>364</v>
      </c>
      <c r="B77" s="302">
        <f>'Ind T6'!Q27</f>
        <v>3.6990190694165594</v>
      </c>
      <c r="C77" s="299" t="str">
        <f>CONCATENATE("(",ROUND((B77/$H79)*100,1),")")</f>
        <v>(58.4)</v>
      </c>
      <c r="D77" s="302">
        <f>'Ind T6'!R27</f>
        <v>0.34923124255959787</v>
      </c>
      <c r="E77" s="299" t="str">
        <f>CONCATENATE("(",ROUND((D77/$H79)*100,1),")")</f>
        <v>(5.5)</v>
      </c>
      <c r="F77" s="302">
        <f>'Ind T6'!S27</f>
        <v>6.4917655936499827E-2</v>
      </c>
      <c r="G77" s="299" t="str">
        <f>CONCATENATE("(",ROUND((F77/$H79)*100,1),")")</f>
        <v>(1)</v>
      </c>
      <c r="H77" s="302">
        <f>SUM(B77,D77,F77)</f>
        <v>4.1131679679126574</v>
      </c>
      <c r="I77" s="299" t="str">
        <f>CONCATENATE("(",ROUND((H77/$H79)*100,1),")")</f>
        <v>(64.9)</v>
      </c>
      <c r="K77" s="302">
        <f>B82-B77</f>
        <v>-0.18648346515659942</v>
      </c>
      <c r="L77" s="302">
        <f>D82-D77</f>
        <v>-1.0323475713506391E-2</v>
      </c>
      <c r="M77" s="302">
        <f>F82-F77</f>
        <v>4.2065192620342751E-4</v>
      </c>
      <c r="N77" s="302">
        <f>SUM(K77:M77)</f>
        <v>-0.19638628894390237</v>
      </c>
    </row>
    <row r="78" spans="1:14" x14ac:dyDescent="0.25">
      <c r="A78" s="282" t="s">
        <v>365</v>
      </c>
      <c r="B78" s="302">
        <f>'Ind T6'!Q26</f>
        <v>1.711950309150164</v>
      </c>
      <c r="C78" s="299" t="str">
        <f>CONCATENATE("(",ROUND((B78/$H79)*100,1),")")</f>
        <v>(27)</v>
      </c>
      <c r="D78" s="302">
        <f>'Ind T6'!R26</f>
        <v>0.40476986039935986</v>
      </c>
      <c r="E78" s="299" t="str">
        <f>CONCATENATE("(",ROUND((D78/$H79)*100,1),")")</f>
        <v>(6.4)</v>
      </c>
      <c r="F78" s="302">
        <f>'Ind T6'!S26</f>
        <v>0.10611186253782046</v>
      </c>
      <c r="G78" s="299" t="str">
        <f>CONCATENATE("(",ROUND((F78/$H79)*100,1),")")</f>
        <v>(1.7)</v>
      </c>
      <c r="H78" s="302">
        <f t="shared" ref="H78" si="71">SUM(B78,D78,F78)</f>
        <v>2.2228320320873443</v>
      </c>
      <c r="I78" s="299" t="str">
        <f>CONCATENATE("(",ROUND((H78/$H79)*100,1),")")</f>
        <v>(35.1)</v>
      </c>
      <c r="K78" s="302">
        <f t="shared" ref="K78:K79" si="72">B83-B78</f>
        <v>6.29194758278524E-2</v>
      </c>
      <c r="L78" s="302">
        <f t="shared" ref="L78:L79" si="73">D83-D78</f>
        <v>-1.4776051146793312E-2</v>
      </c>
      <c r="M78" s="302">
        <f t="shared" ref="M78:M79" si="74">F83-F78</f>
        <v>1.2428642628369846E-3</v>
      </c>
      <c r="N78" s="302">
        <f t="shared" ref="N78:N79" si="75">SUM(K78:M78)</f>
        <v>4.9386288943896073E-2</v>
      </c>
    </row>
    <row r="79" spans="1:14" x14ac:dyDescent="0.25">
      <c r="A79" s="282" t="s">
        <v>363</v>
      </c>
      <c r="B79" s="302">
        <f>SUM(B77:B78)</f>
        <v>5.4109693785667234</v>
      </c>
      <c r="C79" s="299" t="str">
        <f>CONCATENATE("(",ROUND((B79/$H79)*100,1),")")</f>
        <v>(85.4)</v>
      </c>
      <c r="D79" s="302">
        <f>SUM(D77:D78)</f>
        <v>0.75400110295895773</v>
      </c>
      <c r="E79" s="299" t="str">
        <f>CONCATENATE("(",ROUND((D79/$H79)*100,1),")")</f>
        <v>(11.9)</v>
      </c>
      <c r="F79" s="302">
        <f>SUM(F77:F78)</f>
        <v>0.1710295184743203</v>
      </c>
      <c r="G79" s="299" t="str">
        <f>CONCATENATE("(",ROUND((F79/$H79)*100,1),")")</f>
        <v>(2.7)</v>
      </c>
      <c r="H79" s="302">
        <f>SUM(H77:H78)</f>
        <v>6.3360000000000021</v>
      </c>
      <c r="I79" s="299" t="str">
        <f>CONCATENATE("(",ROUND((H79/$H79)*100,1),")")</f>
        <v>(100)</v>
      </c>
      <c r="K79" s="302">
        <f t="shared" si="72"/>
        <v>-0.12356398932874679</v>
      </c>
      <c r="L79" s="302">
        <f t="shared" si="73"/>
        <v>-2.5099526860299703E-2</v>
      </c>
      <c r="M79" s="302">
        <f t="shared" si="74"/>
        <v>1.6635161890403982E-3</v>
      </c>
      <c r="N79" s="302">
        <f t="shared" si="75"/>
        <v>-0.1470000000000061</v>
      </c>
    </row>
    <row r="80" spans="1:14" x14ac:dyDescent="0.25">
      <c r="B80" s="302"/>
      <c r="C80" s="284"/>
      <c r="D80" s="302"/>
      <c r="E80" s="284"/>
      <c r="F80" s="302"/>
      <c r="G80" s="284"/>
      <c r="H80" s="302"/>
      <c r="I80" s="284"/>
    </row>
    <row r="81" spans="1:14" ht="13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5">
      <c r="A82" s="282" t="s">
        <v>364</v>
      </c>
      <c r="B82" s="302">
        <f>'Ind T6'!V27</f>
        <v>3.51253560425996</v>
      </c>
      <c r="C82" s="299" t="str">
        <f>CONCATENATE("(",ROUND((B82/$H84)*100,1),")")</f>
        <v>(56.8)</v>
      </c>
      <c r="D82" s="302">
        <f>'Ind T6'!W27</f>
        <v>0.33890776684609147</v>
      </c>
      <c r="E82" s="299" t="str">
        <f>CONCATENATE("(",ROUND((D82/$H84)*100,1),")")</f>
        <v>(5.5)</v>
      </c>
      <c r="F82" s="302">
        <f>'Ind T6'!X27</f>
        <v>6.5338307862703254E-2</v>
      </c>
      <c r="G82" s="299" t="str">
        <f>CONCATENATE("(",ROUND((F82/$H84)*100,1),")")</f>
        <v>(1.1)</v>
      </c>
      <c r="H82" s="302">
        <f>SUM(B82,D82,F82)</f>
        <v>3.9167816789687548</v>
      </c>
      <c r="I82" s="299" t="str">
        <f>CONCATENATE("(",ROUND((H82/$H84)*100,1),")")</f>
        <v>(63.3)</v>
      </c>
      <c r="K82" s="302">
        <f>B82-B72</f>
        <v>-0.21802298330184922</v>
      </c>
      <c r="L82" s="302">
        <f>D82-D72</f>
        <v>-9.3686575843781039E-3</v>
      </c>
      <c r="M82" s="302">
        <f>F82-F72</f>
        <v>9.9290175989283358E-4</v>
      </c>
      <c r="N82" s="302">
        <f>SUM(K82:M82)</f>
        <v>-0.22639873912633449</v>
      </c>
    </row>
    <row r="83" spans="1:14" x14ac:dyDescent="0.25">
      <c r="A83" s="282" t="s">
        <v>365</v>
      </c>
      <c r="B83" s="302">
        <f>'Ind T6'!V26</f>
        <v>1.7748697849780164</v>
      </c>
      <c r="C83" s="299" t="str">
        <f>CONCATENATE("(",ROUND((B83/$H84)*100,1),")")</f>
        <v>(28.7)</v>
      </c>
      <c r="D83" s="302">
        <f>'Ind T6'!W26</f>
        <v>0.38999380925256655</v>
      </c>
      <c r="E83" s="299" t="str">
        <f>CONCATENATE("(",ROUND((D83/$H84)*100,1),")")</f>
        <v>(6.3)</v>
      </c>
      <c r="F83" s="302">
        <f>'Ind T6'!X26</f>
        <v>0.10735472680065744</v>
      </c>
      <c r="G83" s="299" t="str">
        <f>CONCATENATE("(",ROUND((F83/$H84)*100,1),")")</f>
        <v>(1.7)</v>
      </c>
      <c r="H83" s="302">
        <f t="shared" ref="H83" si="76">SUM(B83,D83,F83)</f>
        <v>2.2722183210312403</v>
      </c>
      <c r="I83" s="299" t="str">
        <f>CONCATENATE("(",ROUND((H83/$H84)*100,1),")")</f>
        <v>(36.7)</v>
      </c>
      <c r="K83" s="302">
        <f t="shared" ref="K83:K84" si="77">B83-B73</f>
        <v>0.12862299104464592</v>
      </c>
      <c r="L83" s="302">
        <f t="shared" ref="L83:L84" si="78">D83-D73</f>
        <v>-1.451570648073558E-2</v>
      </c>
      <c r="M83" s="302">
        <f t="shared" ref="M83:M84" si="79">F83-F73</f>
        <v>4.2914545624193196E-3</v>
      </c>
      <c r="N83" s="302">
        <f t="shared" ref="N83:N84" si="80">SUM(K83:M83)</f>
        <v>0.11839873912632966</v>
      </c>
    </row>
    <row r="84" spans="1:14" x14ac:dyDescent="0.25">
      <c r="A84" s="282" t="s">
        <v>363</v>
      </c>
      <c r="B84" s="302">
        <f>SUM(B82:B83)</f>
        <v>5.2874053892379766</v>
      </c>
      <c r="C84" s="299" t="str">
        <f>CONCATENATE("(",ROUND((B84/$H84)*100,1),")")</f>
        <v>(85.4)</v>
      </c>
      <c r="D84" s="302">
        <f>SUM(D82:D83)</f>
        <v>0.72890157609865802</v>
      </c>
      <c r="E84" s="299" t="str">
        <f>CONCATENATE("(",ROUND((D84/$H84)*100,1),")")</f>
        <v>(11.8)</v>
      </c>
      <c r="F84" s="302">
        <f>SUM(F82:F83)</f>
        <v>0.17269303466336069</v>
      </c>
      <c r="G84" s="299" t="str">
        <f>CONCATENATE("(",ROUND((F84/$H84)*100,1),")")</f>
        <v>(2.8)</v>
      </c>
      <c r="H84" s="302">
        <f>SUM(H82:H83)</f>
        <v>6.1889999999999947</v>
      </c>
      <c r="I84" s="299" t="str">
        <f>CONCATENATE("(",ROUND((H84/$H84)*100,1),")")</f>
        <v>(100)</v>
      </c>
      <c r="K84" s="302">
        <f t="shared" si="77"/>
        <v>-8.9399992257202854E-2</v>
      </c>
      <c r="L84" s="302">
        <f t="shared" si="78"/>
        <v>-2.3884364065113739E-2</v>
      </c>
      <c r="M84" s="302">
        <f t="shared" si="79"/>
        <v>5.2843563223121393E-3</v>
      </c>
      <c r="N84" s="302">
        <f t="shared" si="80"/>
        <v>-0.10800000000000445</v>
      </c>
    </row>
    <row r="85" spans="1:14" x14ac:dyDescent="0.25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ht="13" x14ac:dyDescent="0.3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ht="13" x14ac:dyDescent="0.3">
      <c r="N90" s="287" t="s">
        <v>370</v>
      </c>
    </row>
    <row r="91" spans="1:14" ht="13" x14ac:dyDescent="0.3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ht="13" x14ac:dyDescent="0.3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5">
      <c r="A93" s="282" t="s">
        <v>364</v>
      </c>
      <c r="B93" s="302">
        <f>'Ind T6'!L36</f>
        <v>5.2916351075307366</v>
      </c>
      <c r="C93" s="299" t="str">
        <f>CONCATENATE("(",ROUND((B93/$H95)*100,1),")")</f>
        <v>(71.4)</v>
      </c>
      <c r="D93" s="302">
        <f>'Ind T6'!M36</f>
        <v>0.20197702260520997</v>
      </c>
      <c r="E93" s="299" t="str">
        <f>CONCATENATE("(",ROUND((D93/$H95)*100,1),")")</f>
        <v>(2.7)</v>
      </c>
      <c r="F93" s="302">
        <f>'Ind T6'!N36</f>
        <v>0.19888221338618109</v>
      </c>
      <c r="G93" s="299" t="str">
        <f>CONCATENATE("(",ROUND((F93/$H95)*100,1),")")</f>
        <v>(2.7)</v>
      </c>
      <c r="H93" s="302">
        <f>SUM(B93,D93,F93)</f>
        <v>5.6924943435221271</v>
      </c>
      <c r="I93" s="299" t="str">
        <f>CONCATENATE("(",ROUND((H93/$H95)*100,1),")")</f>
        <v>(76.8)</v>
      </c>
      <c r="K93" s="302">
        <f>B98-B93</f>
        <v>0.32048238405660978</v>
      </c>
      <c r="L93" s="302">
        <f>D98-D93</f>
        <v>2.1612041325610482E-2</v>
      </c>
      <c r="M93" s="302">
        <f>F98-F93</f>
        <v>1.591042813807339E-2</v>
      </c>
      <c r="N93" s="302">
        <f>SUM(K93:M93)</f>
        <v>0.35800485352029365</v>
      </c>
    </row>
    <row r="94" spans="1:14" x14ac:dyDescent="0.25">
      <c r="A94" s="282" t="s">
        <v>365</v>
      </c>
      <c r="B94" s="302">
        <f>'Ind T6'!L35</f>
        <v>1.2864633262278136</v>
      </c>
      <c r="C94" s="299" t="str">
        <f>CONCATENATE("(",ROUND((B94/$H95)*100,1),")")</f>
        <v>(17.3)</v>
      </c>
      <c r="D94" s="302">
        <f>'Ind T6'!M35</f>
        <v>0.32951573929697003</v>
      </c>
      <c r="E94" s="299" t="str">
        <f>CONCATENATE("(",ROUND((D94/$H95)*100,1),")")</f>
        <v>(4.4)</v>
      </c>
      <c r="F94" s="302">
        <f>'Ind T6'!N35</f>
        <v>0.106526590953109</v>
      </c>
      <c r="G94" s="299" t="str">
        <f>CONCATENATE("(",ROUND((F94/$H95)*100,1),")")</f>
        <v>(1.4)</v>
      </c>
      <c r="H94" s="302">
        <f t="shared" ref="H94" si="81">SUM(B94,D94,F94)</f>
        <v>1.7225056564778927</v>
      </c>
      <c r="I94" s="299" t="str">
        <f>CONCATENATE("(",ROUND((H94/$H95)*100,1),")")</f>
        <v>(23.2)</v>
      </c>
      <c r="K94" s="302">
        <f t="shared" ref="K94:K95" si="82">B99-B94</f>
        <v>6.9785073033372669E-2</v>
      </c>
      <c r="L94" s="302">
        <f t="shared" ref="L94:L95" si="83">D99-D94</f>
        <v>1.7383173191879597E-2</v>
      </c>
      <c r="M94" s="302">
        <f t="shared" ref="M94:M95" si="84">F99-F94</f>
        <v>7.8269002544444077E-3</v>
      </c>
      <c r="N94" s="302">
        <f t="shared" ref="N94:N95" si="85">SUM(K94:M94)</f>
        <v>9.4995146479696674E-2</v>
      </c>
    </row>
    <row r="95" spans="1:14" x14ac:dyDescent="0.25">
      <c r="A95" s="282" t="s">
        <v>363</v>
      </c>
      <c r="B95" s="302">
        <f>SUM(B93:B94)</f>
        <v>6.5780984337585497</v>
      </c>
      <c r="C95" s="299" t="str">
        <f>CONCATENATE("(",ROUND((B95/$H95)*100,1),")")</f>
        <v>(88.7)</v>
      </c>
      <c r="D95" s="302">
        <f>SUM(D93:D94)</f>
        <v>0.53149276190217998</v>
      </c>
      <c r="E95" s="299" t="str">
        <f>CONCATENATE("(",ROUND((D95/$H95)*100,1),")")</f>
        <v>(7.2)</v>
      </c>
      <c r="F95" s="302">
        <f>SUM(F93:F94)</f>
        <v>0.30540880433929007</v>
      </c>
      <c r="G95" s="299" t="str">
        <f>CONCATENATE("(",ROUND((F95/$H95)*100,1),")")</f>
        <v>(4.1)</v>
      </c>
      <c r="H95" s="302">
        <f>SUM(H93:H94)</f>
        <v>7.4150000000000196</v>
      </c>
      <c r="I95" s="299" t="str">
        <f>CONCATENATE("(",ROUND((H95/$H95)*100,1),")")</f>
        <v>(100)</v>
      </c>
      <c r="K95" s="302">
        <f t="shared" si="82"/>
        <v>0.39026745708998334</v>
      </c>
      <c r="L95" s="302">
        <f t="shared" si="83"/>
        <v>3.8995214517490107E-2</v>
      </c>
      <c r="M95" s="302">
        <f t="shared" si="84"/>
        <v>2.3737328392517798E-2</v>
      </c>
      <c r="N95" s="302">
        <f t="shared" si="85"/>
        <v>0.45299999999999124</v>
      </c>
    </row>
    <row r="96" spans="1:14" x14ac:dyDescent="0.25">
      <c r="B96" s="302"/>
      <c r="C96" s="284"/>
      <c r="D96" s="302"/>
      <c r="E96" s="284"/>
      <c r="F96" s="302"/>
      <c r="G96" s="284"/>
      <c r="H96" s="302"/>
      <c r="I96" s="284"/>
    </row>
    <row r="97" spans="1:14" ht="13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5">
      <c r="A98" s="282" t="s">
        <v>364</v>
      </c>
      <c r="B98" s="302">
        <f>'Ind T6'!Q36</f>
        <v>5.6121174915873464</v>
      </c>
      <c r="C98" s="299" t="str">
        <f>CONCATENATE("(",ROUND((B98/$H100)*100,1),")")</f>
        <v>(71.3)</v>
      </c>
      <c r="D98" s="302">
        <f>'Ind T6'!R36</f>
        <v>0.22358906393082045</v>
      </c>
      <c r="E98" s="299" t="str">
        <f>CONCATENATE("(",ROUND((D98/$H100)*100,1),")")</f>
        <v>(2.8)</v>
      </c>
      <c r="F98" s="302">
        <f>'Ind T6'!S36</f>
        <v>0.21479264152425448</v>
      </c>
      <c r="G98" s="299" t="str">
        <f>CONCATENATE("(",ROUND((F98/$H100)*100,1),")")</f>
        <v>(2.7)</v>
      </c>
      <c r="H98" s="302">
        <f>SUM(B98,D98,F98)</f>
        <v>6.0504991970424209</v>
      </c>
      <c r="I98" s="299" t="str">
        <f>CONCATENATE("(",ROUND((H98/$H100)*100,1),")")</f>
        <v>(76.9)</v>
      </c>
      <c r="K98" s="302">
        <f>B103-B98</f>
        <v>-0.55442222960319576</v>
      </c>
      <c r="L98" s="302">
        <f>D103-D98</f>
        <v>-7.8359557403011038E-3</v>
      </c>
      <c r="M98" s="302">
        <f>F103-F98</f>
        <v>-1.2984942263253446E-2</v>
      </c>
      <c r="N98" s="302">
        <f>SUM(K98:M98)</f>
        <v>-0.57524312760675034</v>
      </c>
    </row>
    <row r="99" spans="1:14" x14ac:dyDescent="0.25">
      <c r="A99" s="282" t="s">
        <v>365</v>
      </c>
      <c r="B99" s="302">
        <f>'Ind T6'!Q35</f>
        <v>1.3562483992611862</v>
      </c>
      <c r="C99" s="299" t="str">
        <f>CONCATENATE("(",ROUND((B99/$H100)*100,1),")")</f>
        <v>(17.2)</v>
      </c>
      <c r="D99" s="302">
        <f>'Ind T6'!R35</f>
        <v>0.34689891248884963</v>
      </c>
      <c r="E99" s="299" t="str">
        <f>CONCATENATE("(",ROUND((D99/$H100)*100,1),")")</f>
        <v>(4.4)</v>
      </c>
      <c r="F99" s="302">
        <f>'Ind T6'!S35</f>
        <v>0.11435349120755341</v>
      </c>
      <c r="G99" s="299" t="str">
        <f>CONCATENATE("(",ROUND((F99/$H100)*100,1),")")</f>
        <v>(1.5)</v>
      </c>
      <c r="H99" s="302">
        <f t="shared" ref="H99" si="86">SUM(B99,D99,F99)</f>
        <v>1.8175008029575894</v>
      </c>
      <c r="I99" s="299" t="str">
        <f>CONCATENATE("(",ROUND((H99/$H100)*100,1),")")</f>
        <v>(23.1)</v>
      </c>
      <c r="K99" s="302">
        <f t="shared" ref="K99:K100" si="87">B104-B99</f>
        <v>-0.15886673642868621</v>
      </c>
      <c r="L99" s="302">
        <f t="shared" ref="L99:L100" si="88">D104-D99</f>
        <v>-3.6894075020378336E-2</v>
      </c>
      <c r="M99" s="302">
        <f t="shared" ref="M99:M100" si="89">F104-F99</f>
        <v>-5.9960609442104712E-3</v>
      </c>
      <c r="N99" s="302">
        <f t="shared" ref="N99:N100" si="90">SUM(K99:M99)</f>
        <v>-0.201756872393275</v>
      </c>
    </row>
    <row r="100" spans="1:14" x14ac:dyDescent="0.25">
      <c r="A100" s="282" t="s">
        <v>363</v>
      </c>
      <c r="B100" s="302">
        <f>SUM(B98:B99)</f>
        <v>6.9683658908485331</v>
      </c>
      <c r="C100" s="299" t="str">
        <f>CONCATENATE("(",ROUND((B100/$H100)*100,1),")")</f>
        <v>(88.6)</v>
      </c>
      <c r="D100" s="302">
        <f>SUM(D98:D99)</f>
        <v>0.57048797641967008</v>
      </c>
      <c r="E100" s="299" t="str">
        <f>CONCATENATE("(",ROUND((D100/$H100)*100,1),")")</f>
        <v>(7.3)</v>
      </c>
      <c r="F100" s="302">
        <f>SUM(F98:F99)</f>
        <v>0.32914613273180787</v>
      </c>
      <c r="G100" s="299" t="str">
        <f>CONCATENATE("(",ROUND((F100/$H100)*100,1),")")</f>
        <v>(4.2)</v>
      </c>
      <c r="H100" s="302">
        <f>SUM(H98:H99)</f>
        <v>7.8680000000000101</v>
      </c>
      <c r="I100" s="299" t="str">
        <f>CONCATENATE("(",ROUND((H100/$H100)*100,1),")")</f>
        <v>(100)</v>
      </c>
      <c r="K100" s="302">
        <f t="shared" si="87"/>
        <v>-0.71328896603188241</v>
      </c>
      <c r="L100" s="302">
        <f t="shared" si="88"/>
        <v>-4.4730030760679385E-2</v>
      </c>
      <c r="M100" s="302">
        <f t="shared" si="89"/>
        <v>-1.8981003207463931E-2</v>
      </c>
      <c r="N100" s="302">
        <f t="shared" si="90"/>
        <v>-0.77700000000002567</v>
      </c>
    </row>
    <row r="101" spans="1:14" x14ac:dyDescent="0.25">
      <c r="B101" s="302"/>
      <c r="C101" s="284"/>
      <c r="D101" s="302"/>
      <c r="E101" s="284"/>
      <c r="F101" s="302"/>
      <c r="G101" s="284"/>
      <c r="H101" s="302"/>
      <c r="I101" s="284"/>
    </row>
    <row r="102" spans="1:14" ht="13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5">
      <c r="A103" s="282" t="s">
        <v>364</v>
      </c>
      <c r="B103" s="302">
        <f>'Ind T6'!V36</f>
        <v>5.0576952619841506</v>
      </c>
      <c r="C103" s="299" t="str">
        <f>CONCATENATE("(",ROUND((B103/$H105)*100,1),")")</f>
        <v>(71.3)</v>
      </c>
      <c r="D103" s="302">
        <f>'Ind T6'!W36</f>
        <v>0.21575310819051935</v>
      </c>
      <c r="E103" s="299" t="str">
        <f>CONCATENATE("(",ROUND((D103/$H105)*100,1),")")</f>
        <v>(3)</v>
      </c>
      <c r="F103" s="302">
        <f>'Ind T6'!X36</f>
        <v>0.20180769926100103</v>
      </c>
      <c r="G103" s="299" t="str">
        <f>CONCATENATE("(",ROUND((F103/$H105)*100,1),")")</f>
        <v>(2.8)</v>
      </c>
      <c r="H103" s="302">
        <f>SUM(B103,D103,F103)</f>
        <v>5.4752560694356704</v>
      </c>
      <c r="I103" s="299" t="str">
        <f>CONCATENATE("(",ROUND((H103/$H105)*100,1),")")</f>
        <v>(77.2)</v>
      </c>
      <c r="K103" s="302">
        <f>B103-B93</f>
        <v>-0.23393984554658598</v>
      </c>
      <c r="L103" s="302">
        <f>D103-D93</f>
        <v>1.3776085585309378E-2</v>
      </c>
      <c r="M103" s="302">
        <f>F103-F93</f>
        <v>2.9254858748199442E-3</v>
      </c>
      <c r="N103" s="302">
        <f>SUM(K103:M103)</f>
        <v>-0.21723827408645666</v>
      </c>
    </row>
    <row r="104" spans="1:14" x14ac:dyDescent="0.25">
      <c r="A104" s="282" t="s">
        <v>365</v>
      </c>
      <c r="B104" s="302">
        <f>'Ind T6'!V35</f>
        <v>1.1973816628325</v>
      </c>
      <c r="C104" s="299" t="str">
        <f>CONCATENATE("(",ROUND((B104/$H105)*100,1),")")</f>
        <v>(16.9)</v>
      </c>
      <c r="D104" s="302">
        <f>'Ind T6'!W35</f>
        <v>0.31000483746847129</v>
      </c>
      <c r="E104" s="299" t="str">
        <f>CONCATENATE("(",ROUND((D104/$H105)*100,1),")")</f>
        <v>(4.4)</v>
      </c>
      <c r="F104" s="302">
        <f>'Ind T6'!X35</f>
        <v>0.10835743026334294</v>
      </c>
      <c r="G104" s="299" t="str">
        <f>CONCATENATE("(",ROUND((F104/$H105)*100,1),")")</f>
        <v>(1.5)</v>
      </c>
      <c r="H104" s="302">
        <f t="shared" ref="H104" si="91">SUM(B104,D104,F104)</f>
        <v>1.6157439305643142</v>
      </c>
      <c r="I104" s="299" t="str">
        <f>CONCATENATE("(",ROUND((H104/$H105)*100,1),")")</f>
        <v>(22.8)</v>
      </c>
      <c r="K104" s="302">
        <f t="shared" ref="K104:K105" si="92">B104-B94</f>
        <v>-8.9081663395313537E-2</v>
      </c>
      <c r="L104" s="302">
        <f t="shared" ref="L104:L105" si="93">D104-D94</f>
        <v>-1.9510901828498739E-2</v>
      </c>
      <c r="M104" s="302">
        <f t="shared" ref="M104:M105" si="94">F104-F94</f>
        <v>1.8308393102339365E-3</v>
      </c>
      <c r="N104" s="302">
        <f t="shared" ref="N104:N105" si="95">SUM(K104:M104)</f>
        <v>-0.10676172591357834</v>
      </c>
    </row>
    <row r="105" spans="1:14" x14ac:dyDescent="0.25">
      <c r="A105" s="282" t="s">
        <v>363</v>
      </c>
      <c r="B105" s="302">
        <f>SUM(B103:B104)</f>
        <v>6.2550769248166507</v>
      </c>
      <c r="C105" s="299" t="str">
        <f>CONCATENATE("(",ROUND((B105/$H105)*100,1),")")</f>
        <v>(88.2)</v>
      </c>
      <c r="D105" s="302">
        <f>SUM(D103:D104)</f>
        <v>0.5257579456589907</v>
      </c>
      <c r="E105" s="299" t="str">
        <f>CONCATENATE("(",ROUND((D105/$H105)*100,1),")")</f>
        <v>(7.4)</v>
      </c>
      <c r="F105" s="302">
        <f>SUM(F103:F104)</f>
        <v>0.31016512952434394</v>
      </c>
      <c r="G105" s="299" t="str">
        <f>CONCATENATE("(",ROUND((F105/$H105)*100,1),")")</f>
        <v>(4.4)</v>
      </c>
      <c r="H105" s="302">
        <f>SUM(H103:H104)</f>
        <v>7.0909999999999851</v>
      </c>
      <c r="I105" s="299" t="str">
        <f>CONCATENATE("(",ROUND((H105/$H105)*100,1),")")</f>
        <v>(100)</v>
      </c>
      <c r="K105" s="302">
        <f t="shared" si="92"/>
        <v>-0.32302150894189907</v>
      </c>
      <c r="L105" s="302">
        <f t="shared" si="93"/>
        <v>-5.734816243189278E-3</v>
      </c>
      <c r="M105" s="302">
        <f t="shared" si="94"/>
        <v>4.7563251850538668E-3</v>
      </c>
      <c r="N105" s="302">
        <f t="shared" si="95"/>
        <v>-0.32400000000003448</v>
      </c>
    </row>
    <row r="106" spans="1:14" x14ac:dyDescent="0.25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5">
      <c r="A107" s="295"/>
    </row>
    <row r="109" spans="1:14" ht="13" x14ac:dyDescent="0.3">
      <c r="C109" s="182"/>
      <c r="E109" s="182"/>
      <c r="G109" s="182"/>
      <c r="I109" s="182"/>
    </row>
    <row r="110" spans="1:14" ht="13" x14ac:dyDescent="0.3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ht="13" x14ac:dyDescent="0.3">
      <c r="N111" s="287" t="s">
        <v>370</v>
      </c>
    </row>
    <row r="112" spans="1:14" ht="13" x14ac:dyDescent="0.3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ht="13" x14ac:dyDescent="0.3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5">
      <c r="A114" s="282" t="s">
        <v>364</v>
      </c>
      <c r="B114" s="302">
        <f>'Ind T6'!L45</f>
        <v>35.294564240293795</v>
      </c>
      <c r="C114" s="299" t="str">
        <f>CONCATENATE("(",ROUND((B114/$H116)*100,1),")")</f>
        <v>(70.4)</v>
      </c>
      <c r="D114" s="302">
        <f>'Ind T6'!M45</f>
        <v>1.9821287341363611</v>
      </c>
      <c r="E114" s="299" t="str">
        <f>CONCATENATE("(",ROUND((D114/$H116)*100,1),")")</f>
        <v>(4)</v>
      </c>
      <c r="F114" s="302">
        <f>'Ind T6'!N45</f>
        <v>2.0756127435483269</v>
      </c>
      <c r="G114" s="299" t="str">
        <f>CONCATENATE("(",ROUND((F114/$H116)*100,1),")")</f>
        <v>(4.1)</v>
      </c>
      <c r="H114" s="302">
        <f>SUM(B114,D114,F114)</f>
        <v>39.352305717978481</v>
      </c>
      <c r="I114" s="299" t="str">
        <f>CONCATENATE("(",ROUND((H114/$H116)*100,1),")")</f>
        <v>(78.4)</v>
      </c>
      <c r="K114" s="302">
        <f>B119-B114</f>
        <v>-1.2438782224820173</v>
      </c>
      <c r="L114" s="302">
        <f>D119-D114</f>
        <v>-0.1322617402855355</v>
      </c>
      <c r="M114" s="302">
        <f>F119-F114</f>
        <v>-0.12142581357970617</v>
      </c>
      <c r="N114" s="302">
        <f>SUM(K114:M114)</f>
        <v>-1.497565776347259</v>
      </c>
    </row>
    <row r="115" spans="1:14" x14ac:dyDescent="0.25">
      <c r="A115" s="282" t="s">
        <v>365</v>
      </c>
      <c r="B115" s="302">
        <f>'Ind T6'!L44</f>
        <v>7.7683203810630541</v>
      </c>
      <c r="C115" s="299" t="str">
        <f>CONCATENATE("(",ROUND((B115/$H116)*100,1),")")</f>
        <v>(15.5)</v>
      </c>
      <c r="D115" s="302">
        <f>'Ind T6'!M44</f>
        <v>2.2679354550565747</v>
      </c>
      <c r="E115" s="299" t="str">
        <f>CONCATENATE("(",ROUND((D115/$H116)*100,1),")")</f>
        <v>(4.5)</v>
      </c>
      <c r="F115" s="302">
        <f>'Ind T6'!N44</f>
        <v>0.77843844590192302</v>
      </c>
      <c r="G115" s="299" t="str">
        <f>CONCATENATE("(",ROUND((F115/$H116)*100,1),")")</f>
        <v>(1.6)</v>
      </c>
      <c r="H115" s="302">
        <f t="shared" ref="H115" si="96">SUM(B115,D115,F115)</f>
        <v>10.814694282021552</v>
      </c>
      <c r="I115" s="299" t="str">
        <f>CONCATENATE("(",ROUND((H115/$H116)*100,1),")")</f>
        <v>(21.6)</v>
      </c>
      <c r="K115" s="302">
        <f t="shared" ref="K115:K116" si="97">B120-B115</f>
        <v>-0.19732846828095241</v>
      </c>
      <c r="L115" s="302">
        <f t="shared" ref="L115:L116" si="98">D120-D115</f>
        <v>-0.11608969867730368</v>
      </c>
      <c r="M115" s="302">
        <f t="shared" ref="M115:M116" si="99">F120-F115</f>
        <v>-7.3016056694601317E-2</v>
      </c>
      <c r="N115" s="302">
        <f t="shared" ref="N115:N116" si="100">SUM(K115:M115)</f>
        <v>-0.3864342236528574</v>
      </c>
    </row>
    <row r="116" spans="1:14" x14ac:dyDescent="0.25">
      <c r="A116" s="282" t="s">
        <v>363</v>
      </c>
      <c r="B116" s="302">
        <f>SUM(B114:B115)</f>
        <v>43.062884621356851</v>
      </c>
      <c r="C116" s="299" t="str">
        <f>CONCATENATE("(",ROUND((B116/$H116)*100,1),")")</f>
        <v>(85.8)</v>
      </c>
      <c r="D116" s="302">
        <f>SUM(D114:D115)</f>
        <v>4.250064189192936</v>
      </c>
      <c r="E116" s="299" t="str">
        <f>CONCATENATE("(",ROUND((D116/$H116)*100,1),")")</f>
        <v>(8.5)</v>
      </c>
      <c r="F116" s="302">
        <f>SUM(F114:F115)</f>
        <v>2.8540511894502498</v>
      </c>
      <c r="G116" s="299" t="str">
        <f>CONCATENATE("(",ROUND((F116/$H116)*100,1),")")</f>
        <v>(5.7)</v>
      </c>
      <c r="H116" s="302">
        <f>SUM(H114:H115)</f>
        <v>50.16700000000003</v>
      </c>
      <c r="I116" s="299" t="str">
        <f>CONCATENATE("(",ROUND((H116/$H116)*100,1),")")</f>
        <v>(100)</v>
      </c>
      <c r="K116" s="302">
        <f t="shared" si="97"/>
        <v>-1.441206690762975</v>
      </c>
      <c r="L116" s="302">
        <f t="shared" si="98"/>
        <v>-0.24835143896283984</v>
      </c>
      <c r="M116" s="302">
        <f t="shared" si="99"/>
        <v>-0.19444187027430759</v>
      </c>
      <c r="N116" s="302">
        <f t="shared" si="100"/>
        <v>-1.8840000000001225</v>
      </c>
    </row>
    <row r="117" spans="1:14" x14ac:dyDescent="0.25">
      <c r="B117" s="302"/>
      <c r="C117" s="284"/>
      <c r="D117" s="302"/>
      <c r="E117" s="284"/>
      <c r="F117" s="302"/>
      <c r="G117" s="284"/>
      <c r="H117" s="302"/>
      <c r="I117" s="284"/>
    </row>
    <row r="118" spans="1:14" ht="13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5">
      <c r="A119" s="282" t="s">
        <v>364</v>
      </c>
      <c r="B119" s="302">
        <f>'Ind T6'!Q45</f>
        <v>34.050686017811778</v>
      </c>
      <c r="C119" s="299" t="str">
        <f>CONCATENATE("(",ROUND((B119/$H121)*100,1),")")</f>
        <v>(70.5)</v>
      </c>
      <c r="D119" s="302">
        <f>'Ind T6'!R45</f>
        <v>1.8498669938508256</v>
      </c>
      <c r="E119" s="299" t="str">
        <f>CONCATENATE("(",ROUND((D119/$H121)*100,1),")")</f>
        <v>(3.8)</v>
      </c>
      <c r="F119" s="302">
        <f>'Ind T6'!S45</f>
        <v>1.9541869299686208</v>
      </c>
      <c r="G119" s="299" t="str">
        <f>CONCATENATE("(",ROUND((F119/$H121)*100,1),")")</f>
        <v>(4)</v>
      </c>
      <c r="H119" s="302">
        <f>SUM(B119,D119,F119)</f>
        <v>37.854739941631223</v>
      </c>
      <c r="I119" s="299" t="str">
        <f>CONCATENATE("(",ROUND((H119/$H121)*100,1),")")</f>
        <v>(78.4)</v>
      </c>
      <c r="K119" s="302">
        <f>B124-B119</f>
        <v>-3.4746489975312471</v>
      </c>
      <c r="L119" s="302">
        <f>D124-D119</f>
        <v>-0.1675891108639942</v>
      </c>
      <c r="M119" s="302">
        <f>F124-F119</f>
        <v>-0.11187549027202337</v>
      </c>
      <c r="N119" s="302">
        <f>SUM(K119:M119)</f>
        <v>-3.7541135986672645</v>
      </c>
    </row>
    <row r="120" spans="1:14" x14ac:dyDescent="0.25">
      <c r="A120" s="282" t="s">
        <v>365</v>
      </c>
      <c r="B120" s="302">
        <f>'Ind T6'!Q44</f>
        <v>7.5709919127821017</v>
      </c>
      <c r="C120" s="299" t="str">
        <f>CONCATENATE("(",ROUND((B120/$H121)*100,1),")")</f>
        <v>(15.7)</v>
      </c>
      <c r="D120" s="302">
        <f>'Ind T6'!R44</f>
        <v>2.151845756379271</v>
      </c>
      <c r="E120" s="299" t="str">
        <f>CONCATENATE("(",ROUND((D120/$H121)*100,1),")")</f>
        <v>(4.5)</v>
      </c>
      <c r="F120" s="302">
        <f>'Ind T6'!S44</f>
        <v>0.7054223892073217</v>
      </c>
      <c r="G120" s="299" t="str">
        <f>CONCATENATE("(",ROUND((F120/$H121)*100,1),")")</f>
        <v>(1.5)</v>
      </c>
      <c r="H120" s="302">
        <f t="shared" ref="H120" si="101">SUM(B120,D120,F120)</f>
        <v>10.428260058368693</v>
      </c>
      <c r="I120" s="299" t="str">
        <f>CONCATENATE("(",ROUND((H120/$H121)*100,1),")")</f>
        <v>(21.6)</v>
      </c>
      <c r="K120" s="302">
        <f t="shared" ref="K120:K121" si="102">B125-B120</f>
        <v>-0.6026858401396149</v>
      </c>
      <c r="L120" s="302">
        <f t="shared" ref="L120:L121" si="103">D125-D120</f>
        <v>-0.22267118297112432</v>
      </c>
      <c r="M120" s="302">
        <f t="shared" ref="M120:M121" si="104">F125-F120</f>
        <v>-9.3529378221928305E-2</v>
      </c>
      <c r="N120" s="302">
        <f t="shared" ref="N120:N121" si="105">SUM(K120:M120)</f>
        <v>-0.91888640133266752</v>
      </c>
    </row>
    <row r="121" spans="1:14" x14ac:dyDescent="0.25">
      <c r="A121" s="282" t="s">
        <v>363</v>
      </c>
      <c r="B121" s="302">
        <f>SUM(B119:B120)</f>
        <v>41.621677930593876</v>
      </c>
      <c r="C121" s="299" t="str">
        <f>CONCATENATE("(",ROUND((B121/$H121)*100,1),")")</f>
        <v>(86.2)</v>
      </c>
      <c r="D121" s="302">
        <f>SUM(D119:D120)</f>
        <v>4.0017127502300962</v>
      </c>
      <c r="E121" s="299" t="str">
        <f>CONCATENATE("(",ROUND((D121/$H121)*100,1),")")</f>
        <v>(8.3)</v>
      </c>
      <c r="F121" s="302">
        <f>SUM(F119:F120)</f>
        <v>2.6596093191759422</v>
      </c>
      <c r="G121" s="299" t="str">
        <f>CONCATENATE("(",ROUND((F121/$H121)*100,1),")")</f>
        <v>(5.5)</v>
      </c>
      <c r="H121" s="302">
        <f>SUM(H119:H120)</f>
        <v>48.282999999999916</v>
      </c>
      <c r="I121" s="299" t="str">
        <f>CONCATENATE("(",ROUND((H121/$H121)*100,1),")")</f>
        <v>(100)</v>
      </c>
      <c r="K121" s="302">
        <f t="shared" si="102"/>
        <v>-4.0773348376708611</v>
      </c>
      <c r="L121" s="302">
        <f t="shared" si="103"/>
        <v>-0.39026029383511807</v>
      </c>
      <c r="M121" s="302">
        <f t="shared" si="104"/>
        <v>-0.20540486849395156</v>
      </c>
      <c r="N121" s="302">
        <f t="shared" si="105"/>
        <v>-4.6729999999999308</v>
      </c>
    </row>
    <row r="122" spans="1:14" x14ac:dyDescent="0.25">
      <c r="B122" s="302"/>
      <c r="C122" s="284"/>
      <c r="D122" s="302"/>
      <c r="E122" s="284"/>
      <c r="F122" s="302"/>
      <c r="G122" s="284"/>
      <c r="H122" s="302"/>
      <c r="I122" s="284"/>
    </row>
    <row r="123" spans="1:14" ht="13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5">
      <c r="A124" s="282" t="s">
        <v>364</v>
      </c>
      <c r="B124" s="302">
        <f>'Ind T6'!V45</f>
        <v>30.57603702028053</v>
      </c>
      <c r="C124" s="299" t="str">
        <f>CONCATENATE("(",ROUND((B124/$H126)*100,1),")")</f>
        <v>(70.1)</v>
      </c>
      <c r="D124" s="302">
        <f>'Ind T6'!W45</f>
        <v>1.6822778829868315</v>
      </c>
      <c r="E124" s="299" t="str">
        <f>CONCATENATE("(",ROUND((D124/$H126)*100,1),")")</f>
        <v>(3.9)</v>
      </c>
      <c r="F124" s="302">
        <f>'Ind T6'!X45</f>
        <v>1.8423114396965974</v>
      </c>
      <c r="G124" s="299" t="str">
        <f>CONCATENATE("(",ROUND((F124/$H126)*100,1),")")</f>
        <v>(4.2)</v>
      </c>
      <c r="H124" s="302">
        <f>SUM(B124,D124,F124)</f>
        <v>34.100626342963956</v>
      </c>
      <c r="I124" s="299" t="str">
        <f>CONCATENATE("(",ROUND((H124/$H126)*100,1),")")</f>
        <v>(78.2)</v>
      </c>
      <c r="K124" s="302">
        <f>B124-B114</f>
        <v>-4.7185272200132644</v>
      </c>
      <c r="L124" s="302">
        <f>D124-D114</f>
        <v>-0.2998508511495297</v>
      </c>
      <c r="M124" s="302">
        <f>F124-F114</f>
        <v>-0.23330130385172954</v>
      </c>
      <c r="N124" s="302">
        <f>SUM(K124:M124)</f>
        <v>-5.2516793750145236</v>
      </c>
    </row>
    <row r="125" spans="1:14" x14ac:dyDescent="0.25">
      <c r="A125" s="282" t="s">
        <v>365</v>
      </c>
      <c r="B125" s="302">
        <f>'Ind T6'!V44</f>
        <v>6.9683060726424868</v>
      </c>
      <c r="C125" s="299" t="str">
        <f>CONCATENATE("(",ROUND((B125/$H126)*100,1),")")</f>
        <v>(16)</v>
      </c>
      <c r="D125" s="302">
        <f>'Ind T6'!W44</f>
        <v>1.9291745734081467</v>
      </c>
      <c r="E125" s="299" t="str">
        <f>CONCATENATE("(",ROUND((D125/$H126)*100,1),")")</f>
        <v>(4.4)</v>
      </c>
      <c r="F125" s="302">
        <f>'Ind T6'!X44</f>
        <v>0.61189301098539339</v>
      </c>
      <c r="G125" s="299" t="str">
        <f>CONCATENATE("(",ROUND((F125/$H126)*100,1),")")</f>
        <v>(1.4)</v>
      </c>
      <c r="H125" s="302">
        <f t="shared" ref="H125" si="106">SUM(B125,D125,F125)</f>
        <v>9.5093736570360274</v>
      </c>
      <c r="I125" s="299" t="str">
        <f>CONCATENATE("(",ROUND((H125/$H126)*100,1),")")</f>
        <v>(21.8)</v>
      </c>
      <c r="K125" s="302">
        <f t="shared" ref="K125:K126" si="107">B125-B115</f>
        <v>-0.80001430842056731</v>
      </c>
      <c r="L125" s="302">
        <f t="shared" ref="L125:L126" si="108">D125-D115</f>
        <v>-0.33876088164842799</v>
      </c>
      <c r="M125" s="302">
        <f t="shared" ref="M125:M126" si="109">F125-F115</f>
        <v>-0.16654543491652962</v>
      </c>
      <c r="N125" s="302">
        <f t="shared" ref="N125:N126" si="110">SUM(K125:M125)</f>
        <v>-1.3053206249855249</v>
      </c>
    </row>
    <row r="126" spans="1:14" x14ac:dyDescent="0.25">
      <c r="A126" s="282" t="s">
        <v>363</v>
      </c>
      <c r="B126" s="302">
        <f>SUM(B124:B125)</f>
        <v>37.544343092923015</v>
      </c>
      <c r="C126" s="299" t="str">
        <f>CONCATENATE("(",ROUND((B126/$H126)*100,1),")")</f>
        <v>(86.1)</v>
      </c>
      <c r="D126" s="302">
        <f>SUM(D124:D125)</f>
        <v>3.6114524563949781</v>
      </c>
      <c r="E126" s="299" t="str">
        <f>CONCATENATE("(",ROUND((D126/$H126)*100,1),")")</f>
        <v>(8.3)</v>
      </c>
      <c r="F126" s="302">
        <f>SUM(F124:F125)</f>
        <v>2.4542044506819907</v>
      </c>
      <c r="G126" s="299" t="str">
        <f>CONCATENATE("(",ROUND((F126/$H126)*100,1),")")</f>
        <v>(5.6)</v>
      </c>
      <c r="H126" s="302">
        <f>SUM(H124:H125)</f>
        <v>43.609999999999985</v>
      </c>
      <c r="I126" s="299" t="str">
        <f>CONCATENATE("(",ROUND((H126/$H126)*100,1),")")</f>
        <v>(100)</v>
      </c>
      <c r="K126" s="302">
        <f t="shared" si="107"/>
        <v>-5.5185415284338362</v>
      </c>
      <c r="L126" s="302">
        <f t="shared" si="108"/>
        <v>-0.63861173279795791</v>
      </c>
      <c r="M126" s="302">
        <f t="shared" si="109"/>
        <v>-0.39984673876825916</v>
      </c>
      <c r="N126" s="302">
        <f t="shared" si="110"/>
        <v>-6.5570000000000537</v>
      </c>
    </row>
    <row r="127" spans="1:14" x14ac:dyDescent="0.25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ht="13" x14ac:dyDescent="0.3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ht="13" x14ac:dyDescent="0.3">
      <c r="N132" s="287" t="s">
        <v>370</v>
      </c>
    </row>
    <row r="133" spans="1:14" ht="13" x14ac:dyDescent="0.3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ht="13" x14ac:dyDescent="0.3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5">
      <c r="A135" s="282" t="s">
        <v>364</v>
      </c>
      <c r="B135" s="302">
        <f>'Ind T6'!L54</f>
        <v>1.3551694150390701</v>
      </c>
      <c r="C135" s="299" t="str">
        <f>CONCATENATE("(",ROUND((B135/$H137)*100,1),")")</f>
        <v>(68.8)</v>
      </c>
      <c r="D135" s="302">
        <f>'Ind T6'!M54</f>
        <v>2.3093646936225728E-2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1.3782630619752958</v>
      </c>
      <c r="I135" s="299" t="str">
        <f>CONCATENATE("(",ROUND((H135/$H137)*100,1),")")</f>
        <v>(69.9)</v>
      </c>
      <c r="K135" s="302">
        <f>B140-B135</f>
        <v>-8.4742387520125195E-2</v>
      </c>
      <c r="L135" s="302">
        <f>D140-D135</f>
        <v>-1.0124554007376295E-3</v>
      </c>
      <c r="M135" s="302">
        <f>F140-F135</f>
        <v>0</v>
      </c>
      <c r="N135" s="302">
        <f>SUM(K135:M135)</f>
        <v>-8.5754842920862828E-2</v>
      </c>
    </row>
    <row r="136" spans="1:14" x14ac:dyDescent="0.25">
      <c r="A136" s="282" t="s">
        <v>365</v>
      </c>
      <c r="B136" s="302">
        <f>'Ind T6'!L53</f>
        <v>0.48428232944971272</v>
      </c>
      <c r="C136" s="299" t="str">
        <f>CONCATENATE("(",ROUND((B136/$H137)*100,1),")")</f>
        <v>(24.6)</v>
      </c>
      <c r="D136" s="302">
        <f>'Ind T6'!M53</f>
        <v>0.1084546085749904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0.59273693802470317</v>
      </c>
      <c r="I136" s="299" t="str">
        <f>CONCATENATE("(",ROUND((H136/$H137)*100,1),")")</f>
        <v>(30.1)</v>
      </c>
      <c r="K136" s="302">
        <f t="shared" ref="K136:K137" si="112">B141-B136</f>
        <v>-2.3105687909629136E-2</v>
      </c>
      <c r="L136" s="302">
        <f t="shared" ref="L136:L137" si="113">D141-D136</f>
        <v>-6.1394691695055847E-3</v>
      </c>
      <c r="M136" s="302">
        <f t="shared" ref="M136:M137" si="114">F141-F136</f>
        <v>0</v>
      </c>
      <c r="N136" s="302">
        <f t="shared" ref="N136:N137" si="115">SUM(K136:M136)</f>
        <v>-2.924515707913472E-2</v>
      </c>
    </row>
    <row r="137" spans="1:14" x14ac:dyDescent="0.25">
      <c r="A137" s="282" t="s">
        <v>363</v>
      </c>
      <c r="B137" s="302">
        <f>SUM(B135:B136)</f>
        <v>1.8394517444887828</v>
      </c>
      <c r="C137" s="299" t="str">
        <f>CONCATENATE("(",ROUND((B137/$H137)*100,1),")")</f>
        <v>(93.3)</v>
      </c>
      <c r="D137" s="302">
        <f>SUM(D135:D136)</f>
        <v>0.13154825551121613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1.970999999999999</v>
      </c>
      <c r="I137" s="299" t="str">
        <f>CONCATENATE("(",ROUND((H137/$H137)*100,1),")")</f>
        <v>(100)</v>
      </c>
      <c r="K137" s="302">
        <f t="shared" si="112"/>
        <v>-0.10784807542975439</v>
      </c>
      <c r="L137" s="302">
        <f t="shared" si="113"/>
        <v>-7.1519245702432177E-3</v>
      </c>
      <c r="M137" s="302">
        <f t="shared" si="114"/>
        <v>0</v>
      </c>
      <c r="N137" s="302">
        <f t="shared" si="115"/>
        <v>-0.1149999999999976</v>
      </c>
    </row>
    <row r="138" spans="1:14" x14ac:dyDescent="0.25">
      <c r="B138" s="302"/>
      <c r="C138" s="284"/>
      <c r="D138" s="302"/>
      <c r="E138" s="284"/>
      <c r="F138" s="302"/>
      <c r="G138" s="284"/>
      <c r="H138" s="302"/>
      <c r="I138" s="284"/>
    </row>
    <row r="139" spans="1:14" ht="13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5">
      <c r="A140" s="282" t="s">
        <v>364</v>
      </c>
      <c r="B140" s="302">
        <f>'Ind T6'!Q54</f>
        <v>1.2704270275189449</v>
      </c>
      <c r="C140" s="299" t="str">
        <f>CONCATENATE("(",ROUND((B140/$H142)*100,1),")")</f>
        <v>(68.4)</v>
      </c>
      <c r="D140" s="302">
        <f>'Ind T6'!R54</f>
        <v>2.2081191535488098E-2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1.292508219054433</v>
      </c>
      <c r="I140" s="299" t="str">
        <f>CONCATENATE("(",ROUND((H140/$H142)*100,1),")")</f>
        <v>(69.6)</v>
      </c>
      <c r="K140" s="302">
        <f>B145-B140</f>
        <v>-3.74726706641626E-2</v>
      </c>
      <c r="L140" s="302">
        <f>D145-D140</f>
        <v>2.1424414917611476E-4</v>
      </c>
      <c r="M140" s="302">
        <f>F145-F140</f>
        <v>0</v>
      </c>
      <c r="N140" s="302">
        <f>SUM(K140:M140)</f>
        <v>-3.7258426514986481E-2</v>
      </c>
    </row>
    <row r="141" spans="1:14" x14ac:dyDescent="0.25">
      <c r="A141" s="282" t="s">
        <v>365</v>
      </c>
      <c r="B141" s="302">
        <f>'Ind T6'!Q53</f>
        <v>0.46117664154008359</v>
      </c>
      <c r="C141" s="299" t="str">
        <f>CONCATENATE("(",ROUND((B141/$H142)*100,1),")")</f>
        <v>(24.8)</v>
      </c>
      <c r="D141" s="302">
        <f>'Ind T6'!R53</f>
        <v>0.10231513940548481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0.5634917809455684</v>
      </c>
      <c r="I141" s="299" t="str">
        <f>CONCATENATE("(",ROUND((H141/$H142)*100,1),")")</f>
        <v>(30.4)</v>
      </c>
      <c r="K141" s="302">
        <f t="shared" ref="K141:K142" si="117">B146-B141</f>
        <v>9.9265305887502597E-4</v>
      </c>
      <c r="L141" s="302">
        <f t="shared" ref="L141:L142" si="118">D146-D141</f>
        <v>-1.7342265438896887E-3</v>
      </c>
      <c r="M141" s="302">
        <f t="shared" ref="M141:M142" si="119">F146-F141</f>
        <v>0</v>
      </c>
      <c r="N141" s="302">
        <f t="shared" ref="N141:N142" si="120">SUM(K141:M141)</f>
        <v>-7.4157348501466269E-4</v>
      </c>
    </row>
    <row r="142" spans="1:14" x14ac:dyDescent="0.25">
      <c r="A142" s="282" t="s">
        <v>363</v>
      </c>
      <c r="B142" s="302">
        <f>SUM(B140:B141)</f>
        <v>1.7316036690590284</v>
      </c>
      <c r="C142" s="299" t="str">
        <f>CONCATENATE("(",ROUND((B142/$H142)*100,1),")")</f>
        <v>(93.3)</v>
      </c>
      <c r="D142" s="302">
        <f>SUM(D140:D141)</f>
        <v>0.12439633094097291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1.8560000000000014</v>
      </c>
      <c r="I142" s="299" t="str">
        <f>CONCATENATE("(",ROUND((H142/$H142)*100,1),")")</f>
        <v>(100)</v>
      </c>
      <c r="K142" s="302">
        <f t="shared" si="117"/>
        <v>-3.6480017605287518E-2</v>
      </c>
      <c r="L142" s="302">
        <f t="shared" si="118"/>
        <v>-1.5199823947135704E-3</v>
      </c>
      <c r="M142" s="302">
        <f t="shared" si="119"/>
        <v>0</v>
      </c>
      <c r="N142" s="302">
        <f t="shared" si="120"/>
        <v>-3.8000000000001088E-2</v>
      </c>
    </row>
    <row r="143" spans="1:14" x14ac:dyDescent="0.25">
      <c r="B143" s="302"/>
      <c r="C143" s="284"/>
      <c r="D143" s="302"/>
      <c r="E143" s="284"/>
      <c r="F143" s="302"/>
      <c r="G143" s="284"/>
      <c r="H143" s="302"/>
      <c r="I143" s="284"/>
    </row>
    <row r="144" spans="1:14" ht="13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5">
      <c r="A145" s="282" t="s">
        <v>364</v>
      </c>
      <c r="B145" s="302">
        <f>'Ind T6'!V54</f>
        <v>1.2329543568547823</v>
      </c>
      <c r="C145" s="299" t="str">
        <f>CONCATENATE("(",ROUND((B145/$H147)*100,1),")")</f>
        <v>(67.8)</v>
      </c>
      <c r="D145" s="302">
        <f>'Ind T6'!W54</f>
        <v>2.2295435684664213E-2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1.2552497925394466</v>
      </c>
      <c r="I145" s="299" t="str">
        <f>CONCATENATE("(",ROUND((H145/$H147)*100,1),")")</f>
        <v>(69)</v>
      </c>
      <c r="K145" s="302">
        <f>B145-B135</f>
        <v>-0.12221505818428779</v>
      </c>
      <c r="L145" s="302">
        <f>D145-D135</f>
        <v>-7.9821125156151473E-4</v>
      </c>
      <c r="M145" s="302">
        <f>F145-F135</f>
        <v>0</v>
      </c>
      <c r="N145" s="302">
        <f>SUM(K145:M145)</f>
        <v>-0.12301326943584931</v>
      </c>
    </row>
    <row r="146" spans="1:14" x14ac:dyDescent="0.25">
      <c r="A146" s="282" t="s">
        <v>365</v>
      </c>
      <c r="B146" s="302">
        <f>'Ind T6'!V53</f>
        <v>0.46216929459895861</v>
      </c>
      <c r="C146" s="299" t="str">
        <f>CONCATENATE("(",ROUND((B146/$H147)*100,1),")")</f>
        <v>(25.4)</v>
      </c>
      <c r="D146" s="302">
        <f>'Ind T6'!W53</f>
        <v>0.10058091286159512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0.56275020746055371</v>
      </c>
      <c r="I146" s="299" t="str">
        <f>CONCATENATE("(",ROUND((H146/$H147)*100,1),")")</f>
        <v>(31)</v>
      </c>
      <c r="K146" s="302">
        <f t="shared" ref="K146:K147" si="122">B146-B136</f>
        <v>-2.211303485075411E-2</v>
      </c>
      <c r="L146" s="302">
        <f t="shared" ref="L146:L147" si="123">D146-D136</f>
        <v>-7.8736957133952734E-3</v>
      </c>
      <c r="M146" s="302">
        <f t="shared" ref="M146:M147" si="124">F146-F136</f>
        <v>0</v>
      </c>
      <c r="N146" s="302">
        <f t="shared" ref="N146:N147" si="125">SUM(K146:M146)</f>
        <v>-2.9986730564149383E-2</v>
      </c>
    </row>
    <row r="147" spans="1:14" x14ac:dyDescent="0.25">
      <c r="A147" s="282" t="s">
        <v>363</v>
      </c>
      <c r="B147" s="302">
        <f>SUM(B145:B146)</f>
        <v>1.6951236514537409</v>
      </c>
      <c r="C147" s="299" t="str">
        <f>CONCATENATE("(",ROUND((B147/$H147)*100,1),")")</f>
        <v>(93.2)</v>
      </c>
      <c r="D147" s="302">
        <f>SUM(D145:D146)</f>
        <v>0.12287634854625934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1.8180000000000003</v>
      </c>
      <c r="I147" s="299" t="str">
        <f>CONCATENATE("(",ROUND((H147/$H147)*100,1),")")</f>
        <v>(100)</v>
      </c>
      <c r="K147" s="302">
        <f t="shared" si="122"/>
        <v>-0.1443280930350419</v>
      </c>
      <c r="L147" s="302">
        <f t="shared" si="123"/>
        <v>-8.6719069649567881E-3</v>
      </c>
      <c r="M147" s="302">
        <f t="shared" si="124"/>
        <v>0</v>
      </c>
      <c r="N147" s="302">
        <f t="shared" si="125"/>
        <v>-0.15299999999999869</v>
      </c>
    </row>
    <row r="148" spans="1:14" x14ac:dyDescent="0.25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ht="13" x14ac:dyDescent="0.3">
      <c r="C151" s="182"/>
      <c r="E151" s="182"/>
      <c r="G151" s="182"/>
      <c r="I151" s="182"/>
    </row>
    <row r="152" spans="1:14" ht="13" x14ac:dyDescent="0.3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ht="13" x14ac:dyDescent="0.3">
      <c r="N153" s="287" t="s">
        <v>370</v>
      </c>
    </row>
    <row r="154" spans="1:14" ht="13" x14ac:dyDescent="0.3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ht="13" x14ac:dyDescent="0.3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5">
      <c r="A156" s="282" t="s">
        <v>364</v>
      </c>
      <c r="B156" s="302">
        <f>'Ind T6'!L63</f>
        <v>2.1070836728256048</v>
      </c>
      <c r="C156" s="299" t="str">
        <f>CONCATENATE("(",ROUND((B156/$H158)*100,1),")")</f>
        <v>(55.4)</v>
      </c>
      <c r="D156" s="302">
        <f>'Ind T6'!M63</f>
        <v>0.6832925937503801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2.790376266575985</v>
      </c>
      <c r="I156" s="299" t="str">
        <f>CONCATENATE("(",ROUND((H156/$H158)*100,1),")")</f>
        <v>(73.4)</v>
      </c>
      <c r="K156" s="302">
        <f>B161-B156</f>
        <v>3.5773324877050428E-2</v>
      </c>
      <c r="L156" s="302">
        <f>D161-D156</f>
        <v>1.9397525623725986E-2</v>
      </c>
      <c r="M156" s="302">
        <f>F161-F156</f>
        <v>0</v>
      </c>
      <c r="N156" s="302">
        <f>SUM(K156:M156)</f>
        <v>5.5170850500776414E-2</v>
      </c>
    </row>
    <row r="157" spans="1:14" x14ac:dyDescent="0.25">
      <c r="A157" s="282" t="s">
        <v>365</v>
      </c>
      <c r="B157" s="302">
        <f>'Ind T6'!L62</f>
        <v>0.65528554267560235</v>
      </c>
      <c r="C157" s="299" t="str">
        <f>CONCATENATE("(",ROUND((B157/$H158)*100,1),")")</f>
        <v>(17.2)</v>
      </c>
      <c r="D157" s="302">
        <f>'Ind T6'!M62</f>
        <v>0.34144766531212706</v>
      </c>
      <c r="E157" s="299" t="str">
        <f>CONCATENATE("(",ROUND((D157/$H158)*100,1),")")</f>
        <v>(9)</v>
      </c>
      <c r="F157" s="302">
        <f>'Ind T6'!N62</f>
        <v>1.5890525436288067E-2</v>
      </c>
      <c r="G157" s="299" t="str">
        <f>CONCATENATE("(",ROUND((F157/$H158)*100,1),")")</f>
        <v>(0.4)</v>
      </c>
      <c r="H157" s="302">
        <f t="shared" ref="H157" si="126">SUM(B157,D157,F157)</f>
        <v>1.0126237334240173</v>
      </c>
      <c r="I157" s="299" t="str">
        <f>CONCATENATE("(",ROUND((H157/$H158)*100,1),")")</f>
        <v>(26.6)</v>
      </c>
      <c r="K157" s="302">
        <f t="shared" ref="K157:K158" si="127">B162-B157</f>
        <v>4.2236275984113614E-2</v>
      </c>
      <c r="L157" s="302">
        <f t="shared" ref="L157:L158" si="128">D162-D157</f>
        <v>1.2580935146239369E-2</v>
      </c>
      <c r="M157" s="302">
        <f t="shared" ref="M157:M158" si="129">F162-F157</f>
        <v>1.1938368870360871E-5</v>
      </c>
      <c r="N157" s="302">
        <f t="shared" ref="N157:N158" si="130">SUM(K157:M157)</f>
        <v>5.4829149499223344E-2</v>
      </c>
    </row>
    <row r="158" spans="1:14" x14ac:dyDescent="0.25">
      <c r="A158" s="282" t="s">
        <v>363</v>
      </c>
      <c r="B158" s="302">
        <f>SUM(B156:B157)</f>
        <v>2.7623692155012072</v>
      </c>
      <c r="C158" s="299" t="str">
        <f>CONCATENATE("(",ROUND((B158/$H158)*100,1),")")</f>
        <v>(72.6)</v>
      </c>
      <c r="D158" s="302">
        <f>SUM(D156:D157)</f>
        <v>1.0247402590625072</v>
      </c>
      <c r="E158" s="299" t="str">
        <f>CONCATENATE("(",ROUND((D158/$H158)*100,1),")")</f>
        <v>(26.9)</v>
      </c>
      <c r="F158" s="302">
        <f>SUM(F156:F157)</f>
        <v>1.5890525436288067E-2</v>
      </c>
      <c r="G158" s="299" t="str">
        <f>CONCATENATE("(",ROUND((F158/$H158)*100,1),")")</f>
        <v>(0.4)</v>
      </c>
      <c r="H158" s="302">
        <f>SUM(H156:H157)</f>
        <v>3.8030000000000026</v>
      </c>
      <c r="I158" s="299" t="str">
        <f>CONCATENATE("(",ROUND((H158/$H158)*100,1),")")</f>
        <v>(100)</v>
      </c>
      <c r="K158" s="302">
        <f t="shared" si="127"/>
        <v>7.8009600861164152E-2</v>
      </c>
      <c r="L158" s="302">
        <f t="shared" si="128"/>
        <v>3.1978460769965356E-2</v>
      </c>
      <c r="M158" s="302">
        <f t="shared" si="129"/>
        <v>1.1938368870360871E-5</v>
      </c>
      <c r="N158" s="302">
        <f t="shared" si="130"/>
        <v>0.10999999999999988</v>
      </c>
    </row>
    <row r="159" spans="1:14" x14ac:dyDescent="0.25">
      <c r="B159" s="302"/>
      <c r="C159" s="284"/>
      <c r="D159" s="302"/>
      <c r="E159" s="284"/>
      <c r="F159" s="302"/>
      <c r="G159" s="284"/>
      <c r="H159" s="302"/>
      <c r="I159" s="284"/>
    </row>
    <row r="160" spans="1:14" ht="13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5">
      <c r="A161" s="282" t="s">
        <v>364</v>
      </c>
      <c r="B161" s="302">
        <f>'Ind T6'!Q63</f>
        <v>2.1428569977026553</v>
      </c>
      <c r="C161" s="299" t="str">
        <f>CONCATENATE("(",ROUND((B161/$H163)*100,1),")")</f>
        <v>(54.8)</v>
      </c>
      <c r="D161" s="302">
        <f>'Ind T6'!R63</f>
        <v>0.70269011937410608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2.8455471170767614</v>
      </c>
      <c r="I161" s="299" t="str">
        <f>CONCATENATE("(",ROUND((H161/$H163)*100,1),")")</f>
        <v>(72.7)</v>
      </c>
      <c r="K161" s="302">
        <f>B166-B161</f>
        <v>2.5430901881472678E-2</v>
      </c>
      <c r="L161" s="302">
        <f>D166-D161</f>
        <v>1.9543259718428851E-2</v>
      </c>
      <c r="M161" s="302">
        <f>F166-F161</f>
        <v>0</v>
      </c>
      <c r="N161" s="302">
        <f>SUM(K161:M161)</f>
        <v>4.497416159990153E-2</v>
      </c>
    </row>
    <row r="162" spans="1:14" x14ac:dyDescent="0.25">
      <c r="A162" s="282" t="s">
        <v>365</v>
      </c>
      <c r="B162" s="302">
        <f>'Ind T6'!Q62</f>
        <v>0.69752181865971596</v>
      </c>
      <c r="C162" s="299" t="str">
        <f>CONCATENATE("(",ROUND((B162/$H163)*100,1),")")</f>
        <v>(17.8)</v>
      </c>
      <c r="D162" s="302">
        <f>'Ind T6'!R62</f>
        <v>0.35402860045836643</v>
      </c>
      <c r="E162" s="299" t="str">
        <f>CONCATENATE("(",ROUND((D162/$H163)*100,1),")")</f>
        <v>(9)</v>
      </c>
      <c r="F162" s="302">
        <f>'Ind T6'!S62</f>
        <v>1.5902463805158428E-2</v>
      </c>
      <c r="G162" s="299" t="str">
        <f>CONCATENATE("(",ROUND((F162/$H163)*100,1),")")</f>
        <v>(0.4)</v>
      </c>
      <c r="H162" s="302">
        <f t="shared" ref="H162" si="131">SUM(B162,D162,F162)</f>
        <v>1.0674528829232408</v>
      </c>
      <c r="I162" s="299" t="str">
        <f>CONCATENATE("(",ROUND((H162/$H163)*100,1),")")</f>
        <v>(27.3)</v>
      </c>
      <c r="K162" s="302">
        <f t="shared" ref="K162:K163" si="132">B167-B162</f>
        <v>7.2939840493879138E-2</v>
      </c>
      <c r="L162" s="302">
        <f t="shared" ref="L162:L163" si="133">D167-D162</f>
        <v>1.6912368359620622E-2</v>
      </c>
      <c r="M162" s="302">
        <f t="shared" ref="M162:M163" si="134">F167-F162</f>
        <v>1.736295465960859E-4</v>
      </c>
      <c r="N162" s="302">
        <f t="shared" ref="N162:N163" si="135">SUM(K162:M162)</f>
        <v>9.0025838400095842E-2</v>
      </c>
    </row>
    <row r="163" spans="1:14" x14ac:dyDescent="0.25">
      <c r="A163" s="282" t="s">
        <v>363</v>
      </c>
      <c r="B163" s="302">
        <f>SUM(B161:B162)</f>
        <v>2.8403788163623713</v>
      </c>
      <c r="C163" s="299" t="str">
        <f>CONCATENATE("(",ROUND((B163/$H163)*100,1),")")</f>
        <v>(72.6)</v>
      </c>
      <c r="D163" s="302">
        <f>SUM(D161:D162)</f>
        <v>1.0567187198324726</v>
      </c>
      <c r="E163" s="299" t="str">
        <f>CONCATENATE("(",ROUND((D163/$H163)*100,1),")")</f>
        <v>(27)</v>
      </c>
      <c r="F163" s="302">
        <f>SUM(F161:F162)</f>
        <v>1.5902463805158428E-2</v>
      </c>
      <c r="G163" s="299" t="str">
        <f>CONCATENATE("(",ROUND((F163/$H163)*100,1),")")</f>
        <v>(0.4)</v>
      </c>
      <c r="H163" s="302">
        <f>SUM(H161:H162)</f>
        <v>3.913000000000002</v>
      </c>
      <c r="I163" s="299" t="str">
        <f>CONCATENATE("(",ROUND((H163/$H163)*100,1),")")</f>
        <v>(100)</v>
      </c>
      <c r="K163" s="302">
        <f t="shared" si="132"/>
        <v>9.8370742375351927E-2</v>
      </c>
      <c r="L163" s="302">
        <f t="shared" si="133"/>
        <v>3.6455628078049473E-2</v>
      </c>
      <c r="M163" s="302">
        <f t="shared" si="134"/>
        <v>1.736295465960859E-4</v>
      </c>
      <c r="N163" s="302">
        <f t="shared" si="135"/>
        <v>0.13499999999999748</v>
      </c>
    </row>
    <row r="164" spans="1:14" x14ac:dyDescent="0.25">
      <c r="B164" s="302"/>
      <c r="C164" s="284"/>
      <c r="D164" s="302"/>
      <c r="E164" s="284"/>
      <c r="F164" s="302"/>
      <c r="G164" s="284"/>
      <c r="H164" s="302"/>
      <c r="I164" s="284"/>
    </row>
    <row r="165" spans="1:14" ht="13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5">
      <c r="A166" s="282" t="s">
        <v>364</v>
      </c>
      <c r="B166" s="302">
        <f>'Ind T6'!V63</f>
        <v>2.1682878995841279</v>
      </c>
      <c r="C166" s="299" t="str">
        <f>CONCATENATE("(",ROUND((B166/$H168)*100,1),")")</f>
        <v>(53.6)</v>
      </c>
      <c r="D166" s="302">
        <f>'Ind T6'!W63</f>
        <v>0.72223337909253493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2.8905212786766628</v>
      </c>
      <c r="I166" s="299" t="str">
        <f>CONCATENATE("(",ROUND((H166/$H168)*100,1),")")</f>
        <v>(71.4)</v>
      </c>
      <c r="K166" s="302">
        <f>B166-B156</f>
        <v>6.1204226758523106E-2</v>
      </c>
      <c r="L166" s="302">
        <f>D166-D156</f>
        <v>3.8940785342154838E-2</v>
      </c>
      <c r="M166" s="302">
        <f>F166-F156</f>
        <v>0</v>
      </c>
      <c r="N166" s="302">
        <f>SUM(K166:M166)</f>
        <v>0.10014501210067794</v>
      </c>
    </row>
    <row r="167" spans="1:14" x14ac:dyDescent="0.25">
      <c r="A167" s="282" t="s">
        <v>365</v>
      </c>
      <c r="B167" s="302">
        <f>'Ind T6'!V62</f>
        <v>0.7704616591535951</v>
      </c>
      <c r="C167" s="299" t="str">
        <f>CONCATENATE("(",ROUND((B167/$H168)*100,1),")")</f>
        <v>(19)</v>
      </c>
      <c r="D167" s="302">
        <f>'Ind T6'!W62</f>
        <v>0.37094096881798705</v>
      </c>
      <c r="E167" s="299" t="str">
        <f>CONCATENATE("(",ROUND((D167/$H168)*100,1),")")</f>
        <v>(9.2)</v>
      </c>
      <c r="F167" s="302">
        <f>'Ind T6'!X62</f>
        <v>1.6076093351754514E-2</v>
      </c>
      <c r="G167" s="299" t="str">
        <f>CONCATENATE("(",ROUND((F167/$H168)*100,1),")")</f>
        <v>(0.4)</v>
      </c>
      <c r="H167" s="302">
        <f t="shared" ref="H167" si="136">SUM(B167,D167,F167)</f>
        <v>1.1574787213233366</v>
      </c>
      <c r="I167" s="299" t="str">
        <f>CONCATENATE("(",ROUND((H167/$H168)*100,1),")")</f>
        <v>(28.6)</v>
      </c>
      <c r="K167" s="302">
        <f t="shared" ref="K167:K168" si="137">B167-B157</f>
        <v>0.11517611647799275</v>
      </c>
      <c r="L167" s="302">
        <f t="shared" ref="L167:L168" si="138">D167-D157</f>
        <v>2.9493303505859991E-2</v>
      </c>
      <c r="M167" s="302">
        <f t="shared" ref="M167:M168" si="139">F167-F157</f>
        <v>1.8556791546644677E-4</v>
      </c>
      <c r="N167" s="302">
        <f t="shared" ref="N167:N168" si="140">SUM(K167:M167)</f>
        <v>0.14485498789931919</v>
      </c>
    </row>
    <row r="168" spans="1:14" x14ac:dyDescent="0.25">
      <c r="A168" s="282" t="s">
        <v>363</v>
      </c>
      <c r="B168" s="302">
        <f>SUM(B166:B167)</f>
        <v>2.9387495587377233</v>
      </c>
      <c r="C168" s="299" t="str">
        <f>CONCATENATE("(",ROUND((B168/$H168)*100,1),")")</f>
        <v>(72.6)</v>
      </c>
      <c r="D168" s="302">
        <f>SUM(D166:D167)</f>
        <v>1.093174347910522</v>
      </c>
      <c r="E168" s="299" t="str">
        <f>CONCATENATE("(",ROUND((D168/$H168)*100,1),")")</f>
        <v>(27)</v>
      </c>
      <c r="F168" s="302">
        <f>SUM(F166:F167)</f>
        <v>1.6076093351754514E-2</v>
      </c>
      <c r="G168" s="299" t="str">
        <f>CONCATENATE("(",ROUND((F168/$H168)*100,1),")")</f>
        <v>(0.4)</v>
      </c>
      <c r="H168" s="302">
        <f>SUM(H166:H167)</f>
        <v>4.0479999999999992</v>
      </c>
      <c r="I168" s="299" t="str">
        <f>CONCATENATE("(",ROUND((H168/$H168)*100,1),")")</f>
        <v>(100)</v>
      </c>
      <c r="K168" s="302">
        <f t="shared" si="137"/>
        <v>0.17638034323651608</v>
      </c>
      <c r="L168" s="302">
        <f t="shared" si="138"/>
        <v>6.8434088848014829E-2</v>
      </c>
      <c r="M168" s="302">
        <f t="shared" si="139"/>
        <v>1.8556791546644677E-4</v>
      </c>
      <c r="N168" s="302">
        <f t="shared" si="140"/>
        <v>0.24499999999999736</v>
      </c>
    </row>
    <row r="169" spans="1:14" x14ac:dyDescent="0.25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ht="13" x14ac:dyDescent="0.3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ht="13" x14ac:dyDescent="0.3">
      <c r="N174" s="287" t="s">
        <v>370</v>
      </c>
    </row>
    <row r="175" spans="1:14" ht="13" x14ac:dyDescent="0.3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ht="13" x14ac:dyDescent="0.3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5">
      <c r="A177" s="282" t="s">
        <v>364</v>
      </c>
      <c r="B177" s="302">
        <f>'Ind T6'!L72</f>
        <v>14.85690904853705</v>
      </c>
      <c r="C177" s="299" t="str">
        <f>CONCATENATE("(",ROUND((B177/$H179)*100,1),")")</f>
        <v>(40.1)</v>
      </c>
      <c r="D177" s="302">
        <f>'Ind T6'!M72</f>
        <v>0.94478226683438893</v>
      </c>
      <c r="E177" s="299" t="str">
        <f>CONCATENATE("(",ROUND((D177/$H179)*100,1),")")</f>
        <v>(2.6)</v>
      </c>
      <c r="F177" s="302">
        <f>'Ind T6'!N72</f>
        <v>16.003808914029179</v>
      </c>
      <c r="G177" s="299" t="str">
        <f>CONCATENATE("(",ROUND((F177/$H179)*100,1),")")</f>
        <v>(43.2)</v>
      </c>
      <c r="H177" s="302">
        <f>SUM(B177,D177,F177)</f>
        <v>31.805500229400618</v>
      </c>
      <c r="I177" s="299" t="str">
        <f>CONCATENATE("(",ROUND((H177/$H179)*100,1),")")</f>
        <v>(85.9)</v>
      </c>
      <c r="K177" s="302">
        <f>B182-B177</f>
        <v>-0.24216845586350466</v>
      </c>
      <c r="L177" s="302">
        <f>D182-D177</f>
        <v>1.3723491992754577E-2</v>
      </c>
      <c r="M177" s="302">
        <f>F182-F177</f>
        <v>9.9483389001139955E-2</v>
      </c>
      <c r="N177" s="302">
        <f>SUM(K177:M177)</f>
        <v>-0.12896157486961013</v>
      </c>
    </row>
    <row r="178" spans="1:14" x14ac:dyDescent="0.25">
      <c r="A178" s="282" t="s">
        <v>365</v>
      </c>
      <c r="B178" s="302">
        <f>'Ind T6'!L71</f>
        <v>2.7273220967297749</v>
      </c>
      <c r="C178" s="299" t="str">
        <f>CONCATENATE("(",ROUND((B178/$H179)*100,1),")")</f>
        <v>(7.4)</v>
      </c>
      <c r="D178" s="302">
        <f>'Ind T6'!M71</f>
        <v>1.7042599367563167</v>
      </c>
      <c r="E178" s="299" t="str">
        <f>CONCATENATE("(",ROUND((D178/$H179)*100,1),")")</f>
        <v>(4.6)</v>
      </c>
      <c r="F178" s="302">
        <f>'Ind T6'!N71</f>
        <v>0.77791773711333934</v>
      </c>
      <c r="G178" s="299" t="str">
        <f>CONCATENATE("(",ROUND((F178/$H179)*100,1),")")</f>
        <v>(2.1)</v>
      </c>
      <c r="H178" s="302">
        <f t="shared" ref="H178" si="141">SUM(B178,D178,F178)</f>
        <v>5.2094997705994315</v>
      </c>
      <c r="I178" s="299" t="str">
        <f>CONCATENATE("(",ROUND((H178/$H179)*100,1),")")</f>
        <v>(14.1)</v>
      </c>
      <c r="K178" s="302">
        <f t="shared" ref="K178:K179" si="142">B183-B178</f>
        <v>1.6594091814643441E-3</v>
      </c>
      <c r="L178" s="302">
        <f t="shared" ref="L178:L179" si="143">D183-D178</f>
        <v>1.2276262745480881E-2</v>
      </c>
      <c r="M178" s="302">
        <f t="shared" ref="M178:M179" si="144">F183-F178</f>
        <v>4.0259029426037429E-3</v>
      </c>
      <c r="N178" s="302">
        <f t="shared" ref="N178:N179" si="145">SUM(K178:M178)</f>
        <v>1.7961574869548969E-2</v>
      </c>
    </row>
    <row r="179" spans="1:14" x14ac:dyDescent="0.25">
      <c r="A179" s="282" t="s">
        <v>363</v>
      </c>
      <c r="B179" s="302">
        <f>SUM(B177:B178)</f>
        <v>17.584231145266823</v>
      </c>
      <c r="C179" s="299" t="str">
        <f>CONCATENATE("(",ROUND((B179/$H179)*100,1),")")</f>
        <v>(47.5)</v>
      </c>
      <c r="D179" s="302">
        <f>SUM(D177:D178)</f>
        <v>2.6490422035907057</v>
      </c>
      <c r="E179" s="299" t="str">
        <f>CONCATENATE("(",ROUND((D179/$H179)*100,1),")")</f>
        <v>(7.2)</v>
      </c>
      <c r="F179" s="302">
        <f>SUM(F177:F178)</f>
        <v>16.781726651142517</v>
      </c>
      <c r="G179" s="299" t="str">
        <f>CONCATENATE("(",ROUND((F179/$H179)*100,1),")")</f>
        <v>(45.3)</v>
      </c>
      <c r="H179" s="302">
        <f>SUM(H177:H178)</f>
        <v>37.01500000000005</v>
      </c>
      <c r="I179" s="299" t="str">
        <f>CONCATENATE("(",ROUND((H179/$H179)*100,1),")")</f>
        <v>(100)</v>
      </c>
      <c r="K179" s="302">
        <f t="shared" si="142"/>
        <v>-0.24050904668203898</v>
      </c>
      <c r="L179" s="302">
        <f t="shared" si="143"/>
        <v>2.5999754738235126E-2</v>
      </c>
      <c r="M179" s="302">
        <f t="shared" si="144"/>
        <v>0.10350929194374459</v>
      </c>
      <c r="N179" s="302">
        <f t="shared" si="145"/>
        <v>-0.11100000000005927</v>
      </c>
    </row>
    <row r="180" spans="1:14" x14ac:dyDescent="0.25">
      <c r="B180" s="302"/>
      <c r="C180" s="284"/>
      <c r="D180" s="302"/>
      <c r="E180" s="284"/>
      <c r="F180" s="302"/>
      <c r="G180" s="284"/>
      <c r="H180" s="302"/>
      <c r="I180" s="284"/>
    </row>
    <row r="181" spans="1:14" ht="13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5">
      <c r="A182" s="282" t="s">
        <v>364</v>
      </c>
      <c r="B182" s="302">
        <f>'Ind T6'!Q72</f>
        <v>14.614740592673545</v>
      </c>
      <c r="C182" s="299" t="str">
        <f>CONCATENATE("(",ROUND((B182/$H184)*100,1),")")</f>
        <v>(39.6)</v>
      </c>
      <c r="D182" s="302">
        <f>'Ind T6'!R72</f>
        <v>0.95850575882714351</v>
      </c>
      <c r="E182" s="299" t="str">
        <f>CONCATENATE("(",ROUND((D182/$H184)*100,1),")")</f>
        <v>(2.6)</v>
      </c>
      <c r="F182" s="302">
        <f>'Ind T6'!S72</f>
        <v>16.103292303030319</v>
      </c>
      <c r="G182" s="299" t="str">
        <f>CONCATENATE("(",ROUND((F182/$H184)*100,1),")")</f>
        <v>(43.6)</v>
      </c>
      <c r="H182" s="302">
        <f>SUM(B182,D182,F182)</f>
        <v>31.676538654531008</v>
      </c>
      <c r="I182" s="299" t="str">
        <f>CONCATENATE("(",ROUND((H182/$H184)*100,1),")")</f>
        <v>(85.8)</v>
      </c>
      <c r="K182" s="302">
        <f>B187-B182</f>
        <v>-0.26885926021486917</v>
      </c>
      <c r="L182" s="302">
        <f>D187-D182</f>
        <v>4.8420116637953203E-2</v>
      </c>
      <c r="M182" s="302">
        <f>F187-F182</f>
        <v>0.58053555897968323</v>
      </c>
      <c r="N182" s="302">
        <f>SUM(K182:M182)</f>
        <v>0.36009641540276727</v>
      </c>
    </row>
    <row r="183" spans="1:14" x14ac:dyDescent="0.25">
      <c r="A183" s="282" t="s">
        <v>365</v>
      </c>
      <c r="B183" s="302">
        <f>'Ind T6'!Q71</f>
        <v>2.7289815059112392</v>
      </c>
      <c r="C183" s="299" t="str">
        <f>CONCATENATE("(",ROUND((B183/$H184)*100,1),")")</f>
        <v>(7.4)</v>
      </c>
      <c r="D183" s="302">
        <f>'Ind T6'!R71</f>
        <v>1.7165361995017976</v>
      </c>
      <c r="E183" s="299" t="str">
        <f>CONCATENATE("(",ROUND((D183/$H184)*100,1),")")</f>
        <v>(4.7)</v>
      </c>
      <c r="F183" s="302">
        <f>'Ind T6'!S71</f>
        <v>0.78194364005594308</v>
      </c>
      <c r="G183" s="299" t="str">
        <f>CONCATENATE("(",ROUND((F183/$H184)*100,1),")")</f>
        <v>(2.1)</v>
      </c>
      <c r="H183" s="302">
        <f t="shared" ref="H183" si="146">SUM(B183,D183,F183)</f>
        <v>5.2274613454689804</v>
      </c>
      <c r="I183" s="299" t="str">
        <f>CONCATENATE("(",ROUND((H183/$H184)*100,1),")")</f>
        <v>(14.2)</v>
      </c>
      <c r="K183" s="302">
        <f t="shared" ref="K183:K184" si="147">B188-B183</f>
        <v>7.5018675424183723E-2</v>
      </c>
      <c r="L183" s="302">
        <f t="shared" ref="L183:L184" si="148">D188-D183</f>
        <v>6.6788630812376404E-2</v>
      </c>
      <c r="M183" s="302">
        <f t="shared" ref="M183:M184" si="149">F188-F183</f>
        <v>4.4096278360680863E-2</v>
      </c>
      <c r="N183" s="302">
        <f t="shared" ref="N183:N184" si="150">SUM(K183:M183)</f>
        <v>0.18590358459724099</v>
      </c>
    </row>
    <row r="184" spans="1:14" x14ac:dyDescent="0.25">
      <c r="A184" s="282" t="s">
        <v>363</v>
      </c>
      <c r="B184" s="302">
        <f>SUM(B182:B183)</f>
        <v>17.343722098584784</v>
      </c>
      <c r="C184" s="299" t="str">
        <f>CONCATENATE("(",ROUND((B184/$H184)*100,1),")")</f>
        <v>(47)</v>
      </c>
      <c r="D184" s="302">
        <f>SUM(D182:D183)</f>
        <v>2.6750419583289409</v>
      </c>
      <c r="E184" s="299" t="str">
        <f>CONCATENATE("(",ROUND((D184/$H184)*100,1),")")</f>
        <v>(7.2)</v>
      </c>
      <c r="F184" s="302">
        <f>SUM(F182:F183)</f>
        <v>16.885235943086261</v>
      </c>
      <c r="G184" s="299" t="str">
        <f>CONCATENATE("(",ROUND((F184/$H184)*100,1),")")</f>
        <v>(45.8)</v>
      </c>
      <c r="H184" s="302">
        <f>SUM(H182:H183)</f>
        <v>36.903999999999989</v>
      </c>
      <c r="I184" s="299" t="str">
        <f>CONCATENATE("(",ROUND((H184/$H184)*100,1),")")</f>
        <v>(100)</v>
      </c>
      <c r="K184" s="302">
        <f t="shared" si="147"/>
        <v>-0.193840584790685</v>
      </c>
      <c r="L184" s="302">
        <f t="shared" si="148"/>
        <v>0.11520874745033005</v>
      </c>
      <c r="M184" s="302">
        <f t="shared" si="149"/>
        <v>0.62463183734036321</v>
      </c>
      <c r="N184" s="302">
        <f t="shared" si="150"/>
        <v>0.54600000000000826</v>
      </c>
    </row>
    <row r="185" spans="1:14" x14ac:dyDescent="0.25">
      <c r="B185" s="302"/>
      <c r="C185" s="284"/>
      <c r="D185" s="302"/>
      <c r="E185" s="284"/>
      <c r="F185" s="302"/>
      <c r="G185" s="284"/>
      <c r="H185" s="302"/>
      <c r="I185" s="284"/>
    </row>
    <row r="186" spans="1:14" ht="13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5">
      <c r="A187" s="282" t="s">
        <v>364</v>
      </c>
      <c r="B187" s="302">
        <f>'Ind T6'!V72</f>
        <v>14.345881332458676</v>
      </c>
      <c r="C187" s="299" t="str">
        <f>CONCATENATE("(",ROUND((B187/$H189)*100,1),")")</f>
        <v>(38.3)</v>
      </c>
      <c r="D187" s="302">
        <f>'Ind T6'!W72</f>
        <v>1.0069258754650967</v>
      </c>
      <c r="E187" s="299" t="str">
        <f>CONCATENATE("(",ROUND((D187/$H189)*100,1),")")</f>
        <v>(2.7)</v>
      </c>
      <c r="F187" s="302">
        <f>'Ind T6'!X72</f>
        <v>16.683827862010002</v>
      </c>
      <c r="G187" s="299" t="str">
        <f>CONCATENATE("(",ROUND((F187/$H189)*100,1),")")</f>
        <v>(44.5)</v>
      </c>
      <c r="H187" s="302">
        <f>SUM(B187,D187,F187)</f>
        <v>32.036635069933773</v>
      </c>
      <c r="I187" s="299" t="str">
        <f>CONCATENATE("(",ROUND((H187/$H189)*100,1),")")</f>
        <v>(85.5)</v>
      </c>
      <c r="K187" s="302">
        <f>B187-B177</f>
        <v>-0.51102771607837383</v>
      </c>
      <c r="L187" s="302">
        <f>D187-D177</f>
        <v>6.2143608630707781E-2</v>
      </c>
      <c r="M187" s="302">
        <f>F187-F177</f>
        <v>0.68001894798082319</v>
      </c>
      <c r="N187" s="302">
        <f>SUM(K187:M187)</f>
        <v>0.23113484053315714</v>
      </c>
    </row>
    <row r="188" spans="1:14" x14ac:dyDescent="0.25">
      <c r="A188" s="282" t="s">
        <v>365</v>
      </c>
      <c r="B188" s="302">
        <f>'Ind T6'!V71</f>
        <v>2.8040001813354229</v>
      </c>
      <c r="C188" s="299" t="str">
        <f>CONCATENATE("(",ROUND((B188/$H189)*100,1),")")</f>
        <v>(7.5)</v>
      </c>
      <c r="D188" s="302">
        <f>'Ind T6'!W71</f>
        <v>1.783324830314174</v>
      </c>
      <c r="E188" s="299" t="str">
        <f>CONCATENATE("(",ROUND((D188/$H189)*100,1),")")</f>
        <v>(4.8)</v>
      </c>
      <c r="F188" s="302">
        <f>'Ind T6'!X71</f>
        <v>0.82603991841662394</v>
      </c>
      <c r="G188" s="299" t="str">
        <f>CONCATENATE("(",ROUND((F188/$H189)*100,1),")")</f>
        <v>(2.2)</v>
      </c>
      <c r="H188" s="302">
        <f t="shared" ref="H188" si="151">SUM(B188,D188,F188)</f>
        <v>5.413364930066221</v>
      </c>
      <c r="I188" s="299" t="str">
        <f>CONCATENATE("(",ROUND((H188/$H189)*100,1),")")</f>
        <v>(14.5)</v>
      </c>
      <c r="K188" s="302">
        <f t="shared" ref="K188:K189" si="152">B188-B178</f>
        <v>7.6678084605648067E-2</v>
      </c>
      <c r="L188" s="302">
        <f t="shared" ref="L188:L189" si="153">D188-D178</f>
        <v>7.9064893557857285E-2</v>
      </c>
      <c r="M188" s="302">
        <f t="shared" ref="M188:M189" si="154">F188-F178</f>
        <v>4.8122181303284606E-2</v>
      </c>
      <c r="N188" s="302">
        <f t="shared" ref="N188:N189" si="155">SUM(K188:M188)</f>
        <v>0.20386515946678996</v>
      </c>
    </row>
    <row r="189" spans="1:14" x14ac:dyDescent="0.25">
      <c r="A189" s="282" t="s">
        <v>363</v>
      </c>
      <c r="B189" s="302">
        <f>SUM(B187:B188)</f>
        <v>17.149881513794099</v>
      </c>
      <c r="C189" s="299" t="str">
        <f>CONCATENATE("(",ROUND((B189/$H189)*100,1),")")</f>
        <v>(45.8)</v>
      </c>
      <c r="D189" s="302">
        <f>SUM(D187:D188)</f>
        <v>2.7902507057792709</v>
      </c>
      <c r="E189" s="299" t="str">
        <f>CONCATENATE("(",ROUND((D189/$H189)*100,1),")")</f>
        <v>(7.5)</v>
      </c>
      <c r="F189" s="302">
        <f>SUM(F187:F188)</f>
        <v>17.509867780426625</v>
      </c>
      <c r="G189" s="299" t="str">
        <f>CONCATENATE("(",ROUND((F189/$H189)*100,1),")")</f>
        <v>(46.8)</v>
      </c>
      <c r="H189" s="302">
        <f>SUM(H187:H188)</f>
        <v>37.449999999999996</v>
      </c>
      <c r="I189" s="299" t="str">
        <f>CONCATENATE("(",ROUND((H189/$H189)*100,1),")")</f>
        <v>(100)</v>
      </c>
      <c r="K189" s="302">
        <f t="shared" si="152"/>
        <v>-0.43434963147272398</v>
      </c>
      <c r="L189" s="302">
        <f t="shared" si="153"/>
        <v>0.14120850218856518</v>
      </c>
      <c r="M189" s="302">
        <f t="shared" si="154"/>
        <v>0.72814112928410779</v>
      </c>
      <c r="N189" s="302">
        <f t="shared" si="155"/>
        <v>0.43499999999994898</v>
      </c>
    </row>
    <row r="190" spans="1:14" x14ac:dyDescent="0.25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ht="13" x14ac:dyDescent="0.3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ht="13" x14ac:dyDescent="0.3">
      <c r="N195" s="287" t="s">
        <v>370</v>
      </c>
    </row>
    <row r="196" spans="1:14" ht="13" x14ac:dyDescent="0.3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ht="13" x14ac:dyDescent="0.3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5">
      <c r="A198" s="282" t="s">
        <v>364</v>
      </c>
      <c r="B198" s="302">
        <f>'Ind T6'!L81</f>
        <v>33.177553672203388</v>
      </c>
      <c r="C198" s="299" t="str">
        <f>CONCATENATE("(",ROUND((B198/$H200)*100,1),")")</f>
        <v>(38.1)</v>
      </c>
      <c r="D198" s="302">
        <f>'Ind T6'!M81</f>
        <v>11.94424218717638</v>
      </c>
      <c r="E198" s="299" t="str">
        <f>CONCATENATE("(",ROUND((D198/$H200)*100,1),")")</f>
        <v>(13.7)</v>
      </c>
      <c r="F198" s="302">
        <f>'Ind T6'!N81</f>
        <v>2.7608915698595067</v>
      </c>
      <c r="G198" s="299" t="str">
        <f>CONCATENATE("(",ROUND((F198/$H200)*100,1),")")</f>
        <v>(3.2)</v>
      </c>
      <c r="H198" s="302">
        <f>SUM(B198,D198,F198)</f>
        <v>47.882687429239276</v>
      </c>
      <c r="I198" s="299" t="str">
        <f>CONCATENATE("(",ROUND((H198/$H200)*100,1),")")</f>
        <v>(55)</v>
      </c>
      <c r="K198" s="302">
        <f>B203-B198</f>
        <v>0.56799492775259353</v>
      </c>
      <c r="L198" s="302">
        <f>D203-D198</f>
        <v>5.0587468024280824E-2</v>
      </c>
      <c r="M198" s="302">
        <f>F203-F198</f>
        <v>4.6840452232498997E-2</v>
      </c>
      <c r="N198" s="302">
        <f>SUM(K198:M198)</f>
        <v>0.66542284800937335</v>
      </c>
    </row>
    <row r="199" spans="1:14" x14ac:dyDescent="0.25">
      <c r="A199" s="282" t="s">
        <v>365</v>
      </c>
      <c r="B199" s="302">
        <f>'Ind T6'!L80</f>
        <v>16.015494159848281</v>
      </c>
      <c r="C199" s="299" t="str">
        <f>CONCATENATE("(",ROUND((B199/$H200)*100,1),")")</f>
        <v>(18.4)</v>
      </c>
      <c r="D199" s="302">
        <f>'Ind T6'!M80</f>
        <v>20.753541608628691</v>
      </c>
      <c r="E199" s="299" t="str">
        <f>CONCATENATE("(",ROUND((D199/$H200)*100,1),")")</f>
        <v>(23.8)</v>
      </c>
      <c r="F199" s="302">
        <f>'Ind T6'!N80</f>
        <v>2.4222768022837213</v>
      </c>
      <c r="G199" s="299" t="str">
        <f>CONCATENATE("(",ROUND((F199/$H200)*100,1),")")</f>
        <v>(2.8)</v>
      </c>
      <c r="H199" s="302">
        <f t="shared" ref="H199" si="156">SUM(B199,D199,F199)</f>
        <v>39.191312570760687</v>
      </c>
      <c r="I199" s="299" t="str">
        <f>CONCATENATE("(",ROUND((H199/$H200)*100,1),")")</f>
        <v>(45)</v>
      </c>
      <c r="K199" s="302">
        <f t="shared" ref="K199:K200" si="157">B204-B199</f>
        <v>0.76002050801074361</v>
      </c>
      <c r="L199" s="302">
        <f t="shared" ref="L199:L200" si="158">D204-D199</f>
        <v>-0.70132235829862921</v>
      </c>
      <c r="M199" s="302">
        <f t="shared" ref="M199:M200" si="159">F204-F199</f>
        <v>8.0879002278512413E-2</v>
      </c>
      <c r="N199" s="302">
        <f t="shared" ref="N199:N200" si="160">SUM(K199:M199)</f>
        <v>0.13957715199062681</v>
      </c>
    </row>
    <row r="200" spans="1:14" x14ac:dyDescent="0.25">
      <c r="A200" s="282" t="s">
        <v>363</v>
      </c>
      <c r="B200" s="302">
        <f>SUM(B198:B199)</f>
        <v>49.193047832051668</v>
      </c>
      <c r="C200" s="299" t="str">
        <f>CONCATENATE("(",ROUND((B200/$H200)*100,1),")")</f>
        <v>(56.5)</v>
      </c>
      <c r="D200" s="302">
        <f>SUM(D198:D199)</f>
        <v>32.697783795805073</v>
      </c>
      <c r="E200" s="299" t="str">
        <f>CONCATENATE("(",ROUND((D200/$H200)*100,1),")")</f>
        <v>(37.6)</v>
      </c>
      <c r="F200" s="302">
        <f>SUM(F198:F199)</f>
        <v>5.1831683721432285</v>
      </c>
      <c r="G200" s="299" t="str">
        <f>CONCATENATE("(",ROUND((F200/$H200)*100,1),")")</f>
        <v>(6)</v>
      </c>
      <c r="H200" s="302">
        <f>SUM(H198:H199)</f>
        <v>87.073999999999955</v>
      </c>
      <c r="I200" s="299" t="str">
        <f>CONCATENATE("(",ROUND((H200/$H200)*100,1),")")</f>
        <v>(100)</v>
      </c>
      <c r="K200" s="302">
        <f t="shared" si="157"/>
        <v>1.3280154357633407</v>
      </c>
      <c r="L200" s="302">
        <f t="shared" si="158"/>
        <v>-0.65073489027435016</v>
      </c>
      <c r="M200" s="302">
        <f t="shared" si="159"/>
        <v>0.12771945451101097</v>
      </c>
      <c r="N200" s="302">
        <f t="shared" si="160"/>
        <v>0.80500000000000149</v>
      </c>
    </row>
    <row r="201" spans="1:14" x14ac:dyDescent="0.25">
      <c r="B201" s="302"/>
      <c r="C201" s="284"/>
      <c r="D201" s="302"/>
      <c r="E201" s="284"/>
      <c r="F201" s="302"/>
      <c r="G201" s="284"/>
      <c r="H201" s="302"/>
      <c r="I201" s="284"/>
    </row>
    <row r="202" spans="1:14" ht="13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5">
      <c r="A203" s="282" t="s">
        <v>364</v>
      </c>
      <c r="B203" s="302">
        <f>'Ind T6'!Q81</f>
        <v>33.745548599955981</v>
      </c>
      <c r="C203" s="299" t="str">
        <f>CONCATENATE("(",ROUND((B203/$H205)*100,1),")")</f>
        <v>(38.4)</v>
      </c>
      <c r="D203" s="302">
        <f>'Ind T6'!R81</f>
        <v>11.994829655200661</v>
      </c>
      <c r="E203" s="299" t="str">
        <f>CONCATENATE("(",ROUND((D203/$H205)*100,1),")")</f>
        <v>(13.6)</v>
      </c>
      <c r="F203" s="302">
        <f>'Ind T6'!S81</f>
        <v>2.8077320220920057</v>
      </c>
      <c r="G203" s="299" t="str">
        <f>CONCATENATE("(",ROUND((F203/$H205)*100,1),")")</f>
        <v>(3.2)</v>
      </c>
      <c r="H203" s="302">
        <f>SUM(B203,D203,F203)</f>
        <v>48.548110277248647</v>
      </c>
      <c r="I203" s="299" t="str">
        <f>CONCATENATE("(",ROUND((H203/$H205)*100,1),")")</f>
        <v>(55.2)</v>
      </c>
      <c r="K203" s="302">
        <f>B208-B203</f>
        <v>0.48831712811620775</v>
      </c>
      <c r="L203" s="302">
        <f>D208-D203</f>
        <v>0.14721458590827474</v>
      </c>
      <c r="M203" s="302">
        <f>F208-F203</f>
        <v>6.449260485563757E-2</v>
      </c>
      <c r="N203" s="302">
        <f>SUM(K203:M203)</f>
        <v>0.70002431888012007</v>
      </c>
    </row>
    <row r="204" spans="1:14" x14ac:dyDescent="0.25">
      <c r="A204" s="282" t="s">
        <v>365</v>
      </c>
      <c r="B204" s="302">
        <f>'Ind T6'!Q80</f>
        <v>16.775514667859024</v>
      </c>
      <c r="C204" s="299" t="str">
        <f>CONCATENATE("(",ROUND((B204/$H205)*100,1),")")</f>
        <v>(19.1)</v>
      </c>
      <c r="D204" s="302">
        <f>'Ind T6'!R80</f>
        <v>20.052219250330062</v>
      </c>
      <c r="E204" s="299" t="str">
        <f>CONCATENATE("(",ROUND((D204/$H205)*100,1),")")</f>
        <v>(22.8)</v>
      </c>
      <c r="F204" s="302">
        <f>'Ind T6'!S80</f>
        <v>2.5031558045622337</v>
      </c>
      <c r="G204" s="299" t="str">
        <f>CONCATENATE("(",ROUND((F204/$H205)*100,1),")")</f>
        <v>(2.8)</v>
      </c>
      <c r="H204" s="302">
        <f t="shared" ref="H204" si="161">SUM(B204,D204,F204)</f>
        <v>39.330889722751316</v>
      </c>
      <c r="I204" s="299" t="str">
        <f>CONCATENATE("(",ROUND((H204/$H205)*100,1),")")</f>
        <v>(44.8)</v>
      </c>
      <c r="K204" s="302">
        <f t="shared" ref="K204:K205" si="162">B209-B204</f>
        <v>1.3716062521301069</v>
      </c>
      <c r="L204" s="302">
        <f t="shared" ref="L204:L205" si="163">D209-D204</f>
        <v>-1.2846788850004316</v>
      </c>
      <c r="M204" s="302">
        <f t="shared" ref="M204:M205" si="164">F209-F204</f>
        <v>0.17704831399021126</v>
      </c>
      <c r="N204" s="302">
        <f t="shared" ref="N204:N205" si="165">SUM(K204:M204)</f>
        <v>0.26397568111988656</v>
      </c>
    </row>
    <row r="205" spans="1:14" x14ac:dyDescent="0.25">
      <c r="A205" s="282" t="s">
        <v>363</v>
      </c>
      <c r="B205" s="302">
        <f>SUM(B203:B204)</f>
        <v>50.521063267815009</v>
      </c>
      <c r="C205" s="299" t="str">
        <f>CONCATENATE("(",ROUND((B205/$H205)*100,1),")")</f>
        <v>(57.5)</v>
      </c>
      <c r="D205" s="302">
        <f>SUM(D203:D204)</f>
        <v>32.047048905530723</v>
      </c>
      <c r="E205" s="299" t="str">
        <f>CONCATENATE("(",ROUND((D205/$H205)*100,1),")")</f>
        <v>(36.5)</v>
      </c>
      <c r="F205" s="302">
        <f>SUM(F203:F204)</f>
        <v>5.3108878266542394</v>
      </c>
      <c r="G205" s="299" t="str">
        <f>CONCATENATE("(",ROUND((F205/$H205)*100,1),")")</f>
        <v>(6)</v>
      </c>
      <c r="H205" s="302">
        <f>SUM(H203:H204)</f>
        <v>87.878999999999962</v>
      </c>
      <c r="I205" s="299" t="str">
        <f>CONCATENATE("(",ROUND((H205/$H205)*100,1),")")</f>
        <v>(100)</v>
      </c>
      <c r="K205" s="302">
        <f t="shared" si="162"/>
        <v>1.8599233802463147</v>
      </c>
      <c r="L205" s="302">
        <f t="shared" si="163"/>
        <v>-1.1374642990921586</v>
      </c>
      <c r="M205" s="302">
        <f t="shared" si="164"/>
        <v>0.24154091884584883</v>
      </c>
      <c r="N205" s="302">
        <f t="shared" si="165"/>
        <v>0.96400000000000485</v>
      </c>
    </row>
    <row r="206" spans="1:14" x14ac:dyDescent="0.25">
      <c r="B206" s="302"/>
      <c r="C206" s="284"/>
      <c r="D206" s="302"/>
      <c r="E206" s="284"/>
      <c r="F206" s="302"/>
      <c r="G206" s="284"/>
      <c r="H206" s="302"/>
      <c r="I206" s="284"/>
    </row>
    <row r="207" spans="1:14" ht="13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5">
      <c r="A208" s="282" t="s">
        <v>364</v>
      </c>
      <c r="B208" s="302">
        <f>'Ind T6'!V81</f>
        <v>34.233865728072189</v>
      </c>
      <c r="C208" s="299" t="str">
        <f>CONCATENATE("(",ROUND((B208/$H210)*100,1),")")</f>
        <v>(38.5)</v>
      </c>
      <c r="D208" s="302">
        <f>'Ind T6'!W81</f>
        <v>12.142044241108936</v>
      </c>
      <c r="E208" s="299" t="str">
        <f>CONCATENATE("(",ROUND((D208/$H210)*100,1),")")</f>
        <v>(13.7)</v>
      </c>
      <c r="F208" s="302">
        <f>'Ind T6'!X81</f>
        <v>2.8722246269476432</v>
      </c>
      <c r="G208" s="299" t="str">
        <f>CONCATENATE("(",ROUND((F208/$H210)*100,1),")")</f>
        <v>(3.2)</v>
      </c>
      <c r="H208" s="302">
        <f>SUM(B208,D208,F208)</f>
        <v>49.248134596128764</v>
      </c>
      <c r="I208" s="299" t="str">
        <f>CONCATENATE("(",ROUND((H208/$H210)*100,1),")")</f>
        <v>(55.4)</v>
      </c>
      <c r="K208" s="302">
        <f>B208-B198</f>
        <v>1.0563120558688013</v>
      </c>
      <c r="L208" s="302">
        <f>D208-D198</f>
        <v>0.19780205393255557</v>
      </c>
      <c r="M208" s="302">
        <f>F208-F198</f>
        <v>0.11133305708813657</v>
      </c>
      <c r="N208" s="302">
        <f>SUM(K208:M208)</f>
        <v>1.3654471668894934</v>
      </c>
    </row>
    <row r="209" spans="1:14" x14ac:dyDescent="0.25">
      <c r="A209" s="282" t="s">
        <v>365</v>
      </c>
      <c r="B209" s="302">
        <f>'Ind T6'!V80</f>
        <v>18.147120919989131</v>
      </c>
      <c r="C209" s="299" t="str">
        <f>CONCATENATE("(",ROUND((B209/$H210)*100,1),")")</f>
        <v>(20.4)</v>
      </c>
      <c r="D209" s="302">
        <f>'Ind T6'!W80</f>
        <v>18.76754036532963</v>
      </c>
      <c r="E209" s="299" t="str">
        <f>CONCATENATE("(",ROUND((D209/$H210)*100,1),")")</f>
        <v>(21.1)</v>
      </c>
      <c r="F209" s="302">
        <f>'Ind T6'!X80</f>
        <v>2.680204118552445</v>
      </c>
      <c r="G209" s="299" t="str">
        <f>CONCATENATE("(",ROUND((F209/$H210)*100,1),")")</f>
        <v>(3)</v>
      </c>
      <c r="H209" s="302">
        <f t="shared" ref="H209" si="166">SUM(B209,D209,F209)</f>
        <v>39.594865403871204</v>
      </c>
      <c r="I209" s="299" t="str">
        <f>CONCATENATE("(",ROUND((H209/$H210)*100,1),")")</f>
        <v>(44.6)</v>
      </c>
      <c r="K209" s="302">
        <f t="shared" ref="K209:K210" si="167">B209-B199</f>
        <v>2.1316267601408505</v>
      </c>
      <c r="L209" s="302">
        <f t="shared" ref="L209:L210" si="168">D209-D199</f>
        <v>-1.9860012432990608</v>
      </c>
      <c r="M209" s="302">
        <f t="shared" ref="M209:M210" si="169">F209-F199</f>
        <v>0.25792731626872367</v>
      </c>
      <c r="N209" s="302">
        <f t="shared" ref="N209:N210" si="170">SUM(K209:M209)</f>
        <v>0.40355283311051338</v>
      </c>
    </row>
    <row r="210" spans="1:14" x14ac:dyDescent="0.25">
      <c r="A210" s="282" t="s">
        <v>363</v>
      </c>
      <c r="B210" s="302">
        <f>SUM(B208:B209)</f>
        <v>52.380986648061324</v>
      </c>
      <c r="C210" s="299" t="str">
        <f>CONCATENATE("(",ROUND((B210/$H210)*100,1),")")</f>
        <v>(59)</v>
      </c>
      <c r="D210" s="302">
        <f>SUM(D208:D209)</f>
        <v>30.909584606438564</v>
      </c>
      <c r="E210" s="299" t="str">
        <f>CONCATENATE("(",ROUND((D210/$H210)*100,1),")")</f>
        <v>(34.8)</v>
      </c>
      <c r="F210" s="302">
        <f>SUM(F208:F209)</f>
        <v>5.5524287455000882</v>
      </c>
      <c r="G210" s="299" t="str">
        <f>CONCATENATE("(",ROUND((F210/$H210)*100,1),")")</f>
        <v>(6.2)</v>
      </c>
      <c r="H210" s="302">
        <f>SUM(H208:H209)</f>
        <v>88.842999999999961</v>
      </c>
      <c r="I210" s="299" t="str">
        <f>CONCATENATE("(",ROUND((H210/$H210)*100,1),")")</f>
        <v>(100)</v>
      </c>
      <c r="K210" s="302">
        <f t="shared" si="167"/>
        <v>3.1879388160096553</v>
      </c>
      <c r="L210" s="302">
        <f t="shared" si="168"/>
        <v>-1.7881991893665088</v>
      </c>
      <c r="M210" s="302">
        <f t="shared" si="169"/>
        <v>0.36926037335685979</v>
      </c>
      <c r="N210" s="302">
        <f t="shared" si="170"/>
        <v>1.7690000000000063</v>
      </c>
    </row>
    <row r="211" spans="1:14" x14ac:dyDescent="0.25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ht="13" x14ac:dyDescent="0.3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ht="13" x14ac:dyDescent="0.3">
      <c r="N216" s="287" t="s">
        <v>370</v>
      </c>
    </row>
    <row r="217" spans="1:14" ht="13" x14ac:dyDescent="0.3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ht="13" x14ac:dyDescent="0.3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5">
      <c r="A219" s="282" t="s">
        <v>364</v>
      </c>
      <c r="B219" s="302">
        <f>'Ind T6'!L90</f>
        <v>17.726323308590445</v>
      </c>
      <c r="C219" s="299" t="str">
        <f>CONCATENATE("(",ROUND((B219/$H221)*100,1),")")</f>
        <v>(53.8)</v>
      </c>
      <c r="D219" s="302">
        <f>'Ind T6'!M90</f>
        <v>3.2812700992077142</v>
      </c>
      <c r="E219" s="299" t="str">
        <f>CONCATENATE("(",ROUND((D219/$H221)*100,1),")")</f>
        <v>(10)</v>
      </c>
      <c r="F219" s="302">
        <f>'Ind T6'!N90</f>
        <v>4.7266726285187763</v>
      </c>
      <c r="G219" s="299" t="str">
        <f>CONCATENATE("(",ROUND((F219/$H221)*100,1),")")</f>
        <v>(14.3)</v>
      </c>
      <c r="H219" s="302">
        <f>SUM(B219,D219,F219)</f>
        <v>25.734266036316935</v>
      </c>
      <c r="I219" s="299" t="str">
        <f>CONCATENATE("(",ROUND((H219/$H221)*100,1),")")</f>
        <v>(78.1)</v>
      </c>
      <c r="K219" s="302">
        <f>B224-B219</f>
        <v>1.4099522967090898</v>
      </c>
      <c r="L219" s="302">
        <f>D224-D219</f>
        <v>0.28418871609089713</v>
      </c>
      <c r="M219" s="302">
        <f>F224-F219</f>
        <v>0.39476218690871345</v>
      </c>
      <c r="N219" s="302">
        <f>SUM(K219:M219)</f>
        <v>2.0889031997087004</v>
      </c>
    </row>
    <row r="220" spans="1:14" x14ac:dyDescent="0.25">
      <c r="A220" s="282" t="s">
        <v>365</v>
      </c>
      <c r="B220" s="302">
        <f>'Ind T6'!L89</f>
        <v>4.2303370113515406</v>
      </c>
      <c r="C220" s="299" t="str">
        <f>CONCATENATE("(",ROUND((B220/$H221)*100,1),")")</f>
        <v>(12.8)</v>
      </c>
      <c r="D220" s="302">
        <f>'Ind T6'!M89</f>
        <v>2.8419969283701789</v>
      </c>
      <c r="E220" s="299" t="str">
        <f>CONCATENATE("(",ROUND((D220/$H221)*100,1),")")</f>
        <v>(8.6)</v>
      </c>
      <c r="F220" s="302">
        <f>'Ind T6'!N89</f>
        <v>0.14140002396130999</v>
      </c>
      <c r="G220" s="299" t="str">
        <f>CONCATENATE("(",ROUND((F220/$H221)*100,1),")")</f>
        <v>(0.4)</v>
      </c>
      <c r="H220" s="302">
        <f t="shared" ref="H220" si="171">SUM(B220,D220,F220)</f>
        <v>7.2137339636830298</v>
      </c>
      <c r="I220" s="299" t="str">
        <f>CONCATENATE("(",ROUND((H220/$H221)*100,1),")")</f>
        <v>(21.9)</v>
      </c>
      <c r="K220" s="302">
        <f t="shared" ref="K220:K221" si="172">B225-B220</f>
        <v>0.52265695398516954</v>
      </c>
      <c r="L220" s="302">
        <f t="shared" ref="L220:L221" si="173">D225-D220</f>
        <v>0.39746485229661754</v>
      </c>
      <c r="M220" s="302">
        <f t="shared" ref="M220:M221" si="174">F225-F220</f>
        <v>6.9749940096071883E-3</v>
      </c>
      <c r="N220" s="302">
        <f t="shared" ref="N220:N221" si="175">SUM(K220:M220)</f>
        <v>0.9270968002913943</v>
      </c>
    </row>
    <row r="221" spans="1:14" x14ac:dyDescent="0.25">
      <c r="A221" s="282" t="s">
        <v>363</v>
      </c>
      <c r="B221" s="302">
        <f>SUM(B219:B220)</f>
        <v>21.956660319941985</v>
      </c>
      <c r="C221" s="299" t="str">
        <f>CONCATENATE("(",ROUND((B221/$H221)*100,1),")")</f>
        <v>(66.6)</v>
      </c>
      <c r="D221" s="302">
        <f>SUM(D219:D220)</f>
        <v>6.1232670275778931</v>
      </c>
      <c r="E221" s="299" t="str">
        <f>CONCATENATE("(",ROUND((D221/$H221)*100,1),")")</f>
        <v>(18.6)</v>
      </c>
      <c r="F221" s="302">
        <f>SUM(F219:F220)</f>
        <v>4.8680726524800866</v>
      </c>
      <c r="G221" s="299" t="str">
        <f>CONCATENATE("(",ROUND((F221/$H221)*100,1),")")</f>
        <v>(14.8)</v>
      </c>
      <c r="H221" s="302">
        <f>SUM(H219:H220)</f>
        <v>32.947999999999965</v>
      </c>
      <c r="I221" s="299" t="str">
        <f>CONCATENATE("(",ROUND((H221/$H221)*100,1),")")</f>
        <v>(100)</v>
      </c>
      <c r="K221" s="302">
        <f t="shared" si="172"/>
        <v>1.9326092506942594</v>
      </c>
      <c r="L221" s="302">
        <f t="shared" si="173"/>
        <v>0.68165356838751467</v>
      </c>
      <c r="M221" s="302">
        <f t="shared" si="174"/>
        <v>0.40173718091832011</v>
      </c>
      <c r="N221" s="302">
        <f t="shared" si="175"/>
        <v>3.0160000000000942</v>
      </c>
    </row>
    <row r="222" spans="1:14" x14ac:dyDescent="0.25">
      <c r="B222" s="302"/>
      <c r="C222" s="284"/>
      <c r="D222" s="302"/>
      <c r="E222" s="284"/>
      <c r="F222" s="302"/>
      <c r="G222" s="284"/>
      <c r="H222" s="302"/>
      <c r="I222" s="284"/>
    </row>
    <row r="223" spans="1:14" ht="13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5">
      <c r="A224" s="282" t="s">
        <v>364</v>
      </c>
      <c r="B224" s="302">
        <f>'Ind T6'!Q90</f>
        <v>19.136275605299534</v>
      </c>
      <c r="C224" s="299" t="str">
        <f>CONCATENATE("(",ROUND((B224/$H226)*100,1),")")</f>
        <v>(53.2)</v>
      </c>
      <c r="D224" s="302">
        <f>'Ind T6'!R90</f>
        <v>3.5654588152986113</v>
      </c>
      <c r="E224" s="299" t="str">
        <f>CONCATENATE("(",ROUND((D224/$H226)*100,1),")")</f>
        <v>(9.9)</v>
      </c>
      <c r="F224" s="302">
        <f>'Ind T6'!S90</f>
        <v>5.1214348154274898</v>
      </c>
      <c r="G224" s="299" t="str">
        <f>CONCATENATE("(",ROUND((F224/$H226)*100,1),")")</f>
        <v>(14.2)</v>
      </c>
      <c r="H224" s="302">
        <f>SUM(B224,D224,F224)</f>
        <v>27.823169236025635</v>
      </c>
      <c r="I224" s="299" t="str">
        <f>CONCATENATE("(",ROUND((H224/$H226)*100,1),")")</f>
        <v>(77.4)</v>
      </c>
      <c r="K224" s="302">
        <f>B229-B224</f>
        <v>0.36647481357256595</v>
      </c>
      <c r="L224" s="302">
        <f>D229-D224</f>
        <v>0.26191461920051662</v>
      </c>
      <c r="M224" s="302">
        <f>F229-F224</f>
        <v>0.34459065140363521</v>
      </c>
      <c r="N224" s="302">
        <f>SUM(K224:M224)</f>
        <v>0.97298008417671777</v>
      </c>
    </row>
    <row r="225" spans="1:14" x14ac:dyDescent="0.25">
      <c r="A225" s="282" t="s">
        <v>365</v>
      </c>
      <c r="B225" s="302">
        <f>'Ind T6'!Q89</f>
        <v>4.7529939653367101</v>
      </c>
      <c r="C225" s="299" t="str">
        <f>CONCATENATE("(",ROUND((B225/$H226)*100,1),")")</f>
        <v>(13.2)</v>
      </c>
      <c r="D225" s="302">
        <f>'Ind T6'!R89</f>
        <v>3.2394617806667965</v>
      </c>
      <c r="E225" s="299" t="str">
        <f>CONCATENATE("(",ROUND((D225/$H226)*100,1),")")</f>
        <v>(9)</v>
      </c>
      <c r="F225" s="302">
        <f>'Ind T6'!S89</f>
        <v>0.14837501797091718</v>
      </c>
      <c r="G225" s="299" t="str">
        <f>CONCATENATE("(",ROUND((F225/$H226)*100,1),")")</f>
        <v>(0.4)</v>
      </c>
      <c r="H225" s="302">
        <f t="shared" ref="H225" si="176">SUM(B225,D225,F225)</f>
        <v>8.1408307639744244</v>
      </c>
      <c r="I225" s="299" t="str">
        <f>CONCATENATE("(",ROUND((H225/$H226)*100,1),")")</f>
        <v>(22.6)</v>
      </c>
      <c r="K225" s="302">
        <f t="shared" ref="K225:K226" si="177">B230-B225</f>
        <v>0.40741765257906337</v>
      </c>
      <c r="L225" s="302">
        <f t="shared" ref="L225:L226" si="178">D230-D225</f>
        <v>0.41474825148186012</v>
      </c>
      <c r="M225" s="302">
        <f t="shared" ref="M225:M226" si="179">F230-F225</f>
        <v>1.854011762289387E-3</v>
      </c>
      <c r="N225" s="302">
        <f t="shared" ref="N225:N226" si="180">SUM(K225:M225)</f>
        <v>0.82401991582321288</v>
      </c>
    </row>
    <row r="226" spans="1:14" x14ac:dyDescent="0.25">
      <c r="A226" s="282" t="s">
        <v>363</v>
      </c>
      <c r="B226" s="302">
        <f>SUM(B224:B225)</f>
        <v>23.889269570636245</v>
      </c>
      <c r="C226" s="299" t="str">
        <f>CONCATENATE("(",ROUND((B226/$H226)*100,1),")")</f>
        <v>(66.4)</v>
      </c>
      <c r="D226" s="302">
        <f>SUM(D224:D225)</f>
        <v>6.8049205959654078</v>
      </c>
      <c r="E226" s="299" t="str">
        <f>CONCATENATE("(",ROUND((D226/$H226)*100,1),")")</f>
        <v>(18.9)</v>
      </c>
      <c r="F226" s="302">
        <f>SUM(F224:F225)</f>
        <v>5.2698098333984067</v>
      </c>
      <c r="G226" s="299" t="str">
        <f>CONCATENATE("(",ROUND((F226/$H226)*100,1),")")</f>
        <v>(14.7)</v>
      </c>
      <c r="H226" s="302">
        <f>SUM(H224:H225)</f>
        <v>35.964000000000055</v>
      </c>
      <c r="I226" s="299" t="str">
        <f>CONCATENATE("(",ROUND((H226/$H226)*100,1),")")</f>
        <v>(100)</v>
      </c>
      <c r="K226" s="302">
        <f t="shared" si="177"/>
        <v>0.77389246615162932</v>
      </c>
      <c r="L226" s="302">
        <f t="shared" si="178"/>
        <v>0.67666287068237629</v>
      </c>
      <c r="M226" s="302">
        <f t="shared" si="179"/>
        <v>0.34644466316592482</v>
      </c>
      <c r="N226" s="302">
        <f t="shared" si="180"/>
        <v>1.7969999999999304</v>
      </c>
    </row>
    <row r="227" spans="1:14" x14ac:dyDescent="0.25">
      <c r="B227" s="302"/>
      <c r="C227" s="284"/>
      <c r="D227" s="302"/>
      <c r="E227" s="284"/>
      <c r="F227" s="302"/>
      <c r="G227" s="284"/>
      <c r="H227" s="302"/>
      <c r="I227" s="284"/>
    </row>
    <row r="228" spans="1:14" ht="13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5">
      <c r="A229" s="282" t="s">
        <v>364</v>
      </c>
      <c r="B229" s="302">
        <f>'Ind T6'!V90</f>
        <v>19.5027504188721</v>
      </c>
      <c r="C229" s="299" t="str">
        <f>CONCATENATE("(",ROUND((B229/$H231)*100,1),")")</f>
        <v>(51.6)</v>
      </c>
      <c r="D229" s="302">
        <f>'Ind T6'!W90</f>
        <v>3.8273734344991279</v>
      </c>
      <c r="E229" s="299" t="str">
        <f>CONCATENATE("(",ROUND((D229/$H231)*100,1),")")</f>
        <v>(10.1)</v>
      </c>
      <c r="F229" s="302">
        <f>'Ind T6'!X90</f>
        <v>5.466025466831125</v>
      </c>
      <c r="G229" s="299" t="str">
        <f>CONCATENATE("(",ROUND((F229/$H231)*100,1),")")</f>
        <v>(14.5)</v>
      </c>
      <c r="H229" s="302">
        <f>SUM(B229,D229,F229)</f>
        <v>28.796149320202353</v>
      </c>
      <c r="I229" s="299" t="str">
        <f>CONCATENATE("(",ROUND((H229/$H231)*100,1),")")</f>
        <v>(76.3)</v>
      </c>
      <c r="K229" s="302">
        <f>B229-B219</f>
        <v>1.7764271102816558</v>
      </c>
      <c r="L229" s="302">
        <f>D229-D219</f>
        <v>0.54610333529141375</v>
      </c>
      <c r="M229" s="302">
        <f>F229-F219</f>
        <v>0.73935283831234866</v>
      </c>
      <c r="N229" s="302">
        <f>SUM(K229:M229)</f>
        <v>3.0618832838854182</v>
      </c>
    </row>
    <row r="230" spans="1:14" x14ac:dyDescent="0.25">
      <c r="A230" s="282" t="s">
        <v>365</v>
      </c>
      <c r="B230" s="302">
        <f>'Ind T6'!V89</f>
        <v>5.1604116179157735</v>
      </c>
      <c r="C230" s="299" t="str">
        <f>CONCATENATE("(",ROUND((B230/$H231)*100,1),")")</f>
        <v>(13.7)</v>
      </c>
      <c r="D230" s="302">
        <f>'Ind T6'!W89</f>
        <v>3.6542100321486566</v>
      </c>
      <c r="E230" s="299" t="str">
        <f>CONCATENATE("(",ROUND((D230/$H231)*100,1),")")</f>
        <v>(9.7)</v>
      </c>
      <c r="F230" s="302">
        <f>'Ind T6'!X89</f>
        <v>0.15022902973320656</v>
      </c>
      <c r="G230" s="299" t="str">
        <f>CONCATENATE("(",ROUND((F230/$H231)*100,1),")")</f>
        <v>(0.4)</v>
      </c>
      <c r="H230" s="302">
        <f t="shared" ref="H230" si="181">SUM(B230,D230,F230)</f>
        <v>8.9648506797976371</v>
      </c>
      <c r="I230" s="299" t="str">
        <f>CONCATENATE("(",ROUND((H230/$H231)*100,1),")")</f>
        <v>(23.7)</v>
      </c>
      <c r="K230" s="302">
        <f t="shared" ref="K230:K231" si="182">B230-B220</f>
        <v>0.93007460656423291</v>
      </c>
      <c r="L230" s="302">
        <f t="shared" ref="L230:L231" si="183">D230-D220</f>
        <v>0.81221310377847766</v>
      </c>
      <c r="M230" s="302">
        <f t="shared" ref="M230:M231" si="184">F230-F220</f>
        <v>8.8290057718965753E-3</v>
      </c>
      <c r="N230" s="302">
        <f t="shared" ref="N230:N231" si="185">SUM(K230:M230)</f>
        <v>1.7511167161146071</v>
      </c>
    </row>
    <row r="231" spans="1:14" x14ac:dyDescent="0.25">
      <c r="A231" s="282" t="s">
        <v>363</v>
      </c>
      <c r="B231" s="302">
        <f>SUM(B229:B230)</f>
        <v>24.663162036787874</v>
      </c>
      <c r="C231" s="299" t="str">
        <f>CONCATENATE("(",ROUND((B231/$H231)*100,1),")")</f>
        <v>(65.3)</v>
      </c>
      <c r="D231" s="302">
        <f>SUM(D229:D230)</f>
        <v>7.4815834666477841</v>
      </c>
      <c r="E231" s="299" t="str">
        <f>CONCATENATE("(",ROUND((D231/$H231)*100,1),")")</f>
        <v>(19.8)</v>
      </c>
      <c r="F231" s="302">
        <f>SUM(F229:F230)</f>
        <v>5.6162544965643315</v>
      </c>
      <c r="G231" s="299" t="str">
        <f>CONCATENATE("(",ROUND((F231/$H231)*100,1),")")</f>
        <v>(14.9)</v>
      </c>
      <c r="H231" s="302">
        <f>SUM(H229:H230)</f>
        <v>37.760999999999989</v>
      </c>
      <c r="I231" s="299" t="str">
        <f>CONCATENATE("(",ROUND((H231/$H231)*100,1),")")</f>
        <v>(100)</v>
      </c>
      <c r="K231" s="302">
        <f t="shared" si="182"/>
        <v>2.7065017168458887</v>
      </c>
      <c r="L231" s="302">
        <f t="shared" si="183"/>
        <v>1.358316439069891</v>
      </c>
      <c r="M231" s="302">
        <f t="shared" si="184"/>
        <v>0.74818184408424493</v>
      </c>
      <c r="N231" s="302">
        <f t="shared" si="185"/>
        <v>4.8130000000000246</v>
      </c>
    </row>
    <row r="232" spans="1:14" x14ac:dyDescent="0.25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ht="13" x14ac:dyDescent="0.3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ht="13" x14ac:dyDescent="0.3">
      <c r="N237" s="287" t="s">
        <v>370</v>
      </c>
    </row>
    <row r="238" spans="1:14" ht="13" x14ac:dyDescent="0.3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ht="13" x14ac:dyDescent="0.3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5">
      <c r="A240" s="282" t="s">
        <v>364</v>
      </c>
      <c r="B240" s="302">
        <f>'Ind T6'!L99</f>
        <v>5.1700480775447515</v>
      </c>
      <c r="C240" s="299" t="str">
        <f>CONCATENATE("(",ROUND((B240/$H242)*100,1),")")</f>
        <v>(20.9)</v>
      </c>
      <c r="D240" s="302">
        <f>'Ind T6'!M99</f>
        <v>5.5002548305944421</v>
      </c>
      <c r="E240" s="299" t="str">
        <f>CONCATENATE("(",ROUND((D240/$H242)*100,1),")")</f>
        <v>(22.3)</v>
      </c>
      <c r="F240" s="302">
        <f>'Ind T6'!N99</f>
        <v>0.50036637846638032</v>
      </c>
      <c r="G240" s="299" t="str">
        <f>CONCATENATE("(",ROUND((F240/$H242)*100,1),")")</f>
        <v>(2)</v>
      </c>
      <c r="H240" s="302">
        <f>SUM(B240,D240,F240)</f>
        <v>11.170669286605573</v>
      </c>
      <c r="I240" s="299" t="str">
        <f>CONCATENATE("(",ROUND((H240/$H242)*100,1),")")</f>
        <v>(45.2)</v>
      </c>
      <c r="K240" s="302">
        <f>B245-B240</f>
        <v>0.31991401416086696</v>
      </c>
      <c r="L240" s="302">
        <f>D245-D240</f>
        <v>0.35566897355207683</v>
      </c>
      <c r="M240" s="302">
        <f>F245-F240</f>
        <v>1.8068205839937512E-2</v>
      </c>
      <c r="N240" s="302">
        <f>SUM(K240:M240)</f>
        <v>0.6936511935528813</v>
      </c>
    </row>
    <row r="241" spans="1:14" x14ac:dyDescent="0.25">
      <c r="A241" s="282" t="s">
        <v>365</v>
      </c>
      <c r="B241" s="302">
        <f>'Ind T6'!L98</f>
        <v>4.4010937642990493</v>
      </c>
      <c r="C241" s="299" t="str">
        <f>CONCATENATE("(",ROUND((B241/$H242)*100,1),")")</f>
        <v>(17.8)</v>
      </c>
      <c r="D241" s="302">
        <f>'Ind T6'!M98</f>
        <v>8.3459116396222637</v>
      </c>
      <c r="E241" s="299" t="str">
        <f>CONCATENATE("(",ROUND((D241/$H242)*100,1),")")</f>
        <v>(33.8)</v>
      </c>
      <c r="F241" s="302">
        <f>'Ind T6'!N98</f>
        <v>0.78432530947312851</v>
      </c>
      <c r="G241" s="299" t="str">
        <f>CONCATENATE("(",ROUND((F241/$H242)*100,1),")")</f>
        <v>(3.2)</v>
      </c>
      <c r="H241" s="302">
        <f t="shared" ref="H241" si="186">SUM(B241,D241,F241)</f>
        <v>13.531330713394443</v>
      </c>
      <c r="I241" s="299" t="str">
        <f>CONCATENATE("(",ROUND((H241/$H242)*100,1),")")</f>
        <v>(54.8)</v>
      </c>
      <c r="K241" s="302">
        <f t="shared" ref="K241:K242" si="187">B246-B241</f>
        <v>0.26991333358175051</v>
      </c>
      <c r="L241" s="302">
        <f t="shared" ref="L241:L242" si="188">D246-D241</f>
        <v>0.47525415340774124</v>
      </c>
      <c r="M241" s="302">
        <f t="shared" ref="M241:M242" si="189">F246-F241</f>
        <v>2.6181319457592056E-2</v>
      </c>
      <c r="N241" s="302">
        <f t="shared" ref="N241:N242" si="190">SUM(K241:M241)</f>
        <v>0.77134880644708381</v>
      </c>
    </row>
    <row r="242" spans="1:14" x14ac:dyDescent="0.25">
      <c r="A242" s="282" t="s">
        <v>363</v>
      </c>
      <c r="B242" s="302">
        <f>SUM(B240:B241)</f>
        <v>9.5711418418438008</v>
      </c>
      <c r="C242" s="299" t="str">
        <f>CONCATENATE("(",ROUND((B242/$H242)*100,1),")")</f>
        <v>(38.7)</v>
      </c>
      <c r="D242" s="302">
        <f>SUM(D240:D241)</f>
        <v>13.846166470216705</v>
      </c>
      <c r="E242" s="299" t="str">
        <f>CONCATENATE("(",ROUND((D242/$H242)*100,1),")")</f>
        <v>(56.1)</v>
      </c>
      <c r="F242" s="302">
        <f>SUM(F240:F241)</f>
        <v>1.2846916879395089</v>
      </c>
      <c r="G242" s="299" t="str">
        <f>CONCATENATE("(",ROUND((F242/$H242)*100,1),")")</f>
        <v>(5.2)</v>
      </c>
      <c r="H242" s="302">
        <f>SUM(H240:H241)</f>
        <v>24.702000000000016</v>
      </c>
      <c r="I242" s="299" t="str">
        <f>CONCATENATE("(",ROUND((H242/$H242)*100,1),")")</f>
        <v>(100)</v>
      </c>
      <c r="K242" s="302">
        <f t="shared" si="187"/>
        <v>0.58982734774261658</v>
      </c>
      <c r="L242" s="302">
        <f t="shared" si="188"/>
        <v>0.83092312695981896</v>
      </c>
      <c r="M242" s="302">
        <f t="shared" si="189"/>
        <v>4.4249525297529457E-2</v>
      </c>
      <c r="N242" s="302">
        <f t="shared" si="190"/>
        <v>1.464999999999965</v>
      </c>
    </row>
    <row r="243" spans="1:14" x14ac:dyDescent="0.25">
      <c r="B243" s="302"/>
      <c r="C243" s="284"/>
      <c r="D243" s="302"/>
      <c r="E243" s="284"/>
      <c r="F243" s="302"/>
      <c r="G243" s="284"/>
      <c r="H243" s="302"/>
      <c r="I243" s="284"/>
    </row>
    <row r="244" spans="1:14" ht="13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5">
      <c r="A245" s="282" t="s">
        <v>364</v>
      </c>
      <c r="B245" s="302">
        <f>'Ind T6'!Q99</f>
        <v>5.4899620917056184</v>
      </c>
      <c r="C245" s="299" t="str">
        <f>CONCATENATE("(",ROUND((B245/$H247)*100,1),")")</f>
        <v>(21)</v>
      </c>
      <c r="D245" s="302">
        <f>'Ind T6'!R99</f>
        <v>5.8559238041465189</v>
      </c>
      <c r="E245" s="299" t="str">
        <f>CONCATENATE("(",ROUND((D245/$H247)*100,1),")")</f>
        <v>(22.4)</v>
      </c>
      <c r="F245" s="302">
        <f>'Ind T6'!S99</f>
        <v>0.51843458430631784</v>
      </c>
      <c r="G245" s="299" t="str">
        <f>CONCATENATE("(",ROUND((F245/$H247)*100,1),")")</f>
        <v>(2)</v>
      </c>
      <c r="H245" s="302">
        <f>SUM(B245,D245,F245)</f>
        <v>11.864320480158456</v>
      </c>
      <c r="I245" s="299" t="str">
        <f>CONCATENATE("(",ROUND((H245/$H247)*100,1),")")</f>
        <v>(45.3)</v>
      </c>
      <c r="K245" s="302">
        <f>B250-B245</f>
        <v>0.75869053194140434</v>
      </c>
      <c r="L245" s="302">
        <f>D250-D245</f>
        <v>0.69299621486395857</v>
      </c>
      <c r="M245" s="302">
        <f>F250-F245</f>
        <v>5.8216751336067407E-2</v>
      </c>
      <c r="N245" s="302">
        <f>SUM(K245:M245)</f>
        <v>1.5099034981414303</v>
      </c>
    </row>
    <row r="246" spans="1:14" x14ac:dyDescent="0.25">
      <c r="A246" s="282" t="s">
        <v>365</v>
      </c>
      <c r="B246" s="302">
        <f>'Ind T6'!Q98</f>
        <v>4.6710070978807998</v>
      </c>
      <c r="C246" s="299" t="str">
        <f>CONCATENATE("(",ROUND((B246/$H247)*100,1),")")</f>
        <v>(17.9)</v>
      </c>
      <c r="D246" s="302">
        <f>'Ind T6'!R98</f>
        <v>8.8211657930300049</v>
      </c>
      <c r="E246" s="299" t="str">
        <f>CONCATENATE("(",ROUND((D246/$H247)*100,1),")")</f>
        <v>(33.7)</v>
      </c>
      <c r="F246" s="302">
        <f>'Ind T6'!S98</f>
        <v>0.81050662893072056</v>
      </c>
      <c r="G246" s="299" t="str">
        <f>CONCATENATE("(",ROUND((F246/$H247)*100,1),")")</f>
        <v>(3.1)</v>
      </c>
      <c r="H246" s="302">
        <f t="shared" ref="H246" si="191">SUM(B246,D246,F246)</f>
        <v>14.302679519841526</v>
      </c>
      <c r="I246" s="299" t="str">
        <f>CONCATENATE("(",ROUND((H246/$H247)*100,1),")")</f>
        <v>(54.7)</v>
      </c>
      <c r="K246" s="302">
        <f t="shared" ref="K246:K247" si="192">B251-B246</f>
        <v>0.60889682568864778</v>
      </c>
      <c r="L246" s="302">
        <f t="shared" ref="L246:L247" si="193">D251-D246</f>
        <v>0.97654271407130366</v>
      </c>
      <c r="M246" s="302">
        <f t="shared" ref="M246:M247" si="194">F251-F246</f>
        <v>8.9656962098656701E-2</v>
      </c>
      <c r="N246" s="302">
        <f t="shared" ref="N246:N247" si="195">SUM(K246:M246)</f>
        <v>1.6750965018586081</v>
      </c>
    </row>
    <row r="247" spans="1:14" x14ac:dyDescent="0.25">
      <c r="A247" s="282" t="s">
        <v>363</v>
      </c>
      <c r="B247" s="302">
        <f>SUM(B245:B246)</f>
        <v>10.160969189586417</v>
      </c>
      <c r="C247" s="299" t="str">
        <f>CONCATENATE("(",ROUND((B247/$H247)*100,1),")")</f>
        <v>(38.8)</v>
      </c>
      <c r="D247" s="302">
        <f>SUM(D245:D246)</f>
        <v>14.677089597176524</v>
      </c>
      <c r="E247" s="299" t="str">
        <f>CONCATENATE("(",ROUND((D247/$H247)*100,1),")")</f>
        <v>(56.1)</v>
      </c>
      <c r="F247" s="302">
        <f>SUM(F245:F246)</f>
        <v>1.3289412132370384</v>
      </c>
      <c r="G247" s="299" t="str">
        <f>CONCATENATE("(",ROUND((F247/$H247)*100,1),")")</f>
        <v>(5.1)</v>
      </c>
      <c r="H247" s="302">
        <f>SUM(H245:H246)</f>
        <v>26.16699999999998</v>
      </c>
      <c r="I247" s="299" t="str">
        <f>CONCATENATE("(",ROUND((H247/$H247)*100,1),")")</f>
        <v>(100)</v>
      </c>
      <c r="K247" s="302">
        <f t="shared" si="192"/>
        <v>1.3675873576300539</v>
      </c>
      <c r="L247" s="302">
        <f t="shared" si="193"/>
        <v>1.6695389289352622</v>
      </c>
      <c r="M247" s="302">
        <f t="shared" si="194"/>
        <v>0.14787371343472411</v>
      </c>
      <c r="N247" s="302">
        <f t="shared" si="195"/>
        <v>3.1850000000000405</v>
      </c>
    </row>
    <row r="248" spans="1:14" x14ac:dyDescent="0.25">
      <c r="B248" s="302"/>
      <c r="C248" s="284"/>
      <c r="D248" s="302"/>
      <c r="E248" s="284"/>
      <c r="F248" s="302"/>
      <c r="G248" s="284"/>
      <c r="H248" s="302"/>
      <c r="I248" s="284"/>
    </row>
    <row r="249" spans="1:14" ht="13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5">
      <c r="A250" s="282" t="s">
        <v>364</v>
      </c>
      <c r="B250" s="302">
        <f>'Ind T6'!V99</f>
        <v>6.2486526236470228</v>
      </c>
      <c r="C250" s="299" t="str">
        <f>CONCATENATE("(",ROUND((B250/$H252)*100,1),")")</f>
        <v>(21.3)</v>
      </c>
      <c r="D250" s="302">
        <f>'Ind T6'!W99</f>
        <v>6.5489200190104775</v>
      </c>
      <c r="E250" s="299" t="str">
        <f>CONCATENATE("(",ROUND((D250/$H252)*100,1),")")</f>
        <v>(22.3)</v>
      </c>
      <c r="F250" s="302">
        <f>'Ind T6'!X99</f>
        <v>0.57665133564238524</v>
      </c>
      <c r="G250" s="299" t="str">
        <f>CONCATENATE("(",ROUND((F250/$H252)*100,1),")")</f>
        <v>(2)</v>
      </c>
      <c r="H250" s="302">
        <f>SUM(B250,D250,F250)</f>
        <v>13.374223978299884</v>
      </c>
      <c r="I250" s="299" t="str">
        <f>CONCATENATE("(",ROUND((H250/$H252)*100,1),")")</f>
        <v>(45.6)</v>
      </c>
      <c r="K250" s="302">
        <f>B250-B240</f>
        <v>1.0786045461022713</v>
      </c>
      <c r="L250" s="302">
        <f>D250-D240</f>
        <v>1.0486651884160354</v>
      </c>
      <c r="M250" s="302">
        <f>F250-F240</f>
        <v>7.6284957176004919E-2</v>
      </c>
      <c r="N250" s="302">
        <f>SUM(K250:M250)</f>
        <v>2.2035546916943116</v>
      </c>
    </row>
    <row r="251" spans="1:14" x14ac:dyDescent="0.25">
      <c r="A251" s="282" t="s">
        <v>365</v>
      </c>
      <c r="B251" s="302">
        <f>'Ind T6'!V98</f>
        <v>5.2799039235694476</v>
      </c>
      <c r="C251" s="299" t="str">
        <f>CONCATENATE("(",ROUND((B251/$H252)*100,1),")")</f>
        <v>(18)</v>
      </c>
      <c r="D251" s="302">
        <f>'Ind T6'!W98</f>
        <v>9.7977085071013086</v>
      </c>
      <c r="E251" s="299" t="str">
        <f>CONCATENATE("(",ROUND((D251/$H252)*100,1),")")</f>
        <v>(33.4)</v>
      </c>
      <c r="F251" s="302">
        <f>'Ind T6'!X98</f>
        <v>0.90016359102937726</v>
      </c>
      <c r="G251" s="299" t="str">
        <f>CONCATENATE("(",ROUND((F251/$H252)*100,1),")")</f>
        <v>(3.1)</v>
      </c>
      <c r="H251" s="302">
        <f t="shared" ref="H251" si="196">SUM(B251,D251,F251)</f>
        <v>15.977776021700134</v>
      </c>
      <c r="I251" s="299" t="str">
        <f>CONCATENATE("(",ROUND((H251/$H252)*100,1),")")</f>
        <v>(54.4)</v>
      </c>
      <c r="K251" s="302">
        <f t="shared" ref="K251:K252" si="197">B251-B241</f>
        <v>0.87881015927039829</v>
      </c>
      <c r="L251" s="302">
        <f t="shared" ref="L251:L252" si="198">D251-D241</f>
        <v>1.4517968674790449</v>
      </c>
      <c r="M251" s="302">
        <f t="shared" ref="M251:M252" si="199">F251-F241</f>
        <v>0.11583828155624876</v>
      </c>
      <c r="N251" s="302">
        <f t="shared" ref="N251:N252" si="200">SUM(K251:M251)</f>
        <v>2.4464453083056918</v>
      </c>
    </row>
    <row r="252" spans="1:14" x14ac:dyDescent="0.25">
      <c r="A252" s="282" t="s">
        <v>363</v>
      </c>
      <c r="B252" s="302">
        <f>SUM(B250:B251)</f>
        <v>11.528556547216471</v>
      </c>
      <c r="C252" s="299" t="str">
        <f>CONCATENATE("(",ROUND((B252/$H252)*100,1),")")</f>
        <v>(39.3)</v>
      </c>
      <c r="D252" s="302">
        <f>SUM(D250:D251)</f>
        <v>16.346628526111786</v>
      </c>
      <c r="E252" s="299" t="str">
        <f>CONCATENATE("(",ROUND((D252/$H252)*100,1),")")</f>
        <v>(55.7)</v>
      </c>
      <c r="F252" s="302">
        <f>SUM(F250:F251)</f>
        <v>1.4768149266717625</v>
      </c>
      <c r="G252" s="299" t="str">
        <f>CONCATENATE("(",ROUND((F252/$H252)*100,1),")")</f>
        <v>(5)</v>
      </c>
      <c r="H252" s="302">
        <f>SUM(H250:H251)</f>
        <v>29.352000000000018</v>
      </c>
      <c r="I252" s="299" t="str">
        <f>CONCATENATE("(",ROUND((H252/$H252)*100,1),")")</f>
        <v>(100)</v>
      </c>
      <c r="K252" s="302">
        <f t="shared" si="197"/>
        <v>1.9574147053726705</v>
      </c>
      <c r="L252" s="302">
        <f t="shared" si="198"/>
        <v>2.5004620558950812</v>
      </c>
      <c r="M252" s="302">
        <f t="shared" si="199"/>
        <v>0.19212323873225357</v>
      </c>
      <c r="N252" s="302">
        <f t="shared" si="200"/>
        <v>4.6500000000000057</v>
      </c>
    </row>
    <row r="253" spans="1:14" x14ac:dyDescent="0.25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ht="13" x14ac:dyDescent="0.3">
      <c r="C256" s="182"/>
      <c r="E256" s="182"/>
      <c r="G256" s="182"/>
      <c r="I256" s="182"/>
    </row>
    <row r="257" spans="1:14" ht="13" x14ac:dyDescent="0.3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ht="13" x14ac:dyDescent="0.3">
      <c r="N258" s="287" t="s">
        <v>370</v>
      </c>
    </row>
    <row r="259" spans="1:14" ht="13" x14ac:dyDescent="0.3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ht="13" x14ac:dyDescent="0.3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5">
      <c r="A261" s="282" t="s">
        <v>364</v>
      </c>
      <c r="B261" s="302">
        <f>'Ind T6'!L108</f>
        <v>0.34929499188088309</v>
      </c>
      <c r="C261" s="299" t="str">
        <f>CONCATENATE("(",ROUND((B261/$H263)*100,1),")")</f>
        <v>(16.6)</v>
      </c>
      <c r="D261" s="302">
        <f>'Ind T6'!M108</f>
        <v>0.20383227175824442</v>
      </c>
      <c r="E261" s="299" t="str">
        <f>CONCATENATE("(",ROUND((D261/$H263)*100,1),")")</f>
        <v>(9.7)</v>
      </c>
      <c r="F261" s="302">
        <f>'Ind T6'!N108</f>
        <v>0.7593312102155082</v>
      </c>
      <c r="G261" s="299" t="str">
        <f>CONCATENATE("(",ROUND((F261/$H263)*100,1),")")</f>
        <v>(36)</v>
      </c>
      <c r="H261" s="302">
        <f>SUM(B261,D261,F261)</f>
        <v>1.3124584738546359</v>
      </c>
      <c r="I261" s="299" t="str">
        <f>CONCATENATE("(",ROUND((H261/$H263)*100,1),")")</f>
        <v>(62.2)</v>
      </c>
      <c r="K261" s="302">
        <f>B266-B261</f>
        <v>-9.3186184345022127E-3</v>
      </c>
      <c r="L261" s="302">
        <f>D266-D261</f>
        <v>5.0895446837451452E-3</v>
      </c>
      <c r="M261" s="302">
        <f>F266-F261</f>
        <v>-1.140958426959271E-2</v>
      </c>
      <c r="N261" s="302">
        <f>SUM(K261:M261)</f>
        <v>-1.5638658020349777E-2</v>
      </c>
    </row>
    <row r="262" spans="1:14" x14ac:dyDescent="0.25">
      <c r="A262" s="282" t="s">
        <v>365</v>
      </c>
      <c r="B262" s="302">
        <f>'Ind T6'!L107</f>
        <v>0.21410952915744799</v>
      </c>
      <c r="C262" s="299" t="str">
        <f>CONCATENATE("(",ROUND((B262/$H263)*100,1),")")</f>
        <v>(10.1)</v>
      </c>
      <c r="D262" s="302">
        <f>'Ind T6'!M107</f>
        <v>0.29369239414942688</v>
      </c>
      <c r="E262" s="299" t="str">
        <f>CONCATENATE("(",ROUND((D262/$H263)*100,1),")")</f>
        <v>(13.9)</v>
      </c>
      <c r="F262" s="302">
        <f>'Ind T6'!N107</f>
        <v>0.28973960283849154</v>
      </c>
      <c r="G262" s="299" t="str">
        <f>CONCATENATE("(",ROUND((F262/$H263)*100,1),")")</f>
        <v>(13.7)</v>
      </c>
      <c r="H262" s="302">
        <f t="shared" ref="H262" si="201">SUM(B262,D262,F262)</f>
        <v>0.79754152614536644</v>
      </c>
      <c r="I262" s="299" t="str">
        <f>CONCATENATE("(",ROUND((H262/$H263)*100,1),")")</f>
        <v>(37.8)</v>
      </c>
      <c r="K262" s="302">
        <f t="shared" ref="K262:K263" si="202">B267-B262</f>
        <v>-4.7917774928176726E-3</v>
      </c>
      <c r="L262" s="302">
        <f t="shared" ref="L262:L263" si="203">D267-D262</f>
        <v>-2.2840740581003272E-3</v>
      </c>
      <c r="M262" s="302">
        <f t="shared" ref="M262:M263" si="204">F267-F262</f>
        <v>-9.2854904287325013E-3</v>
      </c>
      <c r="N262" s="302">
        <f t="shared" ref="N262:N263" si="205">SUM(K262:M262)</f>
        <v>-1.6361341979650501E-2</v>
      </c>
    </row>
    <row r="263" spans="1:14" x14ac:dyDescent="0.25">
      <c r="A263" s="282" t="s">
        <v>363</v>
      </c>
      <c r="B263" s="302">
        <f>SUM(B261:B262)</f>
        <v>0.56340452103833105</v>
      </c>
      <c r="C263" s="299" t="str">
        <f>CONCATENATE("(",ROUND((B263/$H263)*100,1),")")</f>
        <v>(26.7)</v>
      </c>
      <c r="D263" s="302">
        <f>SUM(D261:D262)</f>
        <v>0.4975246659076713</v>
      </c>
      <c r="E263" s="299" t="str">
        <f>CONCATENATE("(",ROUND((D263/$H263)*100,1),")")</f>
        <v>(23.6)</v>
      </c>
      <c r="F263" s="302">
        <f>SUM(F261:F262)</f>
        <v>1.0490708130539996</v>
      </c>
      <c r="G263" s="299" t="str">
        <f>CONCATENATE("(",ROUND((F263/$H263)*100,1),")")</f>
        <v>(49.7)</v>
      </c>
      <c r="H263" s="302">
        <f>SUM(H261:H262)</f>
        <v>2.1100000000000021</v>
      </c>
      <c r="I263" s="299" t="str">
        <f>CONCATENATE("(",ROUND((H263/$H263)*100,1),")")</f>
        <v>(100)</v>
      </c>
      <c r="K263" s="302">
        <f t="shared" si="202"/>
        <v>-1.4110395927319885E-2</v>
      </c>
      <c r="L263" s="302">
        <f t="shared" si="203"/>
        <v>2.8054706256448458E-3</v>
      </c>
      <c r="M263" s="302">
        <f t="shared" si="204"/>
        <v>-2.0695074698325211E-2</v>
      </c>
      <c r="N263" s="302">
        <f t="shared" si="205"/>
        <v>-3.200000000000025E-2</v>
      </c>
    </row>
    <row r="264" spans="1:14" x14ac:dyDescent="0.25">
      <c r="B264" s="302"/>
      <c r="C264" s="284"/>
      <c r="D264" s="302"/>
      <c r="E264" s="284"/>
      <c r="F264" s="302"/>
      <c r="G264" s="284"/>
      <c r="H264" s="302"/>
      <c r="I264" s="284"/>
    </row>
    <row r="265" spans="1:14" ht="13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5">
      <c r="A266" s="282" t="s">
        <v>364</v>
      </c>
      <c r="B266" s="302">
        <f>'Ind T6'!Q108</f>
        <v>0.33997637344638088</v>
      </c>
      <c r="C266" s="299" t="str">
        <f>CONCATENATE("(",ROUND((B266/$H268)*100,1),")")</f>
        <v>(16.4)</v>
      </c>
      <c r="D266" s="302">
        <f>'Ind T6'!R108</f>
        <v>0.20892181644198957</v>
      </c>
      <c r="E266" s="299" t="str">
        <f>CONCATENATE("(",ROUND((D266/$H268)*100,1),")")</f>
        <v>(10.1)</v>
      </c>
      <c r="F266" s="302">
        <f>'Ind T6'!S108</f>
        <v>0.74792162594591549</v>
      </c>
      <c r="G266" s="299" t="str">
        <f>CONCATENATE("(",ROUND((F266/$H268)*100,1),")")</f>
        <v>(36)</v>
      </c>
      <c r="H266" s="302">
        <f>SUM(B266,D266,F266)</f>
        <v>1.2968198158342861</v>
      </c>
      <c r="I266" s="299" t="str">
        <f>CONCATENATE("(",ROUND((H266/$H268)*100,1),")")</f>
        <v>(62.4)</v>
      </c>
      <c r="K266" s="302">
        <f>B271-B266</f>
        <v>-3.8815286624915846E-4</v>
      </c>
      <c r="L266" s="302">
        <f>D271-D266</f>
        <v>1.6109695370023325E-2</v>
      </c>
      <c r="M266" s="302">
        <f>F271-F266</f>
        <v>1.4473022071927133E-2</v>
      </c>
      <c r="N266" s="302">
        <f>SUM(K266:M266)</f>
        <v>3.0194564575701299E-2</v>
      </c>
    </row>
    <row r="267" spans="1:14" x14ac:dyDescent="0.25">
      <c r="A267" s="282" t="s">
        <v>365</v>
      </c>
      <c r="B267" s="302">
        <f>'Ind T6'!Q107</f>
        <v>0.20931775166463032</v>
      </c>
      <c r="C267" s="299" t="str">
        <f>CONCATENATE("(",ROUND((B267/$H268)*100,1),")")</f>
        <v>(10.1)</v>
      </c>
      <c r="D267" s="302">
        <f>'Ind T6'!R107</f>
        <v>0.29140832009132656</v>
      </c>
      <c r="E267" s="299" t="str">
        <f>CONCATENATE("(",ROUND((D267/$H268)*100,1),")")</f>
        <v>(14)</v>
      </c>
      <c r="F267" s="302">
        <f>'Ind T6'!S107</f>
        <v>0.28045411240975904</v>
      </c>
      <c r="G267" s="299" t="str">
        <f>CONCATENATE("(",ROUND((F267/$H268)*100,1),")")</f>
        <v>(13.5)</v>
      </c>
      <c r="H267" s="302">
        <f t="shared" ref="H267" si="206">SUM(B267,D267,F267)</f>
        <v>0.78118018416571589</v>
      </c>
      <c r="I267" s="299" t="str">
        <f>CONCATENATE("(",ROUND((H267/$H268)*100,1),")")</f>
        <v>(37.6)</v>
      </c>
      <c r="K267" s="302">
        <f t="shared" ref="K267:K268" si="207">B272-B267</f>
        <v>3.7313917593611023E-3</v>
      </c>
      <c r="L267" s="302">
        <f t="shared" ref="L267:L268" si="208">D272-D267</f>
        <v>3.5422863779617786E-3</v>
      </c>
      <c r="M267" s="302">
        <f t="shared" ref="M267:M268" si="209">F272-F267</f>
        <v>-9.4682427130271529E-3</v>
      </c>
      <c r="N267" s="302">
        <f t="shared" ref="N267:N268" si="210">SUM(K267:M267)</f>
        <v>-2.194564575704272E-3</v>
      </c>
    </row>
    <row r="268" spans="1:14" x14ac:dyDescent="0.25">
      <c r="A268" s="282" t="s">
        <v>363</v>
      </c>
      <c r="B268" s="302">
        <f>SUM(B266:B267)</f>
        <v>0.54929412511101117</v>
      </c>
      <c r="C268" s="299" t="str">
        <f>CONCATENATE("(",ROUND((B268/$H268)*100,1),")")</f>
        <v>(26.4)</v>
      </c>
      <c r="D268" s="302">
        <f>SUM(D266:D267)</f>
        <v>0.50033013653331615</v>
      </c>
      <c r="E268" s="299" t="str">
        <f>CONCATENATE("(",ROUND((D268/$H268)*100,1),")")</f>
        <v>(24.1)</v>
      </c>
      <c r="F268" s="302">
        <f>SUM(F266:F267)</f>
        <v>1.0283757383556744</v>
      </c>
      <c r="G268" s="299" t="str">
        <f>CONCATENATE("(",ROUND((F268/$H268)*100,1),")")</f>
        <v>(49.5)</v>
      </c>
      <c r="H268" s="302">
        <f>SUM(H266:H267)</f>
        <v>2.0780000000000021</v>
      </c>
      <c r="I268" s="299" t="str">
        <f>CONCATENATE("(",ROUND((H268/$H268)*100,1),")")</f>
        <v>(100)</v>
      </c>
      <c r="K268" s="302">
        <f t="shared" si="207"/>
        <v>3.3432388931119439E-3</v>
      </c>
      <c r="L268" s="302">
        <f t="shared" si="208"/>
        <v>1.9651981747985103E-2</v>
      </c>
      <c r="M268" s="302">
        <f t="shared" si="209"/>
        <v>5.0047793589000911E-3</v>
      </c>
      <c r="N268" s="302">
        <f t="shared" si="210"/>
        <v>2.7999999999997138E-2</v>
      </c>
    </row>
    <row r="269" spans="1:14" x14ac:dyDescent="0.25">
      <c r="B269" s="302"/>
      <c r="C269" s="284"/>
      <c r="D269" s="302"/>
      <c r="E269" s="284"/>
      <c r="F269" s="302"/>
      <c r="G269" s="284"/>
      <c r="H269" s="302"/>
      <c r="I269" s="284"/>
    </row>
    <row r="270" spans="1:14" ht="13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5">
      <c r="A271" s="282" t="s">
        <v>364</v>
      </c>
      <c r="B271" s="302">
        <f>'Ind T6'!V108</f>
        <v>0.33958822058013172</v>
      </c>
      <c r="C271" s="299" t="str">
        <f>CONCATENATE("(",ROUND((B271/$H273)*100,1),")")</f>
        <v>(16.1)</v>
      </c>
      <c r="D271" s="302">
        <f>'Ind T6'!W108</f>
        <v>0.22503151181201289</v>
      </c>
      <c r="E271" s="299" t="str">
        <f>CONCATENATE("(",ROUND((D271/$H273)*100,1),")")</f>
        <v>(10.7)</v>
      </c>
      <c r="F271" s="302">
        <f>'Ind T6'!X108</f>
        <v>0.76239464801784262</v>
      </c>
      <c r="G271" s="299" t="str">
        <f>CONCATENATE("(",ROUND((F271/$H273)*100,1),")")</f>
        <v>(36.2)</v>
      </c>
      <c r="H271" s="302">
        <f>SUM(B271,D271,F271)</f>
        <v>1.3270143804099872</v>
      </c>
      <c r="I271" s="299" t="str">
        <f>CONCATENATE("(",ROUND((H271/$H273)*100,1),")")</f>
        <v>(63)</v>
      </c>
      <c r="K271" s="302">
        <f>B271-B261</f>
        <v>-9.7067713007513712E-3</v>
      </c>
      <c r="L271" s="302">
        <f>D271-D261</f>
        <v>2.119924005376847E-2</v>
      </c>
      <c r="M271" s="302">
        <f>F271-F261</f>
        <v>3.0634378023344233E-3</v>
      </c>
      <c r="N271" s="302">
        <f>SUM(K271:M271)</f>
        <v>1.4555906555351522E-2</v>
      </c>
    </row>
    <row r="272" spans="1:14" x14ac:dyDescent="0.25">
      <c r="A272" s="282" t="s">
        <v>365</v>
      </c>
      <c r="B272" s="302">
        <f>'Ind T6'!V107</f>
        <v>0.21304914342399142</v>
      </c>
      <c r="C272" s="299" t="str">
        <f>CONCATENATE("(",ROUND((B272/$H273)*100,1),")")</f>
        <v>(10.1)</v>
      </c>
      <c r="D272" s="302">
        <f>'Ind T6'!W107</f>
        <v>0.29495060646928833</v>
      </c>
      <c r="E272" s="299" t="str">
        <f>CONCATENATE("(",ROUND((D272/$H273)*100,1),")")</f>
        <v>(14)</v>
      </c>
      <c r="F272" s="302">
        <f>'Ind T6'!X107</f>
        <v>0.27098586969673188</v>
      </c>
      <c r="G272" s="299" t="str">
        <f>CONCATENATE("(",ROUND((F272/$H273)*100,1),")")</f>
        <v>(12.9)</v>
      </c>
      <c r="H272" s="302">
        <f t="shared" ref="H272" si="211">SUM(B272,D272,F272)</f>
        <v>0.77898561959001167</v>
      </c>
      <c r="I272" s="299" t="str">
        <f>CONCATENATE("(",ROUND((H272/$H273)*100,1),")")</f>
        <v>(37)</v>
      </c>
      <c r="K272" s="302">
        <f t="shared" ref="K272:K273" si="212">B272-B262</f>
        <v>-1.0603857334565703E-3</v>
      </c>
      <c r="L272" s="302">
        <f t="shared" ref="L272:L273" si="213">D272-D262</f>
        <v>1.2582123198614514E-3</v>
      </c>
      <c r="M272" s="302">
        <f t="shared" ref="M272:M273" si="214">F272-F262</f>
        <v>-1.8753733141759654E-2</v>
      </c>
      <c r="N272" s="302">
        <f t="shared" ref="N272:N273" si="215">SUM(K272:M272)</f>
        <v>-1.8555906555354773E-2</v>
      </c>
    </row>
    <row r="273" spans="1:14" x14ac:dyDescent="0.25">
      <c r="A273" s="282" t="s">
        <v>363</v>
      </c>
      <c r="B273" s="302">
        <f>SUM(B271:B272)</f>
        <v>0.55263736400412311</v>
      </c>
      <c r="C273" s="299" t="str">
        <f>CONCATENATE("(",ROUND((B273/$H273)*100,1),")")</f>
        <v>(26.2)</v>
      </c>
      <c r="D273" s="302">
        <f>SUM(D271:D272)</f>
        <v>0.51998211828130125</v>
      </c>
      <c r="E273" s="299" t="str">
        <f>CONCATENATE("(",ROUND((D273/$H273)*100,1),")")</f>
        <v>(24.7)</v>
      </c>
      <c r="F273" s="302">
        <f>SUM(F271:F272)</f>
        <v>1.0333805177145745</v>
      </c>
      <c r="G273" s="299" t="str">
        <f>CONCATENATE("(",ROUND((F273/$H273)*100,1),")")</f>
        <v>(49.1)</v>
      </c>
      <c r="H273" s="302">
        <f>SUM(H271:H272)</f>
        <v>2.105999999999999</v>
      </c>
      <c r="I273" s="299" t="str">
        <f>CONCATENATE("(",ROUND((H273/$H273)*100,1),")")</f>
        <v>(100)</v>
      </c>
      <c r="K273" s="302">
        <f t="shared" si="212"/>
        <v>-1.0767157034207941E-2</v>
      </c>
      <c r="L273" s="302">
        <f t="shared" si="213"/>
        <v>2.2457452373629949E-2</v>
      </c>
      <c r="M273" s="302">
        <f t="shared" si="214"/>
        <v>-1.569029533942512E-2</v>
      </c>
      <c r="N273" s="302">
        <f t="shared" si="215"/>
        <v>-4.0000000000031122E-3</v>
      </c>
    </row>
    <row r="274" spans="1:14" x14ac:dyDescent="0.25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ht="13" x14ac:dyDescent="0.3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ht="13" x14ac:dyDescent="0.3">
      <c r="N279" s="287" t="s">
        <v>370</v>
      </c>
    </row>
    <row r="280" spans="1:14" ht="13" x14ac:dyDescent="0.3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ht="13" x14ac:dyDescent="0.3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5">
      <c r="A282" s="282" t="s">
        <v>364</v>
      </c>
      <c r="B282" s="302">
        <f>'Ind T6'!L117</f>
        <v>3.7542693200460611</v>
      </c>
      <c r="C282" s="299" t="str">
        <f>CONCATENATE("(",ROUND((B282/$H284)*100,1),")")</f>
        <v>(54.6)</v>
      </c>
      <c r="D282" s="302">
        <f>'Ind T6'!M117</f>
        <v>0.19940931017218422</v>
      </c>
      <c r="E282" s="299" t="str">
        <f>CONCATENATE("(",ROUND((D282/$H284)*100,1),")")</f>
        <v>(2.9)</v>
      </c>
      <c r="F282" s="302">
        <f>'Ind T6'!N117</f>
        <v>0.94832997681598896</v>
      </c>
      <c r="G282" s="299" t="str">
        <f>CONCATENATE("(",ROUND((F282/$H284)*100,1),")")</f>
        <v>(13.8)</v>
      </c>
      <c r="H282" s="302">
        <f>SUM(B282,D282,F282)</f>
        <v>4.9020086070342339</v>
      </c>
      <c r="I282" s="299" t="str">
        <f>CONCATENATE("(",ROUND((H282/$H284)*100,1),")")</f>
        <v>(71.3)</v>
      </c>
      <c r="K282" s="302">
        <f>B287-B282</f>
        <v>0.10660041736979542</v>
      </c>
      <c r="L282" s="302">
        <f>D287-D282</f>
        <v>8.6332525637013435E-3</v>
      </c>
      <c r="M282" s="302">
        <f>F287-F282</f>
        <v>5.6674181791532163E-2</v>
      </c>
      <c r="N282" s="302">
        <f>SUM(K282:M282)</f>
        <v>0.17190785172502893</v>
      </c>
    </row>
    <row r="283" spans="1:14" x14ac:dyDescent="0.25">
      <c r="A283" s="282" t="s">
        <v>365</v>
      </c>
      <c r="B283" s="302">
        <f>'Ind T6'!L116</f>
        <v>1.5035442654869027</v>
      </c>
      <c r="C283" s="299" t="str">
        <f>CONCATENATE("(",ROUND((B283/$H284)*100,1),")")</f>
        <v>(21.9)</v>
      </c>
      <c r="D283" s="302">
        <f>'Ind T6'!M116</f>
        <v>0.3188809085103948</v>
      </c>
      <c r="E283" s="299" t="str">
        <f>CONCATENATE("(",ROUND((D283/$H284)*100,1),")")</f>
        <v>(4.6)</v>
      </c>
      <c r="F283" s="302">
        <f>'Ind T6'!N116</f>
        <v>0.14856621896845162</v>
      </c>
      <c r="G283" s="299" t="str">
        <f>CONCATENATE("(",ROUND((F283/$H284)*100,1),")")</f>
        <v>(2.2)</v>
      </c>
      <c r="H283" s="302">
        <f t="shared" ref="H283" si="216">SUM(B283,D283,F283)</f>
        <v>1.970991392965749</v>
      </c>
      <c r="I283" s="299" t="str">
        <f>CONCATENATE("(",ROUND((H283/$H284)*100,1),")")</f>
        <v>(28.7)</v>
      </c>
      <c r="K283" s="302">
        <f t="shared" ref="K283:K284" si="217">B288-B283</f>
        <v>9.0473319356518145E-2</v>
      </c>
      <c r="L283" s="302">
        <f t="shared" ref="L283:L284" si="218">D288-D283</f>
        <v>6.8699463018078721E-3</v>
      </c>
      <c r="M283" s="302">
        <f t="shared" ref="M283:M284" si="219">F288-F283</f>
        <v>7.7488826166650926E-3</v>
      </c>
      <c r="N283" s="302">
        <f t="shared" ref="N283:N284" si="220">SUM(K283:M283)</f>
        <v>0.10509214827499111</v>
      </c>
    </row>
    <row r="284" spans="1:14" x14ac:dyDescent="0.25">
      <c r="A284" s="282" t="s">
        <v>363</v>
      </c>
      <c r="B284" s="302">
        <f>SUM(B282:B283)</f>
        <v>5.257813585532964</v>
      </c>
      <c r="C284" s="299" t="str">
        <f>CONCATENATE("(",ROUND((B284/$H284)*100,1),")")</f>
        <v>(76.5)</v>
      </c>
      <c r="D284" s="302">
        <f>SUM(D282:D283)</f>
        <v>0.51829021868257907</v>
      </c>
      <c r="E284" s="299" t="str">
        <f>CONCATENATE("(",ROUND((D284/$H284)*100,1),")")</f>
        <v>(7.5)</v>
      </c>
      <c r="F284" s="302">
        <f>SUM(F282:F283)</f>
        <v>1.0968961957844405</v>
      </c>
      <c r="G284" s="299" t="str">
        <f>CONCATENATE("(",ROUND((F284/$H284)*100,1),")")</f>
        <v>(16)</v>
      </c>
      <c r="H284" s="302">
        <f>SUM(H282:H283)</f>
        <v>6.8729999999999833</v>
      </c>
      <c r="I284" s="299" t="str">
        <f>CONCATENATE("(",ROUND((H284/$H284)*100,1),")")</f>
        <v>(100)</v>
      </c>
      <c r="K284" s="302">
        <f t="shared" si="217"/>
        <v>0.19707373672631334</v>
      </c>
      <c r="L284" s="302">
        <f t="shared" si="218"/>
        <v>1.5503198865509216E-2</v>
      </c>
      <c r="M284" s="302">
        <f t="shared" si="219"/>
        <v>6.4423064408197339E-2</v>
      </c>
      <c r="N284" s="302">
        <f t="shared" si="220"/>
        <v>0.2770000000000199</v>
      </c>
    </row>
    <row r="285" spans="1:14" x14ac:dyDescent="0.25">
      <c r="B285" s="302"/>
      <c r="C285" s="284"/>
      <c r="D285" s="302"/>
      <c r="E285" s="284"/>
      <c r="F285" s="302"/>
      <c r="G285" s="284"/>
      <c r="H285" s="302"/>
      <c r="I285" s="284"/>
    </row>
    <row r="286" spans="1:14" ht="13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5">
      <c r="A287" s="282" t="s">
        <v>364</v>
      </c>
      <c r="B287" s="302">
        <f>'Ind T6'!Q117</f>
        <v>3.8608697374158565</v>
      </c>
      <c r="C287" s="299" t="str">
        <f>CONCATENATE("(",ROUND((B287/$H289)*100,1),")")</f>
        <v>(54)</v>
      </c>
      <c r="D287" s="302">
        <f>'Ind T6'!R117</f>
        <v>0.20804256273588556</v>
      </c>
      <c r="E287" s="299" t="str">
        <f>CONCATENATE("(",ROUND((D287/$H289)*100,1),")")</f>
        <v>(2.9)</v>
      </c>
      <c r="F287" s="302">
        <f>'Ind T6'!S117</f>
        <v>1.0050041586075211</v>
      </c>
      <c r="G287" s="299" t="str">
        <f>CONCATENATE("(",ROUND((F287/$H289)*100,1),")")</f>
        <v>(14.1)</v>
      </c>
      <c r="H287" s="302">
        <f>SUM(B287,D287,F287)</f>
        <v>5.0739164587592631</v>
      </c>
      <c r="I287" s="299" t="str">
        <f>CONCATENATE("(",ROUND((H287/$H289)*100,1),")")</f>
        <v>(71)</v>
      </c>
      <c r="K287" s="302">
        <f>B292-B287</f>
        <v>6.4330237652235223E-2</v>
      </c>
      <c r="L287" s="302">
        <f>D292-D287</f>
        <v>7.4991039278550775E-3</v>
      </c>
      <c r="M287" s="302">
        <f>F292-F287</f>
        <v>5.0854998101022231E-2</v>
      </c>
      <c r="N287" s="302">
        <f>SUM(K287:M287)</f>
        <v>0.12268433968111253</v>
      </c>
    </row>
    <row r="288" spans="1:14" x14ac:dyDescent="0.25">
      <c r="A288" s="282" t="s">
        <v>365</v>
      </c>
      <c r="B288" s="302">
        <f>'Ind T6'!Q116</f>
        <v>1.5940175848434208</v>
      </c>
      <c r="C288" s="299" t="str">
        <f>CONCATENATE("(",ROUND((B288/$H289)*100,1),")")</f>
        <v>(22.3)</v>
      </c>
      <c r="D288" s="302">
        <f>'Ind T6'!R116</f>
        <v>0.32575085481220267</v>
      </c>
      <c r="E288" s="299" t="str">
        <f>CONCATENATE("(",ROUND((D288/$H289)*100,1),")")</f>
        <v>(4.6)</v>
      </c>
      <c r="F288" s="302">
        <f>'Ind T6'!S116</f>
        <v>0.15631510158511672</v>
      </c>
      <c r="G288" s="299" t="str">
        <f>CONCATENATE("(",ROUND((F288/$H289)*100,1),")")</f>
        <v>(2.2)</v>
      </c>
      <c r="H288" s="302">
        <f t="shared" ref="H288" si="221">SUM(B288,D288,F288)</f>
        <v>2.0760835412407399</v>
      </c>
      <c r="I288" s="299" t="str">
        <f>CONCATENATE("(",ROUND((H288/$H289)*100,1),")")</f>
        <v>(29)</v>
      </c>
      <c r="K288" s="302">
        <f t="shared" ref="K288:K289" si="222">B293-B288</f>
        <v>0.11464334326918646</v>
      </c>
      <c r="L288" s="302">
        <f t="shared" ref="L288:L289" si="223">D293-D288</f>
        <v>-2.3461641976810776E-3</v>
      </c>
      <c r="M288" s="302">
        <f t="shared" ref="M288:M289" si="224">F293-F288</f>
        <v>5.0184812473798024E-3</v>
      </c>
      <c r="N288" s="302">
        <f t="shared" ref="N288:N289" si="225">SUM(K288:M288)</f>
        <v>0.11731566031888518</v>
      </c>
    </row>
    <row r="289" spans="1:14" x14ac:dyDescent="0.25">
      <c r="A289" s="282" t="s">
        <v>363</v>
      </c>
      <c r="B289" s="302">
        <f>SUM(B287:B288)</f>
        <v>5.4548873222592773</v>
      </c>
      <c r="C289" s="299" t="str">
        <f>CONCATENATE("(",ROUND((B289/$H289)*100,1),")")</f>
        <v>(76.3)</v>
      </c>
      <c r="D289" s="302">
        <f>SUM(D287:D288)</f>
        <v>0.53379341754808829</v>
      </c>
      <c r="E289" s="299" t="str">
        <f>CONCATENATE("(",ROUND((D289/$H289)*100,1),")")</f>
        <v>(7.5)</v>
      </c>
      <c r="F289" s="302">
        <f>SUM(F287:F288)</f>
        <v>1.1613192601926379</v>
      </c>
      <c r="G289" s="299" t="str">
        <f>CONCATENATE("(",ROUND((F289/$H289)*100,1),")")</f>
        <v>(16.2)</v>
      </c>
      <c r="H289" s="302">
        <f>SUM(H287:H288)</f>
        <v>7.150000000000003</v>
      </c>
      <c r="I289" s="299" t="str">
        <f>CONCATENATE("(",ROUND((H289/$H289)*100,1),")")</f>
        <v>(100)</v>
      </c>
      <c r="K289" s="302">
        <f t="shared" si="222"/>
        <v>0.17897358092142124</v>
      </c>
      <c r="L289" s="302">
        <f t="shared" si="223"/>
        <v>5.1529397301739444E-3</v>
      </c>
      <c r="M289" s="302">
        <f t="shared" si="224"/>
        <v>5.5873479348401922E-2</v>
      </c>
      <c r="N289" s="302">
        <f t="shared" si="225"/>
        <v>0.2399999999999971</v>
      </c>
    </row>
    <row r="290" spans="1:14" x14ac:dyDescent="0.25">
      <c r="B290" s="302"/>
      <c r="C290" s="284"/>
      <c r="D290" s="302"/>
      <c r="E290" s="284"/>
      <c r="F290" s="302"/>
      <c r="G290" s="284"/>
      <c r="H290" s="302"/>
      <c r="I290" s="284"/>
    </row>
    <row r="291" spans="1:14" ht="13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5">
      <c r="A292" s="282" t="s">
        <v>364</v>
      </c>
      <c r="B292" s="302">
        <f>'Ind T6'!V117</f>
        <v>3.9251999750680917</v>
      </c>
      <c r="C292" s="299" t="str">
        <f>CONCATENATE("(",ROUND((B292/$H294)*100,1),")")</f>
        <v>(53.1)</v>
      </c>
      <c r="D292" s="302">
        <f>'Ind T6'!W117</f>
        <v>0.21554166666374064</v>
      </c>
      <c r="E292" s="299" t="str">
        <f>CONCATENATE("(",ROUND((D292/$H294)*100,1),")")</f>
        <v>(2.9)</v>
      </c>
      <c r="F292" s="302">
        <f>'Ind T6'!X117</f>
        <v>1.0558591567085434</v>
      </c>
      <c r="G292" s="299" t="str">
        <f>CONCATENATE("(",ROUND((F292/$H294)*100,1),")")</f>
        <v>(14.3)</v>
      </c>
      <c r="H292" s="302">
        <f>SUM(B292,D292,F292)</f>
        <v>5.1966007984403753</v>
      </c>
      <c r="I292" s="299" t="str">
        <f>CONCATENATE("(",ROUND((H292/$H294)*100,1),")")</f>
        <v>(70.3)</v>
      </c>
      <c r="K292" s="302">
        <f>B292-B282</f>
        <v>0.17093065502203064</v>
      </c>
      <c r="L292" s="302">
        <f>D292-D282</f>
        <v>1.6132356491556421E-2</v>
      </c>
      <c r="M292" s="302">
        <f>F292-F282</f>
        <v>0.10752917989255439</v>
      </c>
      <c r="N292" s="302">
        <f>SUM(K292:M292)</f>
        <v>0.29459219140614146</v>
      </c>
    </row>
    <row r="293" spans="1:14" x14ac:dyDescent="0.25">
      <c r="A293" s="282" t="s">
        <v>365</v>
      </c>
      <c r="B293" s="302">
        <f>'Ind T6'!V116</f>
        <v>1.7086609281126073</v>
      </c>
      <c r="C293" s="299" t="str">
        <f>CONCATENATE("(",ROUND((B293/$H294)*100,1),")")</f>
        <v>(23.1)</v>
      </c>
      <c r="D293" s="302">
        <f>'Ind T6'!W116</f>
        <v>0.32340469061452159</v>
      </c>
      <c r="E293" s="299" t="str">
        <f>CONCATENATE("(",ROUND((D293/$H294)*100,1),")")</f>
        <v>(4.4)</v>
      </c>
      <c r="F293" s="302">
        <f>'Ind T6'!X116</f>
        <v>0.16133358283249652</v>
      </c>
      <c r="G293" s="299" t="str">
        <f>CONCATENATE("(",ROUND((F293/$H294)*100,1),")")</f>
        <v>(2.2)</v>
      </c>
      <c r="H293" s="302">
        <f t="shared" ref="H293" si="226">SUM(B293,D293,F293)</f>
        <v>2.1933992015596253</v>
      </c>
      <c r="I293" s="299" t="str">
        <f>CONCATENATE("(",ROUND((H293/$H294)*100,1),")")</f>
        <v>(29.7)</v>
      </c>
      <c r="K293" s="302">
        <f t="shared" ref="K293:K294" si="227">B293-B283</f>
        <v>0.2051166626257046</v>
      </c>
      <c r="L293" s="302">
        <f t="shared" ref="L293:L294" si="228">D293-D283</f>
        <v>4.5237821041267945E-3</v>
      </c>
      <c r="M293" s="302">
        <f t="shared" ref="M293:M294" si="229">F293-F283</f>
        <v>1.2767363864044895E-2</v>
      </c>
      <c r="N293" s="302">
        <f t="shared" ref="N293:N294" si="230">SUM(K293:M293)</f>
        <v>0.22240780859387629</v>
      </c>
    </row>
    <row r="294" spans="1:14" x14ac:dyDescent="0.25">
      <c r="A294" s="282" t="s">
        <v>363</v>
      </c>
      <c r="B294" s="302">
        <f>SUM(B292:B293)</f>
        <v>5.6338609031806985</v>
      </c>
      <c r="C294" s="299" t="str">
        <f>CONCATENATE("(",ROUND((B294/$H294)*100,1),")")</f>
        <v>(76.2)</v>
      </c>
      <c r="D294" s="302">
        <f>SUM(D292:D293)</f>
        <v>0.53894635727826223</v>
      </c>
      <c r="E294" s="299" t="str">
        <f>CONCATENATE("(",ROUND((D294/$H294)*100,1),")")</f>
        <v>(7.3)</v>
      </c>
      <c r="F294" s="302">
        <f>SUM(F292:F293)</f>
        <v>1.2171927395410398</v>
      </c>
      <c r="G294" s="299" t="str">
        <f>CONCATENATE("(",ROUND((F294/$H294)*100,1),")")</f>
        <v>(16.5)</v>
      </c>
      <c r="H294" s="302">
        <f>SUM(H292:H293)</f>
        <v>7.3900000000000006</v>
      </c>
      <c r="I294" s="299" t="str">
        <f>CONCATENATE("(",ROUND((H294/$H294)*100,1),")")</f>
        <v>(100)</v>
      </c>
      <c r="K294" s="302">
        <f t="shared" si="227"/>
        <v>0.37604731764773458</v>
      </c>
      <c r="L294" s="302">
        <f t="shared" si="228"/>
        <v>2.065613859568316E-2</v>
      </c>
      <c r="M294" s="302">
        <f t="shared" si="229"/>
        <v>0.12029654375659926</v>
      </c>
      <c r="N294" s="302">
        <f t="shared" si="230"/>
        <v>0.517000000000017</v>
      </c>
    </row>
    <row r="295" spans="1:14" x14ac:dyDescent="0.25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ht="13" x14ac:dyDescent="0.3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ht="13" x14ac:dyDescent="0.3">
      <c r="N300" s="287" t="s">
        <v>370</v>
      </c>
    </row>
    <row r="301" spans="1:14" ht="13" x14ac:dyDescent="0.3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ht="13" x14ac:dyDescent="0.3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5">
      <c r="A303" s="282" t="s">
        <v>364</v>
      </c>
      <c r="B303" s="302">
        <f>'Ind T6'!L126</f>
        <v>4.271479493029017</v>
      </c>
      <c r="C303" s="299" t="str">
        <f>CONCATENATE("(",ROUND((B303/$H305)*100,1),")")</f>
        <v>(40.9)</v>
      </c>
      <c r="D303" s="302">
        <f>'Ind T6'!M126</f>
        <v>0.33477445120701649</v>
      </c>
      <c r="E303" s="299" t="str">
        <f>CONCATENATE("(",ROUND((D303/$H305)*100,1),")")</f>
        <v>(3.2)</v>
      </c>
      <c r="F303" s="302">
        <f>'Ind T6'!N126</f>
        <v>0.74555334940612727</v>
      </c>
      <c r="G303" s="299" t="str">
        <f>CONCATENATE("(",ROUND((F303/$H305)*100,1),")")</f>
        <v>(7.1)</v>
      </c>
      <c r="H303" s="302">
        <f>SUM(B303,D303,F303)</f>
        <v>5.3518072936421603</v>
      </c>
      <c r="I303" s="299" t="str">
        <f>CONCATENATE("(",ROUND((H303/$H305)*100,1),")")</f>
        <v>(51.3)</v>
      </c>
      <c r="K303" s="302">
        <f>B308-B303</f>
        <v>-2.8060175940050058E-3</v>
      </c>
      <c r="L303" s="302">
        <f>D308-D303</f>
        <v>1.3519450615736006E-2</v>
      </c>
      <c r="M303" s="302">
        <f>F308-F303</f>
        <v>3.7071340760464144E-2</v>
      </c>
      <c r="N303" s="302">
        <f>SUM(K303:M303)</f>
        <v>4.7784773782195145E-2</v>
      </c>
    </row>
    <row r="304" spans="1:14" x14ac:dyDescent="0.25">
      <c r="A304" s="282" t="s">
        <v>365</v>
      </c>
      <c r="B304" s="302">
        <f>'Ind T6'!L125</f>
        <v>3.4175384789248189</v>
      </c>
      <c r="C304" s="299" t="str">
        <f>CONCATENATE("(",ROUND((B304/$H305)*100,1),")")</f>
        <v>(32.7)</v>
      </c>
      <c r="D304" s="302">
        <f>'Ind T6'!M125</f>
        <v>1.5304397394029174</v>
      </c>
      <c r="E304" s="299" t="str">
        <f>CONCATENATE("(",ROUND((D304/$H305)*100,1),")")</f>
        <v>(14.7)</v>
      </c>
      <c r="F304" s="302">
        <f>'Ind T6'!N125</f>
        <v>0.14121448803011422</v>
      </c>
      <c r="G304" s="299" t="str">
        <f>CONCATENATE("(",ROUND((F304/$H305)*100,1),")")</f>
        <v>(1.4)</v>
      </c>
      <c r="H304" s="302">
        <f t="shared" ref="H304" si="231">SUM(B304,D304,F304)</f>
        <v>5.0891927063578501</v>
      </c>
      <c r="I304" s="299" t="str">
        <f>CONCATENATE("(",ROUND((H304/$H305)*100,1),")")</f>
        <v>(48.7)</v>
      </c>
      <c r="K304" s="302">
        <f t="shared" ref="K304:K305" si="232">B309-B304</f>
        <v>-1.6786159322309757E-2</v>
      </c>
      <c r="L304" s="302">
        <f t="shared" ref="L304:L305" si="233">D309-D304</f>
        <v>-2.3683595226697385E-2</v>
      </c>
      <c r="M304" s="302">
        <f t="shared" ref="M304:M305" si="234">F309-F304</f>
        <v>5.6849807668103713E-3</v>
      </c>
      <c r="N304" s="302">
        <f t="shared" ref="N304:N305" si="235">SUM(K304:M304)</f>
        <v>-3.4784773782196771E-2</v>
      </c>
    </row>
    <row r="305" spans="1:14" x14ac:dyDescent="0.25">
      <c r="A305" s="282" t="s">
        <v>363</v>
      </c>
      <c r="B305" s="302">
        <f>SUM(B303:B304)</f>
        <v>7.6890179719538363</v>
      </c>
      <c r="C305" s="299" t="str">
        <f>CONCATENATE("(",ROUND((B305/$H305)*100,1),")")</f>
        <v>(73.6)</v>
      </c>
      <c r="D305" s="302">
        <f>SUM(D303:D304)</f>
        <v>1.865214190609934</v>
      </c>
      <c r="E305" s="299" t="str">
        <f>CONCATENATE("(",ROUND((D305/$H305)*100,1),")")</f>
        <v>(17.9)</v>
      </c>
      <c r="F305" s="302">
        <f>SUM(F303:F304)</f>
        <v>0.88676783743624155</v>
      </c>
      <c r="G305" s="299" t="str">
        <f>CONCATENATE("(",ROUND((F305/$H305)*100,1),")")</f>
        <v>(8.5)</v>
      </c>
      <c r="H305" s="302">
        <f>SUM(H303:H304)</f>
        <v>10.44100000000001</v>
      </c>
      <c r="I305" s="299" t="str">
        <f>CONCATENATE("(",ROUND((H305/$H305)*100,1),")")</f>
        <v>(100)</v>
      </c>
      <c r="K305" s="302">
        <f t="shared" si="232"/>
        <v>-1.9592176916315651E-2</v>
      </c>
      <c r="L305" s="302">
        <f t="shared" si="233"/>
        <v>-1.016414461096149E-2</v>
      </c>
      <c r="M305" s="302">
        <f t="shared" si="234"/>
        <v>4.2756321527274488E-2</v>
      </c>
      <c r="N305" s="302">
        <f t="shared" si="235"/>
        <v>1.2999999999997347E-2</v>
      </c>
    </row>
    <row r="306" spans="1:14" x14ac:dyDescent="0.25">
      <c r="B306" s="302"/>
      <c r="C306" s="284"/>
      <c r="D306" s="302"/>
      <c r="E306" s="284"/>
      <c r="F306" s="302"/>
      <c r="G306" s="284"/>
      <c r="H306" s="302"/>
      <c r="I306" s="284"/>
    </row>
    <row r="307" spans="1:14" ht="13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5">
      <c r="A308" s="282" t="s">
        <v>364</v>
      </c>
      <c r="B308" s="302">
        <f>'Ind T6'!Q126</f>
        <v>4.268673475435012</v>
      </c>
      <c r="C308" s="299" t="str">
        <f>CONCATENATE("(",ROUND((B308/$H310)*100,1),")")</f>
        <v>(40.8)</v>
      </c>
      <c r="D308" s="302">
        <f>'Ind T6'!R126</f>
        <v>0.34829390182275249</v>
      </c>
      <c r="E308" s="299" t="str">
        <f>CONCATENATE("(",ROUND((D308/$H310)*100,1),")")</f>
        <v>(3.3)</v>
      </c>
      <c r="F308" s="302">
        <f>'Ind T6'!S126</f>
        <v>0.78262469016659142</v>
      </c>
      <c r="G308" s="299" t="str">
        <f>CONCATENATE("(",ROUND((F308/$H310)*100,1),")")</f>
        <v>(7.5)</v>
      </c>
      <c r="H308" s="302">
        <f>SUM(B308,D308,F308)</f>
        <v>5.399592067424356</v>
      </c>
      <c r="I308" s="299" t="str">
        <f>CONCATENATE("(",ROUND((H308/$H310)*100,1),")")</f>
        <v>(51.7)</v>
      </c>
      <c r="K308" s="302">
        <f>B313-B308</f>
        <v>-0.17416301456291716</v>
      </c>
      <c r="L308" s="302">
        <f>D313-D308</f>
        <v>8.5555500795638229E-3</v>
      </c>
      <c r="M308" s="302">
        <f>F313-F308</f>
        <v>-1.8220911285735664E-3</v>
      </c>
      <c r="N308" s="302">
        <f>SUM(K308:M308)</f>
        <v>-0.16742955561192691</v>
      </c>
    </row>
    <row r="309" spans="1:14" x14ac:dyDescent="0.25">
      <c r="A309" s="282" t="s">
        <v>365</v>
      </c>
      <c r="B309" s="302">
        <f>'Ind T6'!Q125</f>
        <v>3.4007523196025091</v>
      </c>
      <c r="C309" s="299" t="str">
        <f>CONCATENATE("(",ROUND((B309/$H310)*100,1),")")</f>
        <v>(32.5)</v>
      </c>
      <c r="D309" s="302">
        <f>'Ind T6'!R125</f>
        <v>1.5067561441762201</v>
      </c>
      <c r="E309" s="299" t="str">
        <f>CONCATENATE("(",ROUND((D309/$H310)*100,1),")")</f>
        <v>(14.4)</v>
      </c>
      <c r="F309" s="302">
        <f>'Ind T6'!S125</f>
        <v>0.14689946879692459</v>
      </c>
      <c r="G309" s="299" t="str">
        <f>CONCATENATE("(",ROUND((F309/$H310)*100,1),")")</f>
        <v>(1.4)</v>
      </c>
      <c r="H309" s="302">
        <f t="shared" ref="H309" si="236">SUM(B309,D309,F309)</f>
        <v>5.0544079325756535</v>
      </c>
      <c r="I309" s="299" t="str">
        <f>CONCATENATE("(",ROUND((H309/$H310)*100,1),")")</f>
        <v>(48.3)</v>
      </c>
      <c r="K309" s="302">
        <f t="shared" ref="K309:K310" si="237">B314-B309</f>
        <v>-0.1492598042865092</v>
      </c>
      <c r="L309" s="302">
        <f t="shared" ref="L309:L310" si="238">D314-D309</f>
        <v>-7.935833655561586E-2</v>
      </c>
      <c r="M309" s="302">
        <f t="shared" ref="M309:M310" si="239">F314-F309</f>
        <v>-3.9523035459615163E-3</v>
      </c>
      <c r="N309" s="302">
        <f t="shared" ref="N309:N310" si="240">SUM(K309:M309)</f>
        <v>-0.23257044438808658</v>
      </c>
    </row>
    <row r="310" spans="1:14" x14ac:dyDescent="0.25">
      <c r="A310" s="282" t="s">
        <v>363</v>
      </c>
      <c r="B310" s="302">
        <f>SUM(B308:B309)</f>
        <v>7.6694257950375206</v>
      </c>
      <c r="C310" s="299" t="str">
        <f>CONCATENATE("(",ROUND((B310/$H310)*100,1),")")</f>
        <v>(73.4)</v>
      </c>
      <c r="D310" s="302">
        <f>SUM(D308:D309)</f>
        <v>1.8550500459989725</v>
      </c>
      <c r="E310" s="299" t="str">
        <f>CONCATENATE("(",ROUND((D310/$H310)*100,1),")")</f>
        <v>(17.7)</v>
      </c>
      <c r="F310" s="302">
        <f>SUM(F308:F309)</f>
        <v>0.92952415896351603</v>
      </c>
      <c r="G310" s="299" t="str">
        <f>CONCATENATE("(",ROUND((F310/$H310)*100,1),")")</f>
        <v>(8.9)</v>
      </c>
      <c r="H310" s="302">
        <f>SUM(H308:H309)</f>
        <v>10.45400000000001</v>
      </c>
      <c r="I310" s="299" t="str">
        <f>CONCATENATE("(",ROUND((H310/$H310)*100,1),")")</f>
        <v>(100)</v>
      </c>
      <c r="K310" s="302">
        <f t="shared" si="237"/>
        <v>-0.32342281884942636</v>
      </c>
      <c r="L310" s="302">
        <f t="shared" si="238"/>
        <v>-7.0802786476051871E-2</v>
      </c>
      <c r="M310" s="302">
        <f t="shared" si="239"/>
        <v>-5.7743946745351105E-3</v>
      </c>
      <c r="N310" s="302">
        <f t="shared" si="240"/>
        <v>-0.40000000000001334</v>
      </c>
    </row>
    <row r="311" spans="1:14" x14ac:dyDescent="0.25">
      <c r="B311" s="302"/>
      <c r="C311" s="284"/>
      <c r="D311" s="302"/>
      <c r="E311" s="284"/>
      <c r="F311" s="302"/>
      <c r="G311" s="284"/>
      <c r="H311" s="302"/>
      <c r="I311" s="284"/>
    </row>
    <row r="312" spans="1:14" ht="13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5">
      <c r="A313" s="282" t="s">
        <v>364</v>
      </c>
      <c r="B313" s="302">
        <f>'Ind T6'!V126</f>
        <v>4.0945104608720948</v>
      </c>
      <c r="C313" s="299" t="str">
        <f>CONCATENATE("(",ROUND((B313/$H315)*100,1),")")</f>
        <v>(40.7)</v>
      </c>
      <c r="D313" s="302">
        <f>'Ind T6'!W126</f>
        <v>0.35684945190231632</v>
      </c>
      <c r="E313" s="299" t="str">
        <f>CONCATENATE("(",ROUND((D313/$H315)*100,1),")")</f>
        <v>(3.5)</v>
      </c>
      <c r="F313" s="302">
        <f>'Ind T6'!X126</f>
        <v>0.78080259903801785</v>
      </c>
      <c r="G313" s="299" t="str">
        <f>CONCATENATE("(",ROUND((F313/$H315)*100,1),")")</f>
        <v>(7.8)</v>
      </c>
      <c r="H313" s="302">
        <f>SUM(B313,D313,F313)</f>
        <v>5.2321625118124286</v>
      </c>
      <c r="I313" s="299" t="str">
        <f>CONCATENATE("(",ROUND((H313/$H315)*100,1),")")</f>
        <v>(52)</v>
      </c>
      <c r="K313" s="302">
        <f>B313-B303</f>
        <v>-0.17696903215692217</v>
      </c>
      <c r="L313" s="302">
        <f>D313-D303</f>
        <v>2.2075000695299829E-2</v>
      </c>
      <c r="M313" s="302">
        <f>F313-F303</f>
        <v>3.5249249631890578E-2</v>
      </c>
      <c r="N313" s="302">
        <f>SUM(K313:M313)</f>
        <v>-0.11964478182973176</v>
      </c>
    </row>
    <row r="314" spans="1:14" x14ac:dyDescent="0.25">
      <c r="A314" s="282" t="s">
        <v>365</v>
      </c>
      <c r="B314" s="302">
        <f>'Ind T6'!V125</f>
        <v>3.2514925153159999</v>
      </c>
      <c r="C314" s="299" t="str">
        <f>CONCATENATE("(",ROUND((B314/$H315)*100,1),")")</f>
        <v>(32.3)</v>
      </c>
      <c r="D314" s="302">
        <f>'Ind T6'!W125</f>
        <v>1.4273978076206042</v>
      </c>
      <c r="E314" s="299" t="str">
        <f>CONCATENATE("(",ROUND((D314/$H315)*100,1),")")</f>
        <v>(14.2)</v>
      </c>
      <c r="F314" s="302">
        <f>'Ind T6'!X125</f>
        <v>0.14294716525096307</v>
      </c>
      <c r="G314" s="299" t="str">
        <f>CONCATENATE("(",ROUND((F314/$H315)*100,1),")")</f>
        <v>(1.4)</v>
      </c>
      <c r="H314" s="302">
        <f t="shared" ref="H314" si="241">SUM(B314,D314,F314)</f>
        <v>4.8218374881875672</v>
      </c>
      <c r="I314" s="299" t="str">
        <f>CONCATENATE("(",ROUND((H314/$H315)*100,1),")")</f>
        <v>(48)</v>
      </c>
      <c r="K314" s="302">
        <f t="shared" ref="K314:K315" si="242">B314-B304</f>
        <v>-0.16604596360881896</v>
      </c>
      <c r="L314" s="302">
        <f t="shared" ref="L314:L315" si="243">D314-D304</f>
        <v>-0.10304193178231325</v>
      </c>
      <c r="M314" s="302">
        <f t="shared" ref="M314:M315" si="244">F314-F304</f>
        <v>1.732677220848855E-3</v>
      </c>
      <c r="N314" s="302">
        <f t="shared" ref="N314:N315" si="245">SUM(K314:M314)</f>
        <v>-0.26735521817028335</v>
      </c>
    </row>
    <row r="315" spans="1:14" x14ac:dyDescent="0.25">
      <c r="A315" s="282" t="s">
        <v>363</v>
      </c>
      <c r="B315" s="302">
        <f>SUM(B313:B314)</f>
        <v>7.3460029761880943</v>
      </c>
      <c r="C315" s="299" t="str">
        <f>CONCATENATE("(",ROUND((B315/$H315)*100,1),")")</f>
        <v>(73.1)</v>
      </c>
      <c r="D315" s="302">
        <f>SUM(D313:D314)</f>
        <v>1.7842472595229206</v>
      </c>
      <c r="E315" s="299" t="str">
        <f>CONCATENATE("(",ROUND((D315/$H315)*100,1),")")</f>
        <v>(17.7)</v>
      </c>
      <c r="F315" s="302">
        <f>SUM(F313:F314)</f>
        <v>0.92374976428898092</v>
      </c>
      <c r="G315" s="299" t="str">
        <f>CONCATENATE("(",ROUND((F315/$H315)*100,1),")")</f>
        <v>(9.2)</v>
      </c>
      <c r="H315" s="302">
        <f>SUM(H313:H314)</f>
        <v>10.053999999999995</v>
      </c>
      <c r="I315" s="299" t="str">
        <f>CONCATENATE("(",ROUND((H315/$H315)*100,1),")")</f>
        <v>(100)</v>
      </c>
      <c r="K315" s="302">
        <f t="shared" si="242"/>
        <v>-0.34301499576574201</v>
      </c>
      <c r="L315" s="302">
        <f t="shared" si="243"/>
        <v>-8.0966931087013361E-2</v>
      </c>
      <c r="M315" s="302">
        <f t="shared" si="244"/>
        <v>3.6981926852739377E-2</v>
      </c>
      <c r="N315" s="302">
        <f t="shared" si="245"/>
        <v>-0.387000000000016</v>
      </c>
    </row>
    <row r="316" spans="1:14" x14ac:dyDescent="0.25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ht="13" x14ac:dyDescent="0.3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ht="13" x14ac:dyDescent="0.3">
      <c r="N321" s="287" t="s">
        <v>370</v>
      </c>
    </row>
    <row r="322" spans="1:14" ht="13" x14ac:dyDescent="0.3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ht="13" x14ac:dyDescent="0.3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5">
      <c r="A324" s="282" t="s">
        <v>364</v>
      </c>
      <c r="B324" s="302">
        <f>'Ind T6'!L135</f>
        <v>3.1939695092269895</v>
      </c>
      <c r="C324" s="299" t="str">
        <f>CONCATENATE("(",ROUND((B324/$H326)*100,1),")")</f>
        <v>(31.2)</v>
      </c>
      <c r="D324" s="302">
        <f>'Ind T6'!M135</f>
        <v>1.0629778695863481</v>
      </c>
      <c r="E324" s="299" t="str">
        <f>CONCATENATE("(",ROUND((D324/$H326)*100,1),")")</f>
        <v>(10.4)</v>
      </c>
      <c r="F324" s="302">
        <f>'Ind T6'!N135</f>
        <v>0.73504003146456265</v>
      </c>
      <c r="G324" s="299" t="str">
        <f>CONCATENATE("(",ROUND((F324/$H326)*100,1),")")</f>
        <v>(7.2)</v>
      </c>
      <c r="H324" s="302">
        <f>SUM(B324,D324,F324)</f>
        <v>4.9919874102779005</v>
      </c>
      <c r="I324" s="299" t="str">
        <f>CONCATENATE("(",ROUND((H324/$H326)*100,1),")")</f>
        <v>(48.7)</v>
      </c>
      <c r="K324" s="302">
        <f>B329-B324</f>
        <v>2.4388497847125379E-3</v>
      </c>
      <c r="L324" s="302">
        <f>D329-D324</f>
        <v>3.6302632902884824E-3</v>
      </c>
      <c r="M324" s="302">
        <f>F329-F324</f>
        <v>3.919529932039667E-2</v>
      </c>
      <c r="N324" s="302">
        <f>SUM(K324:M324)</f>
        <v>4.5264412395397691E-2</v>
      </c>
    </row>
    <row r="325" spans="1:14" x14ac:dyDescent="0.25">
      <c r="A325" s="282" t="s">
        <v>365</v>
      </c>
      <c r="B325" s="302">
        <f>'Ind T6'!L134</f>
        <v>2.8005649650687894</v>
      </c>
      <c r="C325" s="299" t="str">
        <f>CONCATENATE("(",ROUND((B325/$H326)*100,1),")")</f>
        <v>(27.3)</v>
      </c>
      <c r="D325" s="302">
        <f>'Ind T6'!M134</f>
        <v>2.0747909904600923</v>
      </c>
      <c r="E325" s="299" t="str">
        <f>CONCATENATE("(",ROUND((D325/$H326)*100,1),")")</f>
        <v>(20.3)</v>
      </c>
      <c r="F325" s="302">
        <f>'Ind T6'!N134</f>
        <v>0.37265663419322242</v>
      </c>
      <c r="G325" s="299" t="str">
        <f>CONCATENATE("(",ROUND((F325/$H326)*100,1),")")</f>
        <v>(3.6)</v>
      </c>
      <c r="H325" s="302">
        <f t="shared" ref="H325" si="246">SUM(B325,D325,F325)</f>
        <v>5.2480125897221042</v>
      </c>
      <c r="I325" s="299" t="str">
        <f>CONCATENATE("(",ROUND((H325/$H326)*100,1),")")</f>
        <v>(51.3)</v>
      </c>
      <c r="K325" s="302">
        <f t="shared" ref="K325:K326" si="247">B330-B325</f>
        <v>0.1042743659360994</v>
      </c>
      <c r="L325" s="302">
        <f t="shared" ref="L325:L326" si="248">D330-D325</f>
        <v>-8.7258766993514314E-2</v>
      </c>
      <c r="M325" s="302">
        <f t="shared" ref="M325:M326" si="249">F330-F325</f>
        <v>5.7199886620028506E-3</v>
      </c>
      <c r="N325" s="302">
        <f t="shared" ref="N325:N326" si="250">SUM(K325:M325)</f>
        <v>2.2735587604587937E-2</v>
      </c>
    </row>
    <row r="326" spans="1:14" x14ac:dyDescent="0.25">
      <c r="A326" s="282" t="s">
        <v>363</v>
      </c>
      <c r="B326" s="302">
        <f>SUM(B324:B325)</f>
        <v>5.9945344742957793</v>
      </c>
      <c r="C326" s="299" t="str">
        <f>CONCATENATE("(",ROUND((B326/$H326)*100,1),")")</f>
        <v>(58.5)</v>
      </c>
      <c r="D326" s="302">
        <f>SUM(D324:D325)</f>
        <v>3.1377688600464406</v>
      </c>
      <c r="E326" s="299" t="str">
        <f>CONCATENATE("(",ROUND((D326/$H326)*100,1),")")</f>
        <v>(30.6)</v>
      </c>
      <c r="F326" s="302">
        <f>SUM(F324:F325)</f>
        <v>1.1076966656577851</v>
      </c>
      <c r="G326" s="299" t="str">
        <f>CONCATENATE("(",ROUND((F326/$H326)*100,1),")")</f>
        <v>(10.8)</v>
      </c>
      <c r="H326" s="302">
        <f>SUM(H324:H325)</f>
        <v>10.240000000000006</v>
      </c>
      <c r="I326" s="299" t="str">
        <f>CONCATENATE("(",ROUND((H326/$H326)*100,1),")")</f>
        <v>(100)</v>
      </c>
      <c r="K326" s="302">
        <f t="shared" si="247"/>
        <v>0.10671321572081105</v>
      </c>
      <c r="L326" s="302">
        <f t="shared" si="248"/>
        <v>-8.3628503703225832E-2</v>
      </c>
      <c r="M326" s="302">
        <f t="shared" si="249"/>
        <v>4.4915287982399521E-2</v>
      </c>
      <c r="N326" s="302">
        <f t="shared" si="250"/>
        <v>6.7999999999984739E-2</v>
      </c>
    </row>
    <row r="327" spans="1:14" x14ac:dyDescent="0.25">
      <c r="B327" s="302"/>
      <c r="C327" s="284"/>
      <c r="D327" s="302"/>
      <c r="E327" s="284"/>
      <c r="F327" s="302"/>
      <c r="G327" s="284"/>
      <c r="H327" s="302"/>
      <c r="I327" s="284"/>
    </row>
    <row r="328" spans="1:14" ht="13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5">
      <c r="A329" s="282" t="s">
        <v>364</v>
      </c>
      <c r="B329" s="302">
        <f>'Ind T6'!Q135</f>
        <v>3.1964083590117021</v>
      </c>
      <c r="C329" s="299" t="str">
        <f>CONCATENATE("(",ROUND((B329/$H331)*100,1),")")</f>
        <v>(31)</v>
      </c>
      <c r="D329" s="302">
        <f>'Ind T6'!R135</f>
        <v>1.0666081328766366</v>
      </c>
      <c r="E329" s="299" t="str">
        <f>CONCATENATE("(",ROUND((D329/$H331)*100,1),")")</f>
        <v>(10.3)</v>
      </c>
      <c r="F329" s="302">
        <f>'Ind T6'!S135</f>
        <v>0.77423533078495932</v>
      </c>
      <c r="G329" s="299" t="str">
        <f>CONCATENATE("(",ROUND((F329/$H331)*100,1),")")</f>
        <v>(7.5)</v>
      </c>
      <c r="H329" s="302">
        <f>SUM(B329,D329,F329)</f>
        <v>5.0372518226732979</v>
      </c>
      <c r="I329" s="299" t="str">
        <f>CONCATENATE("(",ROUND((H329/$H331)*100,1),")")</f>
        <v>(48.9)</v>
      </c>
      <c r="K329" s="302">
        <f>B334-B329</f>
        <v>0.2454990888175308</v>
      </c>
      <c r="L329" s="302">
        <f>D334-D329</f>
        <v>0.10287384491137952</v>
      </c>
      <c r="M329" s="302">
        <f>F334-F329</f>
        <v>0.13162194560817575</v>
      </c>
      <c r="N329" s="302">
        <f>SUM(K329:M329)</f>
        <v>0.47999487933708607</v>
      </c>
    </row>
    <row r="330" spans="1:14" x14ac:dyDescent="0.25">
      <c r="A330" s="282" t="s">
        <v>365</v>
      </c>
      <c r="B330" s="302">
        <f>'Ind T6'!Q134</f>
        <v>2.9048393310048888</v>
      </c>
      <c r="C330" s="299" t="str">
        <f>CONCATENATE("(",ROUND((B330/$H331)*100,1),")")</f>
        <v>(28.2)</v>
      </c>
      <c r="D330" s="302">
        <f>'Ind T6'!R134</f>
        <v>1.987532223466578</v>
      </c>
      <c r="E330" s="299" t="str">
        <f>CONCATENATE("(",ROUND((D330/$H331)*100,1),")")</f>
        <v>(19.3)</v>
      </c>
      <c r="F330" s="302">
        <f>'Ind T6'!S134</f>
        <v>0.37837662285522528</v>
      </c>
      <c r="G330" s="299" t="str">
        <f>CONCATENATE("(",ROUND((F330/$H331)*100,1),")")</f>
        <v>(3.7)</v>
      </c>
      <c r="H330" s="302">
        <f t="shared" ref="H330" si="251">SUM(B330,D330,F330)</f>
        <v>5.2707481773266922</v>
      </c>
      <c r="I330" s="299" t="str">
        <f>CONCATENATE("(",ROUND((H330/$H331)*100,1),")")</f>
        <v>(51.1)</v>
      </c>
      <c r="K330" s="302">
        <f t="shared" ref="K330:K331" si="252">B335-B330</f>
        <v>0.44562633847181621</v>
      </c>
      <c r="L330" s="302">
        <f t="shared" ref="L330:L331" si="253">D335-D330</f>
        <v>-2.7759812561640507E-2</v>
      </c>
      <c r="M330" s="302">
        <f t="shared" ref="M330:M331" si="254">F335-F330</f>
        <v>3.2138594752742833E-2</v>
      </c>
      <c r="N330" s="302">
        <f t="shared" ref="N330:N331" si="255">SUM(K330:M330)</f>
        <v>0.45000512066291853</v>
      </c>
    </row>
    <row r="331" spans="1:14" x14ac:dyDescent="0.25">
      <c r="A331" s="282" t="s">
        <v>363</v>
      </c>
      <c r="B331" s="302">
        <f>SUM(B329:B330)</f>
        <v>6.1012476900165904</v>
      </c>
      <c r="C331" s="299" t="str">
        <f>CONCATENATE("(",ROUND((B331/$H331)*100,1),")")</f>
        <v>(59.2)</v>
      </c>
      <c r="D331" s="302">
        <f>SUM(D329:D330)</f>
        <v>3.0541403563432148</v>
      </c>
      <c r="E331" s="299" t="str">
        <f>CONCATENATE("(",ROUND((D331/$H331)*100,1),")")</f>
        <v>(29.6)</v>
      </c>
      <c r="F331" s="302">
        <f>SUM(F329:F330)</f>
        <v>1.1526119536401846</v>
      </c>
      <c r="G331" s="299" t="str">
        <f>CONCATENATE("(",ROUND((F331/$H331)*100,1),")")</f>
        <v>(11.2)</v>
      </c>
      <c r="H331" s="302">
        <f>SUM(H329:H330)</f>
        <v>10.307999999999989</v>
      </c>
      <c r="I331" s="299" t="str">
        <f>CONCATENATE("(",ROUND((H331/$H331)*100,1),")")</f>
        <v>(100)</v>
      </c>
      <c r="K331" s="302">
        <f t="shared" si="252"/>
        <v>0.69112542728934745</v>
      </c>
      <c r="L331" s="302">
        <f t="shared" si="253"/>
        <v>7.5114032349739013E-2</v>
      </c>
      <c r="M331" s="302">
        <f t="shared" si="254"/>
        <v>0.16376054036091858</v>
      </c>
      <c r="N331" s="302">
        <f t="shared" si="255"/>
        <v>0.93000000000000504</v>
      </c>
    </row>
    <row r="332" spans="1:14" x14ac:dyDescent="0.25">
      <c r="B332" s="302"/>
      <c r="C332" s="284"/>
      <c r="D332" s="302"/>
      <c r="E332" s="284"/>
      <c r="F332" s="302"/>
      <c r="G332" s="284"/>
      <c r="H332" s="302"/>
      <c r="I332" s="284"/>
    </row>
    <row r="333" spans="1:14" ht="13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5">
      <c r="A334" s="282" t="s">
        <v>364</v>
      </c>
      <c r="B334" s="302">
        <f>'Ind T6'!V135</f>
        <v>3.4419074478292329</v>
      </c>
      <c r="C334" s="299" t="str">
        <f>CONCATENATE("(",ROUND((B334/$H336)*100,1),")")</f>
        <v>(30.6)</v>
      </c>
      <c r="D334" s="302">
        <f>'Ind T6'!W135</f>
        <v>1.1694819777880161</v>
      </c>
      <c r="E334" s="299" t="str">
        <f>CONCATENATE("(",ROUND((D334/$H336)*100,1),")")</f>
        <v>(10.4)</v>
      </c>
      <c r="F334" s="302">
        <f>'Ind T6'!X135</f>
        <v>0.90585727639313507</v>
      </c>
      <c r="G334" s="299" t="str">
        <f>CONCATENATE("(",ROUND((F334/$H336)*100,1),")")</f>
        <v>(8.1)</v>
      </c>
      <c r="H334" s="302">
        <f>SUM(B334,D334,F334)</f>
        <v>5.5172467020103841</v>
      </c>
      <c r="I334" s="299" t="str">
        <f>CONCATENATE("(",ROUND((H334/$H336)*100,1),")")</f>
        <v>(49.1)</v>
      </c>
      <c r="K334" s="302">
        <f>B334-B324</f>
        <v>0.24793793860224334</v>
      </c>
      <c r="L334" s="302">
        <f>D334-D324</f>
        <v>0.106504108201668</v>
      </c>
      <c r="M334" s="302">
        <f>F334-F324</f>
        <v>0.17081724492857242</v>
      </c>
      <c r="N334" s="302">
        <f>SUM(K334:M334)</f>
        <v>0.52525929173248376</v>
      </c>
    </row>
    <row r="335" spans="1:14" x14ac:dyDescent="0.25">
      <c r="A335" s="282" t="s">
        <v>365</v>
      </c>
      <c r="B335" s="302">
        <f>'Ind T6'!V134</f>
        <v>3.350465669476705</v>
      </c>
      <c r="C335" s="299" t="str">
        <f>CONCATENATE("(",ROUND((B335/$H336)*100,1),")")</f>
        <v>(29.8)</v>
      </c>
      <c r="D335" s="302">
        <f>'Ind T6'!W134</f>
        <v>1.9597724109049375</v>
      </c>
      <c r="E335" s="299" t="str">
        <f>CONCATENATE("(",ROUND((D335/$H336)*100,1),")")</f>
        <v>(17.4)</v>
      </c>
      <c r="F335" s="302">
        <f>'Ind T6'!X134</f>
        <v>0.41051521760796811</v>
      </c>
      <c r="G335" s="299" t="str">
        <f>CONCATENATE("(",ROUND((F335/$H336)*100,1),")")</f>
        <v>(3.7)</v>
      </c>
      <c r="H335" s="302">
        <f>SUM(B335,D335,F335)</f>
        <v>5.720753297989611</v>
      </c>
      <c r="I335" s="299" t="str">
        <f>CONCATENATE("(",ROUND((H335/$H336)*100,1),")")</f>
        <v>(50.9)</v>
      </c>
      <c r="K335" s="302">
        <f t="shared" ref="K335:K336" si="256">B335-B325</f>
        <v>0.54990070440791561</v>
      </c>
      <c r="L335" s="302">
        <f t="shared" ref="L335:L336" si="257">D335-D325</f>
        <v>-0.11501857955515482</v>
      </c>
      <c r="M335" s="302">
        <f t="shared" ref="M335:M336" si="258">F335-F325</f>
        <v>3.7858583414745683E-2</v>
      </c>
      <c r="N335" s="302">
        <f t="shared" ref="N335:N336" si="259">SUM(K335:M335)</f>
        <v>0.47274070826750647</v>
      </c>
    </row>
    <row r="336" spans="1:14" x14ac:dyDescent="0.25">
      <c r="A336" s="282" t="s">
        <v>363</v>
      </c>
      <c r="B336" s="302">
        <f>SUM(B334:B335)</f>
        <v>6.7923731173059378</v>
      </c>
      <c r="C336" s="299" t="str">
        <f>CONCATENATE("(",ROUND((B336/$H336)*100,1),")")</f>
        <v>(60.4)</v>
      </c>
      <c r="D336" s="302">
        <f>SUM(D334:D335)</f>
        <v>3.1292543886929538</v>
      </c>
      <c r="E336" s="299" t="str">
        <f>CONCATENATE("(",ROUND((D336/$H336)*100,1),")")</f>
        <v>(27.8)</v>
      </c>
      <c r="F336" s="302">
        <f>SUM(F334:F335)</f>
        <v>1.3163724940011032</v>
      </c>
      <c r="G336" s="299" t="str">
        <f>CONCATENATE("(",ROUND((F336/$H336)*100,1),")")</f>
        <v>(11.7)</v>
      </c>
      <c r="H336" s="302">
        <f>SUM(H334:H335)</f>
        <v>11.237999999999996</v>
      </c>
      <c r="I336" s="299" t="str">
        <f>CONCATENATE("(",ROUND((H336/$H336)*100,1),")")</f>
        <v>(100)</v>
      </c>
      <c r="K336" s="302">
        <f t="shared" si="256"/>
        <v>0.7978386430101585</v>
      </c>
      <c r="L336" s="302">
        <f t="shared" si="257"/>
        <v>-8.5144713534868188E-3</v>
      </c>
      <c r="M336" s="302">
        <f t="shared" si="258"/>
        <v>0.2086758283433181</v>
      </c>
      <c r="N336" s="302">
        <f t="shared" si="259"/>
        <v>0.99799999999998978</v>
      </c>
    </row>
    <row r="337" spans="1:14" x14ac:dyDescent="0.25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ht="13" x14ac:dyDescent="0.3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ht="13" x14ac:dyDescent="0.3">
      <c r="N342" s="287" t="s">
        <v>370</v>
      </c>
    </row>
    <row r="343" spans="1:14" ht="13" x14ac:dyDescent="0.3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ht="13" x14ac:dyDescent="0.3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5">
      <c r="A345" s="282" t="s">
        <v>364</v>
      </c>
      <c r="B345" s="302">
        <f>'Ind T6'!L144</f>
        <v>9.3728990940113697</v>
      </c>
      <c r="C345" s="299" t="str">
        <f>CONCATENATE("(",ROUND((B345/$H347)*100,1),")")</f>
        <v>(37.9)</v>
      </c>
      <c r="D345" s="302">
        <f>'Ind T6'!M144</f>
        <v>1.4432434329243191</v>
      </c>
      <c r="E345" s="299" t="str">
        <f>CONCATENATE("(",ROUND((D345/$H347)*100,1),")")</f>
        <v>(5.8)</v>
      </c>
      <c r="F345" s="302">
        <f>'Ind T6'!N144</f>
        <v>4.252508361602235</v>
      </c>
      <c r="G345" s="299" t="str">
        <f>CONCATENATE("(",ROUND((F345/$H347)*100,1),")")</f>
        <v>(17.2)</v>
      </c>
      <c r="H345" s="302">
        <f>SUM(B345,D345,F345)</f>
        <v>15.068650888537924</v>
      </c>
      <c r="I345" s="299" t="str">
        <f>CONCATENATE("(",ROUND((H345/$H347)*100,1),")")</f>
        <v>(60.9)</v>
      </c>
      <c r="K345" s="302">
        <f>B350-B345</f>
        <v>0.16826382963411746</v>
      </c>
      <c r="L345" s="302">
        <f>D350-D345</f>
        <v>8.6703131251910648E-2</v>
      </c>
      <c r="M345" s="302">
        <f>F350-F345</f>
        <v>0.13811834029382375</v>
      </c>
      <c r="N345" s="302">
        <f>SUM(K345:M345)</f>
        <v>0.39308530117985185</v>
      </c>
    </row>
    <row r="346" spans="1:14" x14ac:dyDescent="0.25">
      <c r="A346" s="282" t="s">
        <v>365</v>
      </c>
      <c r="B346" s="302">
        <f>'Ind T6'!L143</f>
        <v>4.9721707152387866</v>
      </c>
      <c r="C346" s="299" t="str">
        <f>CONCATENATE("(",ROUND((B346/$H347)*100,1),")")</f>
        <v>(20.1)</v>
      </c>
      <c r="D346" s="302">
        <f>'Ind T6'!M143</f>
        <v>3.5674229943910998</v>
      </c>
      <c r="E346" s="299" t="str">
        <f>CONCATENATE("(",ROUND((D346/$H347)*100,1),")")</f>
        <v>(14.4)</v>
      </c>
      <c r="F346" s="302">
        <f>'Ind T6'!N143</f>
        <v>1.1207554018322079</v>
      </c>
      <c r="G346" s="299" t="str">
        <f>CONCATENATE("(",ROUND((F346/$H347)*100,1),")")</f>
        <v>(4.5)</v>
      </c>
      <c r="H346" s="302">
        <f t="shared" ref="H346" si="260">SUM(B346,D346,F346)</f>
        <v>9.6603491114620947</v>
      </c>
      <c r="I346" s="299" t="str">
        <f>CONCATENATE("(",ROUND((H346/$H347)*100,1),")")</f>
        <v>(39.1)</v>
      </c>
      <c r="K346" s="302">
        <f t="shared" ref="K346:K347" si="261">B351-B346</f>
        <v>0.19965632329867589</v>
      </c>
      <c r="L346" s="302">
        <f t="shared" ref="L346:L347" si="262">D351-D346</f>
        <v>0.1687124998074192</v>
      </c>
      <c r="M346" s="302">
        <f t="shared" ref="M346:M347" si="263">F351-F346</f>
        <v>6.5545875714052348E-2</v>
      </c>
      <c r="N346" s="302">
        <f t="shared" ref="N346:N347" si="264">SUM(K346:M346)</f>
        <v>0.43391469882014744</v>
      </c>
    </row>
    <row r="347" spans="1:14" x14ac:dyDescent="0.25">
      <c r="A347" s="282" t="s">
        <v>363</v>
      </c>
      <c r="B347" s="302">
        <f>SUM(B345:B346)</f>
        <v>14.345069809250155</v>
      </c>
      <c r="C347" s="299" t="str">
        <f>CONCATENATE("(",ROUND((B347/$H347)*100,1),")")</f>
        <v>(58)</v>
      </c>
      <c r="D347" s="302">
        <f>SUM(D345:D346)</f>
        <v>5.0106664273154191</v>
      </c>
      <c r="E347" s="299" t="str">
        <f>CONCATENATE("(",ROUND((D347/$H347)*100,1),")")</f>
        <v>(20.3)</v>
      </c>
      <c r="F347" s="302">
        <f>SUM(F345:F346)</f>
        <v>5.3732637634344425</v>
      </c>
      <c r="G347" s="299" t="str">
        <f>CONCATENATE("(",ROUND((F347/$H347)*100,1),")")</f>
        <v>(21.7)</v>
      </c>
      <c r="H347" s="302">
        <f>SUM(H345:H346)</f>
        <v>24.729000000000021</v>
      </c>
      <c r="I347" s="299" t="str">
        <f>CONCATENATE("(",ROUND((H347/$H347)*100,1),")")</f>
        <v>(100)</v>
      </c>
      <c r="K347" s="302">
        <f t="shared" si="261"/>
        <v>0.36792015293279334</v>
      </c>
      <c r="L347" s="302">
        <f t="shared" si="262"/>
        <v>0.25541563105932941</v>
      </c>
      <c r="M347" s="302">
        <f t="shared" si="263"/>
        <v>0.20366421600787632</v>
      </c>
      <c r="N347" s="302">
        <f t="shared" si="264"/>
        <v>0.82699999999999907</v>
      </c>
    </row>
    <row r="348" spans="1:14" x14ac:dyDescent="0.25">
      <c r="B348" s="302"/>
      <c r="C348" s="284"/>
      <c r="D348" s="302"/>
      <c r="E348" s="284"/>
      <c r="F348" s="302"/>
      <c r="G348" s="284"/>
      <c r="H348" s="302"/>
      <c r="I348" s="284"/>
    </row>
    <row r="349" spans="1:14" ht="13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5">
      <c r="A350" s="282" t="s">
        <v>364</v>
      </c>
      <c r="B350" s="302">
        <f>'Ind T6'!Q144</f>
        <v>9.5411629236454871</v>
      </c>
      <c r="C350" s="299" t="str">
        <f>CONCATENATE("(",ROUND((B350/$H352)*100,1),")")</f>
        <v>(37.3)</v>
      </c>
      <c r="D350" s="302">
        <f>'Ind T6'!R144</f>
        <v>1.5299465641762298</v>
      </c>
      <c r="E350" s="299" t="str">
        <f>CONCATENATE("(",ROUND((D350/$H352)*100,1),")")</f>
        <v>(6)</v>
      </c>
      <c r="F350" s="302">
        <f>'Ind T6'!S144</f>
        <v>4.3906267018960587</v>
      </c>
      <c r="G350" s="299" t="str">
        <f>CONCATENATE("(",ROUND((F350/$H352)*100,1),")")</f>
        <v>(17.2)</v>
      </c>
      <c r="H350" s="302">
        <f>SUM(B350,D350,F350)</f>
        <v>15.461736189717776</v>
      </c>
      <c r="I350" s="299" t="str">
        <f>CONCATENATE("(",ROUND((H350/$H352)*100,1),")")</f>
        <v>(60.5)</v>
      </c>
      <c r="K350" s="302">
        <f>B355-B350</f>
        <v>0.27424638203836516</v>
      </c>
      <c r="L350" s="302">
        <f>D355-D350</f>
        <v>0.14932617274482829</v>
      </c>
      <c r="M350" s="302">
        <f>F355-F350</f>
        <v>0.24155346827861646</v>
      </c>
      <c r="N350" s="302">
        <f>SUM(K350:M350)</f>
        <v>0.6651260230618099</v>
      </c>
    </row>
    <row r="351" spans="1:14" x14ac:dyDescent="0.25">
      <c r="A351" s="282" t="s">
        <v>365</v>
      </c>
      <c r="B351" s="302">
        <f>'Ind T6'!Q143</f>
        <v>5.1718270385374625</v>
      </c>
      <c r="C351" s="299" t="str">
        <f>CONCATENATE("(",ROUND((B351/$H352)*100,1),")")</f>
        <v>(20.2)</v>
      </c>
      <c r="D351" s="302">
        <f>'Ind T6'!R143</f>
        <v>3.736135494198519</v>
      </c>
      <c r="E351" s="299" t="str">
        <f>CONCATENATE("(",ROUND((D351/$H352)*100,1),")")</f>
        <v>(14.6)</v>
      </c>
      <c r="F351" s="302">
        <f>'Ind T6'!S143</f>
        <v>1.1863012775462602</v>
      </c>
      <c r="G351" s="299" t="str">
        <f>CONCATENATE("(",ROUND((F351/$H352)*100,1),")")</f>
        <v>(4.6)</v>
      </c>
      <c r="H351" s="302">
        <f t="shared" ref="H351" si="265">SUM(B351,D351,F351)</f>
        <v>10.094263810282241</v>
      </c>
      <c r="I351" s="299" t="str">
        <f>CONCATENATE("(",ROUND((H351/$H352)*100,1),")")</f>
        <v>(39.5)</v>
      </c>
      <c r="K351" s="302">
        <f t="shared" ref="K351:K352" si="266">B356-B351</f>
        <v>0.30829705865459367</v>
      </c>
      <c r="L351" s="302">
        <f t="shared" ref="L351:L352" si="267">D356-D351</f>
        <v>0.24645087528301968</v>
      </c>
      <c r="M351" s="302">
        <f t="shared" ref="M351:M352" si="268">F356-F351</f>
        <v>0.11712604300056761</v>
      </c>
      <c r="N351" s="302">
        <f t="shared" ref="N351:N352" si="269">SUM(K351:M351)</f>
        <v>0.67187397693818096</v>
      </c>
    </row>
    <row r="352" spans="1:14" x14ac:dyDescent="0.25">
      <c r="A352" s="282" t="s">
        <v>363</v>
      </c>
      <c r="B352" s="302">
        <f>SUM(B350:B351)</f>
        <v>14.712989962182949</v>
      </c>
      <c r="C352" s="299" t="str">
        <f>CONCATENATE("(",ROUND((B352/$H352)*100,1),")")</f>
        <v>(57.6)</v>
      </c>
      <c r="D352" s="302">
        <f>SUM(D350:D351)</f>
        <v>5.2660820583747485</v>
      </c>
      <c r="E352" s="299" t="str">
        <f>CONCATENATE("(",ROUND((D352/$H352)*100,1),")")</f>
        <v>(20.6)</v>
      </c>
      <c r="F352" s="302">
        <f>SUM(F350:F351)</f>
        <v>5.5769279794423188</v>
      </c>
      <c r="G352" s="299" t="str">
        <f>CONCATENATE("(",ROUND((F352/$H352)*100,1),")")</f>
        <v>(21.8)</v>
      </c>
      <c r="H352" s="302">
        <f>SUM(H350:H351)</f>
        <v>25.556000000000019</v>
      </c>
      <c r="I352" s="299" t="str">
        <f>CONCATENATE("(",ROUND((H352/$H352)*100,1),")")</f>
        <v>(100)</v>
      </c>
      <c r="K352" s="302">
        <f t="shared" si="266"/>
        <v>0.58254344069295882</v>
      </c>
      <c r="L352" s="302">
        <f t="shared" si="267"/>
        <v>0.39577704802784819</v>
      </c>
      <c r="M352" s="302">
        <f t="shared" si="268"/>
        <v>0.35867951127918474</v>
      </c>
      <c r="N352" s="302">
        <f t="shared" si="269"/>
        <v>1.3369999999999918</v>
      </c>
    </row>
    <row r="353" spans="1:14" x14ac:dyDescent="0.25">
      <c r="B353" s="302"/>
      <c r="C353" s="284"/>
      <c r="D353" s="302"/>
      <c r="E353" s="284"/>
      <c r="F353" s="302"/>
      <c r="G353" s="284"/>
      <c r="H353" s="302"/>
      <c r="I353" s="284"/>
    </row>
    <row r="354" spans="1:14" ht="13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5">
      <c r="A355" s="282" t="s">
        <v>364</v>
      </c>
      <c r="B355" s="302">
        <f>'Ind T6'!V144</f>
        <v>9.8154093056838523</v>
      </c>
      <c r="C355" s="299" t="str">
        <f>CONCATENATE("(",ROUND((B355/$H357)*100,1),")")</f>
        <v>(36.5)</v>
      </c>
      <c r="D355" s="302">
        <f>'Ind T6'!W144</f>
        <v>1.6792727369210581</v>
      </c>
      <c r="E355" s="299" t="str">
        <f>CONCATENATE("(",ROUND((D355/$H357)*100,1),")")</f>
        <v>(6.2)</v>
      </c>
      <c r="F355" s="302">
        <f>'Ind T6'!X144</f>
        <v>4.6321801701746752</v>
      </c>
      <c r="G355" s="299" t="str">
        <f>CONCATENATE("(",ROUND((F355/$H357)*100,1),")")</f>
        <v>(17.2)</v>
      </c>
      <c r="H355" s="302">
        <f>SUM(B355,D355,F355)</f>
        <v>16.126862212779585</v>
      </c>
      <c r="I355" s="299" t="str">
        <f>CONCATENATE("(",ROUND((H355/$H357)*100,1),")")</f>
        <v>(60)</v>
      </c>
      <c r="K355" s="302">
        <f>B355-B345</f>
        <v>0.44251021167248261</v>
      </c>
      <c r="L355" s="302">
        <f>D355-D345</f>
        <v>0.23602930399673894</v>
      </c>
      <c r="M355" s="302">
        <f>F355-F345</f>
        <v>0.37967180857244021</v>
      </c>
      <c r="N355" s="302">
        <f>SUM(K355:M355)</f>
        <v>1.0582113242416618</v>
      </c>
    </row>
    <row r="356" spans="1:14" x14ac:dyDescent="0.25">
      <c r="A356" s="282" t="s">
        <v>365</v>
      </c>
      <c r="B356" s="302">
        <f>'Ind T6'!V143</f>
        <v>5.4801240971920562</v>
      </c>
      <c r="C356" s="299" t="str">
        <f>CONCATENATE("(",ROUND((B356/$H357)*100,1),")")</f>
        <v>(20.4)</v>
      </c>
      <c r="D356" s="302">
        <f>'Ind T6'!W143</f>
        <v>3.9825863694815387</v>
      </c>
      <c r="E356" s="299" t="str">
        <f>CONCATENATE("(",ROUND((D356/$H357)*100,1),")")</f>
        <v>(14.8)</v>
      </c>
      <c r="F356" s="302">
        <f>'Ind T6'!X143</f>
        <v>1.3034273205468279</v>
      </c>
      <c r="G356" s="299" t="str">
        <f>CONCATENATE("(",ROUND((F356/$H357)*100,1),")")</f>
        <v>(4.8)</v>
      </c>
      <c r="H356" s="302">
        <f t="shared" ref="H356" si="270">SUM(B356,D356,F356)</f>
        <v>10.766137787220423</v>
      </c>
      <c r="I356" s="299" t="str">
        <f>CONCATENATE("(",ROUND((H356/$H357)*100,1),")")</f>
        <v>(40)</v>
      </c>
      <c r="K356" s="302">
        <f t="shared" ref="K356:K357" si="271">B356-B346</f>
        <v>0.50795338195326956</v>
      </c>
      <c r="L356" s="302">
        <f t="shared" ref="L356:L357" si="272">D356-D346</f>
        <v>0.41516337509043888</v>
      </c>
      <c r="M356" s="302">
        <f t="shared" ref="M356:M357" si="273">F356-F346</f>
        <v>0.18267191871461996</v>
      </c>
      <c r="N356" s="302">
        <f t="shared" ref="N356:N357" si="274">SUM(K356:M356)</f>
        <v>1.1057886757583284</v>
      </c>
    </row>
    <row r="357" spans="1:14" x14ac:dyDescent="0.25">
      <c r="A357" s="282" t="s">
        <v>363</v>
      </c>
      <c r="B357" s="302">
        <f>SUM(B355:B356)</f>
        <v>15.295533402875908</v>
      </c>
      <c r="C357" s="299" t="str">
        <f>CONCATENATE("(",ROUND((B357/$H357)*100,1),")")</f>
        <v>(56.9)</v>
      </c>
      <c r="D357" s="302">
        <f>SUM(D355:D356)</f>
        <v>5.6618591064025967</v>
      </c>
      <c r="E357" s="299" t="str">
        <f>CONCATENATE("(",ROUND((D357/$H357)*100,1),")")</f>
        <v>(21.1)</v>
      </c>
      <c r="F357" s="302">
        <f>SUM(F355:F356)</f>
        <v>5.9356074907215035</v>
      </c>
      <c r="G357" s="299" t="str">
        <f>CONCATENATE("(",ROUND((F357/$H357)*100,1),")")</f>
        <v>(22.1)</v>
      </c>
      <c r="H357" s="302">
        <f>SUM(H355:H356)</f>
        <v>26.893000000000008</v>
      </c>
      <c r="I357" s="299" t="str">
        <f>CONCATENATE("(",ROUND((H357/$H357)*100,1),")")</f>
        <v>(100)</v>
      </c>
      <c r="K357" s="302">
        <f t="shared" si="271"/>
        <v>0.95046359362575217</v>
      </c>
      <c r="L357" s="302">
        <f t="shared" si="272"/>
        <v>0.65119267908717759</v>
      </c>
      <c r="M357" s="302">
        <f t="shared" si="273"/>
        <v>0.56234372728706106</v>
      </c>
      <c r="N357" s="302">
        <f t="shared" si="274"/>
        <v>2.1639999999999908</v>
      </c>
    </row>
    <row r="358" spans="1:14" x14ac:dyDescent="0.25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ht="13" x14ac:dyDescent="0.3">
      <c r="C361" s="182"/>
      <c r="E361" s="182"/>
      <c r="G361" s="182"/>
      <c r="I361" s="182"/>
    </row>
    <row r="362" spans="1:14" ht="13" x14ac:dyDescent="0.3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ht="13" x14ac:dyDescent="0.3">
      <c r="N363" s="287" t="s">
        <v>370</v>
      </c>
    </row>
    <row r="364" spans="1:14" ht="13" x14ac:dyDescent="0.3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ht="13" x14ac:dyDescent="0.3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5">
      <c r="A366" s="282" t="s">
        <v>364</v>
      </c>
      <c r="B366" s="302">
        <f>'Ind T6'!L153</f>
        <v>12.581782399297323</v>
      </c>
      <c r="C366" s="299" t="str">
        <f>CONCATENATE("(",ROUND((B366/$H368)*100,1),")")</f>
        <v>(39.1)</v>
      </c>
      <c r="D366" s="302">
        <f>'Ind T6'!M153</f>
        <v>4.432351799548794</v>
      </c>
      <c r="E366" s="299" t="str">
        <f>CONCATENATE("(",ROUND((D366/$H368)*100,1),")")</f>
        <v>(13.8)</v>
      </c>
      <c r="F366" s="302">
        <f>'Ind T6'!N153</f>
        <v>1.2129583032015416</v>
      </c>
      <c r="G366" s="299" t="str">
        <f>CONCATENATE("(",ROUND((F366/$H368)*100,1),")")</f>
        <v>(3.8)</v>
      </c>
      <c r="H366" s="302">
        <f>SUM(B366,D366,F366)</f>
        <v>18.227092502047658</v>
      </c>
      <c r="I366" s="299" t="str">
        <f>CONCATENATE("(",ROUND((H366/$H368)*100,1),")")</f>
        <v>(56.7)</v>
      </c>
      <c r="K366" s="302">
        <f>B371-B366</f>
        <v>0.68034042553829543</v>
      </c>
      <c r="L366" s="302">
        <f>D371-D366</f>
        <v>0.23016660631124886</v>
      </c>
      <c r="M366" s="302">
        <f>F371-F366</f>
        <v>4.5648513004097335E-2</v>
      </c>
      <c r="N366" s="302">
        <f>SUM(K366:M366)</f>
        <v>0.95615554485364163</v>
      </c>
    </row>
    <row r="367" spans="1:14" x14ac:dyDescent="0.25">
      <c r="A367" s="282" t="s">
        <v>365</v>
      </c>
      <c r="B367" s="302">
        <f>'Ind T6'!L152</f>
        <v>6.4415799888398961</v>
      </c>
      <c r="C367" s="299" t="str">
        <f>CONCATENATE("(",ROUND((B367/$H368)*100,1),")")</f>
        <v>(20)</v>
      </c>
      <c r="D367" s="302">
        <f>'Ind T6'!M152</f>
        <v>6.0683825109232981</v>
      </c>
      <c r="E367" s="299" t="str">
        <f>CONCATENATE("(",ROUND((D367/$H368)*100,1),")")</f>
        <v>(18.9)</v>
      </c>
      <c r="F367" s="302">
        <f>'Ind T6'!N152</f>
        <v>1.4309449981890798</v>
      </c>
      <c r="G367" s="299" t="str">
        <f>CONCATENATE("(",ROUND((F367/$H368)*100,1),")")</f>
        <v>(4.4)</v>
      </c>
      <c r="H367" s="302">
        <f t="shared" ref="H367" si="275">SUM(B367,D367,F367)</f>
        <v>13.940907497952274</v>
      </c>
      <c r="I367" s="299" t="str">
        <f>CONCATENATE("(",ROUND((H367/$H368)*100,1),")")</f>
        <v>(43.3)</v>
      </c>
      <c r="K367" s="302">
        <f t="shared" ref="K367:K368" si="276">B372-B367</f>
        <v>0.47064557155351139</v>
      </c>
      <c r="L367" s="302">
        <f t="shared" ref="L367:L368" si="277">D372-D367</f>
        <v>0.20797345381582666</v>
      </c>
      <c r="M367" s="302">
        <f t="shared" ref="M367:M368" si="278">F372-F367</f>
        <v>5.222542977708744E-2</v>
      </c>
      <c r="N367" s="302">
        <f t="shared" ref="N367:N368" si="279">SUM(K367:M367)</f>
        <v>0.73084445514642549</v>
      </c>
    </row>
    <row r="368" spans="1:14" x14ac:dyDescent="0.25">
      <c r="A368" s="282" t="s">
        <v>363</v>
      </c>
      <c r="B368" s="302">
        <f>SUM(B366:B367)</f>
        <v>19.023362388137219</v>
      </c>
      <c r="C368" s="299" t="str">
        <f>CONCATENATE("(",ROUND((B368/$H368)*100,1),")")</f>
        <v>(59.1)</v>
      </c>
      <c r="D368" s="302">
        <f>SUM(D366:D367)</f>
        <v>10.500734310472092</v>
      </c>
      <c r="E368" s="299" t="str">
        <f>CONCATENATE("(",ROUND((D368/$H368)*100,1),")")</f>
        <v>(32.6)</v>
      </c>
      <c r="F368" s="302">
        <f>SUM(F366:F367)</f>
        <v>2.6439033013906217</v>
      </c>
      <c r="G368" s="299" t="str">
        <f>CONCATENATE("(",ROUND((F368/$H368)*100,1),")")</f>
        <v>(8.2)</v>
      </c>
      <c r="H368" s="302">
        <f>SUM(H366:H367)</f>
        <v>32.167999999999935</v>
      </c>
      <c r="I368" s="299" t="str">
        <f>CONCATENATE("(",ROUND((H368/$H368)*100,1),")")</f>
        <v>(100)</v>
      </c>
      <c r="K368" s="302">
        <f t="shared" si="276"/>
        <v>1.150985997091805</v>
      </c>
      <c r="L368" s="302">
        <f t="shared" si="277"/>
        <v>0.43814006012707551</v>
      </c>
      <c r="M368" s="302">
        <f t="shared" si="278"/>
        <v>9.7873942781184553E-2</v>
      </c>
      <c r="N368" s="302">
        <f t="shared" si="279"/>
        <v>1.6870000000000651</v>
      </c>
    </row>
    <row r="369" spans="1:14" x14ac:dyDescent="0.25">
      <c r="B369" s="302"/>
      <c r="C369" s="284"/>
      <c r="D369" s="302"/>
      <c r="E369" s="284"/>
      <c r="F369" s="302"/>
      <c r="G369" s="284"/>
      <c r="H369" s="302"/>
      <c r="I369" s="284"/>
    </row>
    <row r="370" spans="1:14" ht="13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5">
      <c r="A371" s="282" t="s">
        <v>364</v>
      </c>
      <c r="B371" s="302">
        <f>'Ind T6'!Q153</f>
        <v>13.262122824835618</v>
      </c>
      <c r="C371" s="299" t="str">
        <f>CONCATENATE("(",ROUND((B371/$H373)*100,1),")")</f>
        <v>(39.2)</v>
      </c>
      <c r="D371" s="302">
        <f>'Ind T6'!R153</f>
        <v>4.6625184058600428</v>
      </c>
      <c r="E371" s="299" t="str">
        <f>CONCATENATE("(",ROUND((D371/$H373)*100,1),")")</f>
        <v>(13.8)</v>
      </c>
      <c r="F371" s="302">
        <f>'Ind T6'!S153</f>
        <v>1.258606816205639</v>
      </c>
      <c r="G371" s="299" t="str">
        <f>CONCATENATE("(",ROUND((F371/$H373)*100,1),")")</f>
        <v>(3.7)</v>
      </c>
      <c r="H371" s="302">
        <f>SUM(B371,D371,F371)</f>
        <v>19.183248046901301</v>
      </c>
      <c r="I371" s="299" t="str">
        <f>CONCATENATE("(",ROUND((H371/$H373)*100,1),")")</f>
        <v>(56.7)</v>
      </c>
      <c r="K371" s="302">
        <f>B376-B371</f>
        <v>0.75166323266375734</v>
      </c>
      <c r="L371" s="302">
        <f>D376-D371</f>
        <v>0.21913779189572047</v>
      </c>
      <c r="M371" s="302">
        <f>F376-F371</f>
        <v>7.5247216377636095E-2</v>
      </c>
      <c r="N371" s="302">
        <f>SUM(K371:M371)</f>
        <v>1.0460482409371139</v>
      </c>
    </row>
    <row r="372" spans="1:14" x14ac:dyDescent="0.25">
      <c r="A372" s="282" t="s">
        <v>365</v>
      </c>
      <c r="B372" s="302">
        <f>'Ind T6'!Q152</f>
        <v>6.9122255603934075</v>
      </c>
      <c r="C372" s="299" t="str">
        <f>CONCATENATE("(",ROUND((B372/$H373)*100,1),")")</f>
        <v>(20.4)</v>
      </c>
      <c r="D372" s="302">
        <f>'Ind T6'!R152</f>
        <v>6.2763559647391247</v>
      </c>
      <c r="E372" s="299" t="str">
        <f>CONCATENATE("(",ROUND((D372/$H373)*100,1),")")</f>
        <v>(18.5)</v>
      </c>
      <c r="F372" s="302">
        <f>'Ind T6'!S152</f>
        <v>1.4831704279661673</v>
      </c>
      <c r="G372" s="299" t="str">
        <f>CONCATENATE("(",ROUND((F372/$H373)*100,1),")")</f>
        <v>(4.4)</v>
      </c>
      <c r="H372" s="302">
        <f t="shared" ref="H372" si="280">SUM(B372,D372,F372)</f>
        <v>14.671751953098699</v>
      </c>
      <c r="I372" s="299" t="str">
        <f>CONCATENATE("(",ROUND((H372/$H373)*100,1),")")</f>
        <v>(43.3)</v>
      </c>
      <c r="K372" s="302">
        <f t="shared" ref="K372:K373" si="281">B377-B372</f>
        <v>0.55473142741594383</v>
      </c>
      <c r="L372" s="302">
        <f t="shared" ref="L372:L373" si="282">D377-D372</f>
        <v>0.12905494202992518</v>
      </c>
      <c r="M372" s="302">
        <f t="shared" ref="M372:M373" si="283">F377-F372</f>
        <v>9.8165389616989174E-2</v>
      </c>
      <c r="N372" s="302">
        <f t="shared" ref="N372:N373" si="284">SUM(K372:M372)</f>
        <v>0.78195175906285819</v>
      </c>
    </row>
    <row r="373" spans="1:14" x14ac:dyDescent="0.25">
      <c r="A373" s="282" t="s">
        <v>363</v>
      </c>
      <c r="B373" s="302">
        <f>SUM(B371:B372)</f>
        <v>20.174348385229024</v>
      </c>
      <c r="C373" s="299" t="str">
        <f>CONCATENATE("(",ROUND((B373/$H373)*100,1),")")</f>
        <v>(59.6)</v>
      </c>
      <c r="D373" s="302">
        <f>SUM(D371:D372)</f>
        <v>10.938874370599168</v>
      </c>
      <c r="E373" s="299" t="str">
        <f>CONCATENATE("(",ROUND((D373/$H373)*100,1),")")</f>
        <v>(32.3)</v>
      </c>
      <c r="F373" s="302">
        <f>SUM(F371:F372)</f>
        <v>2.7417772441718062</v>
      </c>
      <c r="G373" s="299" t="str">
        <f>CONCATENATE("(",ROUND((F373/$H373)*100,1),")")</f>
        <v>(8.1)</v>
      </c>
      <c r="H373" s="302">
        <f>SUM(H371:H372)</f>
        <v>33.855000000000004</v>
      </c>
      <c r="I373" s="299" t="str">
        <f>CONCATENATE("(",ROUND((H373/$H373)*100,1),")")</f>
        <v>(100)</v>
      </c>
      <c r="K373" s="302">
        <f t="shared" si="281"/>
        <v>1.3063946600797038</v>
      </c>
      <c r="L373" s="302">
        <f t="shared" si="282"/>
        <v>0.34819273392564476</v>
      </c>
      <c r="M373" s="302">
        <f t="shared" si="283"/>
        <v>0.17341260599462505</v>
      </c>
      <c r="N373" s="302">
        <f t="shared" si="284"/>
        <v>1.8279999999999736</v>
      </c>
    </row>
    <row r="374" spans="1:14" x14ac:dyDescent="0.25">
      <c r="B374" s="302"/>
      <c r="C374" s="284"/>
      <c r="D374" s="302"/>
      <c r="E374" s="284"/>
      <c r="F374" s="302"/>
      <c r="G374" s="284"/>
      <c r="H374" s="302"/>
      <c r="I374" s="284"/>
    </row>
    <row r="375" spans="1:14" ht="13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5">
      <c r="A376" s="282" t="s">
        <v>364</v>
      </c>
      <c r="B376" s="302">
        <f>'Ind T6'!V153</f>
        <v>14.013786057499376</v>
      </c>
      <c r="C376" s="299" t="str">
        <f>CONCATENATE("(",ROUND((B376/$H378)*100,1),")")</f>
        <v>(39.3)</v>
      </c>
      <c r="D376" s="302">
        <f>'Ind T6'!W153</f>
        <v>4.8816561977557633</v>
      </c>
      <c r="E376" s="299" t="str">
        <f>CONCATENATE("(",ROUND((D376/$H378)*100,1),")")</f>
        <v>(13.7)</v>
      </c>
      <c r="F376" s="302">
        <f>'Ind T6'!X153</f>
        <v>1.3338540325832751</v>
      </c>
      <c r="G376" s="299" t="str">
        <f>CONCATENATE("(",ROUND((F376/$H378)*100,1),")")</f>
        <v>(3.7)</v>
      </c>
      <c r="H376" s="302">
        <f>SUM(B376,D376,F376)</f>
        <v>20.229296287838416</v>
      </c>
      <c r="I376" s="299" t="str">
        <f>CONCATENATE("(",ROUND((H376/$H378)*100,1),")")</f>
        <v>(56.7)</v>
      </c>
      <c r="K376" s="302">
        <f>B376-B366</f>
        <v>1.4320036582020528</v>
      </c>
      <c r="L376" s="302">
        <f>D376-D366</f>
        <v>0.44930439820696932</v>
      </c>
      <c r="M376" s="302">
        <f>F376-F366</f>
        <v>0.12089572938173343</v>
      </c>
      <c r="N376" s="302">
        <f>SUM(K376:M376)</f>
        <v>2.0022037857907558</v>
      </c>
    </row>
    <row r="377" spans="1:14" x14ac:dyDescent="0.25">
      <c r="A377" s="282" t="s">
        <v>365</v>
      </c>
      <c r="B377" s="302">
        <f>'Ind T6'!V152</f>
        <v>7.4669569878093514</v>
      </c>
      <c r="C377" s="299" t="str">
        <f>CONCATENATE("(",ROUND((B377/$H378)*100,1),")")</f>
        <v>(20.9)</v>
      </c>
      <c r="D377" s="302">
        <f>'Ind T6'!W152</f>
        <v>6.4054109067690499</v>
      </c>
      <c r="E377" s="299" t="str">
        <f>CONCATENATE("(",ROUND((D377/$H378)*100,1),")")</f>
        <v>(18)</v>
      </c>
      <c r="F377" s="302">
        <f>'Ind T6'!X152</f>
        <v>1.5813358175831564</v>
      </c>
      <c r="G377" s="299" t="str">
        <f>CONCATENATE("(",ROUND((F377/$H378)*100,1),")")</f>
        <v>(4.4)</v>
      </c>
      <c r="H377" s="302">
        <f t="shared" ref="H377" si="285">SUM(B377,D377,F377)</f>
        <v>15.453703712161557</v>
      </c>
      <c r="I377" s="299" t="str">
        <f>CONCATENATE("(",ROUND((H377/$H378)*100,1),")")</f>
        <v>(43.3)</v>
      </c>
      <c r="K377" s="302">
        <f t="shared" ref="K377:K378" si="286">B377-B367</f>
        <v>1.0253769989694552</v>
      </c>
      <c r="L377" s="302">
        <f t="shared" ref="L377:L378" si="287">D377-D367</f>
        <v>0.33702839584575184</v>
      </c>
      <c r="M377" s="302">
        <f t="shared" ref="M377:M378" si="288">F377-F367</f>
        <v>0.15039081939407661</v>
      </c>
      <c r="N377" s="302">
        <f t="shared" ref="N377:N378" si="289">SUM(K377:M377)</f>
        <v>1.5127962142092837</v>
      </c>
    </row>
    <row r="378" spans="1:14" x14ac:dyDescent="0.25">
      <c r="A378" s="282" t="s">
        <v>363</v>
      </c>
      <c r="B378" s="302">
        <f>SUM(B376:B377)</f>
        <v>21.480743045308728</v>
      </c>
      <c r="C378" s="299" t="str">
        <f>CONCATENATE("(",ROUND((B378/$H378)*100,1),")")</f>
        <v>(60.2)</v>
      </c>
      <c r="D378" s="302">
        <f>SUM(D376:D377)</f>
        <v>11.287067104524812</v>
      </c>
      <c r="E378" s="299" t="str">
        <f>CONCATENATE("(",ROUND((D378/$H378)*100,1),")")</f>
        <v>(31.6)</v>
      </c>
      <c r="F378" s="302">
        <f>SUM(F376:F377)</f>
        <v>2.9151898501664313</v>
      </c>
      <c r="G378" s="299" t="str">
        <f>CONCATENATE("(",ROUND((F378/$H378)*100,1),")")</f>
        <v>(8.2)</v>
      </c>
      <c r="H378" s="302">
        <f>SUM(H376:H377)</f>
        <v>35.682999999999971</v>
      </c>
      <c r="I378" s="299" t="str">
        <f>CONCATENATE("(",ROUND((H378/$H378)*100,1),")")</f>
        <v>(100)</v>
      </c>
      <c r="K378" s="302">
        <f t="shared" si="286"/>
        <v>2.4573806571715089</v>
      </c>
      <c r="L378" s="302">
        <f t="shared" si="287"/>
        <v>0.78633279405272027</v>
      </c>
      <c r="M378" s="302">
        <f t="shared" si="288"/>
        <v>0.2712865487758096</v>
      </c>
      <c r="N378" s="302">
        <f t="shared" si="289"/>
        <v>3.5150000000000388</v>
      </c>
    </row>
    <row r="379" spans="1:14" x14ac:dyDescent="0.25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ht="13" x14ac:dyDescent="0.3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ht="13" x14ac:dyDescent="0.3">
      <c r="N384" s="287" t="s">
        <v>370</v>
      </c>
    </row>
    <row r="385" spans="1:14" ht="13" x14ac:dyDescent="0.3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ht="13" x14ac:dyDescent="0.3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5">
      <c r="A387" s="282" t="s">
        <v>364</v>
      </c>
      <c r="B387" s="302">
        <f>'Ind T6'!L162</f>
        <v>5.3783174965932981</v>
      </c>
      <c r="C387" s="299" t="str">
        <f>CONCATENATE("(",ROUND((B387/$H389)*100,1),")")</f>
        <v>(35.2)</v>
      </c>
      <c r="D387" s="302">
        <f>'Ind T6'!M162</f>
        <v>0.75960737922339294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6.1379248758166911</v>
      </c>
      <c r="I387" s="299" t="str">
        <f>CONCATENATE("(",ROUND((H387/$H389)*100,1),")")</f>
        <v>(40.2)</v>
      </c>
      <c r="K387" s="302">
        <f>B392-B387</f>
        <v>6.3145922448724079E-3</v>
      </c>
      <c r="L387" s="302">
        <f>D392-D387</f>
        <v>5.8389724564054557E-2</v>
      </c>
      <c r="M387" s="302">
        <f>F392-F387</f>
        <v>0</v>
      </c>
      <c r="N387" s="302">
        <f>SUM(K387:M387)</f>
        <v>6.4704316808926965E-2</v>
      </c>
    </row>
    <row r="388" spans="1:14" x14ac:dyDescent="0.25">
      <c r="A388" s="282" t="s">
        <v>365</v>
      </c>
      <c r="B388" s="302">
        <f>'Ind T6'!L161</f>
        <v>4.7324412094097159</v>
      </c>
      <c r="C388" s="299" t="str">
        <f>CONCATENATE("(",ROUND((B388/$H389)*100,1),")")</f>
        <v>(31)</v>
      </c>
      <c r="D388" s="302">
        <f>'Ind T6'!M161</f>
        <v>4.133414377815062</v>
      </c>
      <c r="E388" s="299" t="str">
        <f>CONCATENATE("(",ROUND((D388/$H389)*100,1),")")</f>
        <v>(27)</v>
      </c>
      <c r="F388" s="302">
        <f>'Ind T6'!N161</f>
        <v>0.27721953695850915</v>
      </c>
      <c r="G388" s="299" t="str">
        <f>CONCATENATE("(",ROUND((F388/$H389)*100,1),")")</f>
        <v>(1.8)</v>
      </c>
      <c r="H388" s="302">
        <f t="shared" ref="H388" si="290">SUM(B388,D388,F388)</f>
        <v>9.1430751241832873</v>
      </c>
      <c r="I388" s="299" t="str">
        <f>CONCATENATE("(",ROUND((H388/$H389)*100,1),")")</f>
        <v>(59.8)</v>
      </c>
      <c r="K388" s="302">
        <f t="shared" ref="K388:K389" si="291">B393-B388</f>
        <v>0.10321124477555443</v>
      </c>
      <c r="L388" s="302">
        <f t="shared" ref="L388:L389" si="292">D393-D388</f>
        <v>9.8693577544491262E-2</v>
      </c>
      <c r="M388" s="302">
        <f t="shared" ref="M388:M389" si="293">F393-F388</f>
        <v>6.39086087105184E-3</v>
      </c>
      <c r="N388" s="302">
        <f t="shared" ref="N388:N389" si="294">SUM(K388:M388)</f>
        <v>0.20829568319109754</v>
      </c>
    </row>
    <row r="389" spans="1:14" x14ac:dyDescent="0.25">
      <c r="A389" s="282" t="s">
        <v>363</v>
      </c>
      <c r="B389" s="302">
        <f>SUM(B387:B388)</f>
        <v>10.110758706003015</v>
      </c>
      <c r="C389" s="299" t="str">
        <f>CONCATENATE("(",ROUND((B389/$H389)*100,1),")")</f>
        <v>(66.2)</v>
      </c>
      <c r="D389" s="302">
        <f>SUM(D387:D388)</f>
        <v>4.8930217570384551</v>
      </c>
      <c r="E389" s="299" t="str">
        <f>CONCATENATE("(",ROUND((D389/$H389)*100,1),")")</f>
        <v>(32)</v>
      </c>
      <c r="F389" s="302">
        <f>SUM(F387:F388)</f>
        <v>0.27721953695850915</v>
      </c>
      <c r="G389" s="299" t="str">
        <f>CONCATENATE("(",ROUND((F389/$H389)*100,1),")")</f>
        <v>(1.8)</v>
      </c>
      <c r="H389" s="302">
        <f>SUM(H387:H388)</f>
        <v>15.280999999999977</v>
      </c>
      <c r="I389" s="299" t="str">
        <f>CONCATENATE("(",ROUND((H389/$H389)*100,1),")")</f>
        <v>(100)</v>
      </c>
      <c r="K389" s="302">
        <f t="shared" si="291"/>
        <v>0.10952583702042595</v>
      </c>
      <c r="L389" s="302">
        <f t="shared" si="292"/>
        <v>0.15708330210854538</v>
      </c>
      <c r="M389" s="302">
        <f t="shared" si="293"/>
        <v>6.39086087105184E-3</v>
      </c>
      <c r="N389" s="302">
        <f t="shared" si="294"/>
        <v>0.27300000000002317</v>
      </c>
    </row>
    <row r="390" spans="1:14" x14ac:dyDescent="0.25">
      <c r="B390" s="302"/>
      <c r="C390" s="284"/>
      <c r="D390" s="302"/>
      <c r="E390" s="284"/>
      <c r="F390" s="302"/>
      <c r="G390" s="284"/>
      <c r="H390" s="302"/>
      <c r="I390" s="284"/>
    </row>
    <row r="391" spans="1:14" ht="13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5">
      <c r="A392" s="282" t="s">
        <v>364</v>
      </c>
      <c r="B392" s="302">
        <f>'Ind T6'!Q162</f>
        <v>5.3846320888381705</v>
      </c>
      <c r="C392" s="299" t="str">
        <f>CONCATENATE("(",ROUND((B392/$H394)*100,1),")")</f>
        <v>(34.6)</v>
      </c>
      <c r="D392" s="302">
        <f>'Ind T6'!R162</f>
        <v>0.8179971037874475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6.2026291926256176</v>
      </c>
      <c r="I392" s="299" t="str">
        <f>CONCATENATE("(",ROUND((H392/$H394)*100,1),")")</f>
        <v>(39.9)</v>
      </c>
      <c r="K392" s="302">
        <f>B397-B392</f>
        <v>4.9043796240813009E-2</v>
      </c>
      <c r="L392" s="302">
        <f>D397-D392</f>
        <v>0.13131689600136232</v>
      </c>
      <c r="M392" s="302">
        <f>F397-F392</f>
        <v>0</v>
      </c>
      <c r="N392" s="302">
        <f>SUM(K392:M392)</f>
        <v>0.18036069224217532</v>
      </c>
    </row>
    <row r="393" spans="1:14" x14ac:dyDescent="0.25">
      <c r="A393" s="282" t="s">
        <v>365</v>
      </c>
      <c r="B393" s="302">
        <f>'Ind T6'!Q161</f>
        <v>4.8356524541852703</v>
      </c>
      <c r="C393" s="299" t="str">
        <f>CONCATENATE("(",ROUND((B393/$H394)*100,1),")")</f>
        <v>(31.1)</v>
      </c>
      <c r="D393" s="302">
        <f>'Ind T6'!R161</f>
        <v>4.2321079553595533</v>
      </c>
      <c r="E393" s="299" t="str">
        <f>CONCATENATE("(",ROUND((D393/$H394)*100,1),")")</f>
        <v>(27.2)</v>
      </c>
      <c r="F393" s="302">
        <f>'Ind T6'!S161</f>
        <v>0.28361039782956099</v>
      </c>
      <c r="G393" s="299" t="str">
        <f>CONCATENATE("(",ROUND((F393/$H394)*100,1),")")</f>
        <v>(1.8)</v>
      </c>
      <c r="H393" s="302">
        <f t="shared" ref="H393" si="295">SUM(B393,D393,F393)</f>
        <v>9.3513708073743853</v>
      </c>
      <c r="I393" s="299" t="str">
        <f>CONCATENATE("(",ROUND((H393/$H394)*100,1),")")</f>
        <v>(60.1)</v>
      </c>
      <c r="K393" s="302">
        <f t="shared" ref="K393:K394" si="296">B398-B393</f>
        <v>0.25137541625480164</v>
      </c>
      <c r="L393" s="302">
        <f t="shared" ref="L393:L394" si="297">D398-D393</f>
        <v>0.2219381008006529</v>
      </c>
      <c r="M393" s="302">
        <f t="shared" ref="M393:M394" si="298">F398-F393</f>
        <v>1.7325790702384103E-2</v>
      </c>
      <c r="N393" s="302">
        <f t="shared" ref="N393:N394" si="299">SUM(K393:M393)</f>
        <v>0.49063930775783865</v>
      </c>
    </row>
    <row r="394" spans="1:14" x14ac:dyDescent="0.25">
      <c r="A394" s="282" t="s">
        <v>363</v>
      </c>
      <c r="B394" s="302">
        <f>SUM(B392:B393)</f>
        <v>10.220284543023441</v>
      </c>
      <c r="C394" s="299" t="str">
        <f>CONCATENATE("(",ROUND((B394/$H394)*100,1),")")</f>
        <v>(65.7)</v>
      </c>
      <c r="D394" s="302">
        <f>SUM(D392:D393)</f>
        <v>5.0501050591470005</v>
      </c>
      <c r="E394" s="299" t="str">
        <f>CONCATENATE("(",ROUND((D394/$H394)*100,1),")")</f>
        <v>(32.5)</v>
      </c>
      <c r="F394" s="302">
        <f>SUM(F392:F393)</f>
        <v>0.28361039782956099</v>
      </c>
      <c r="G394" s="299" t="str">
        <f>CONCATENATE("(",ROUND((F394/$H394)*100,1),")")</f>
        <v>(1.8)</v>
      </c>
      <c r="H394" s="302">
        <f>SUM(H392:H393)</f>
        <v>15.554000000000002</v>
      </c>
      <c r="I394" s="299" t="str">
        <f>CONCATENATE("(",ROUND((H394/$H394)*100,1),")")</f>
        <v>(100)</v>
      </c>
      <c r="K394" s="302">
        <f t="shared" si="296"/>
        <v>0.30041921249561376</v>
      </c>
      <c r="L394" s="302">
        <f t="shared" si="297"/>
        <v>0.35325499680201577</v>
      </c>
      <c r="M394" s="302">
        <f t="shared" si="298"/>
        <v>1.7325790702384103E-2</v>
      </c>
      <c r="N394" s="302">
        <f t="shared" si="299"/>
        <v>0.67100000000001359</v>
      </c>
    </row>
    <row r="395" spans="1:14" x14ac:dyDescent="0.25">
      <c r="B395" s="302"/>
      <c r="C395" s="284"/>
      <c r="D395" s="302"/>
      <c r="E395" s="284"/>
      <c r="F395" s="302"/>
      <c r="G395" s="284"/>
      <c r="H395" s="302"/>
      <c r="I395" s="284"/>
    </row>
    <row r="396" spans="1:14" ht="13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5">
      <c r="A397" s="282" t="s">
        <v>364</v>
      </c>
      <c r="B397" s="302">
        <f>'Ind T6'!V162</f>
        <v>5.4336758850789835</v>
      </c>
      <c r="C397" s="299" t="str">
        <f>CONCATENATE("(",ROUND((B397/$H399)*100,1),")")</f>
        <v>(33.5)</v>
      </c>
      <c r="D397" s="302">
        <f>'Ind T6'!W162</f>
        <v>0.94931399978880981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6.3829898848677935</v>
      </c>
      <c r="I397" s="299" t="str">
        <f>CONCATENATE("(",ROUND((H397/$H399)*100,1),")")</f>
        <v>(39.3)</v>
      </c>
      <c r="K397" s="302">
        <f>B397-B387</f>
        <v>5.5358388485685417E-2</v>
      </c>
      <c r="L397" s="302">
        <f>D397-D387</f>
        <v>0.18970662056541687</v>
      </c>
      <c r="M397" s="302">
        <f>F397-F387</f>
        <v>0</v>
      </c>
      <c r="N397" s="302">
        <f>SUM(K397:M397)</f>
        <v>0.24506500905110229</v>
      </c>
    </row>
    <row r="398" spans="1:14" x14ac:dyDescent="0.25">
      <c r="A398" s="282" t="s">
        <v>365</v>
      </c>
      <c r="B398" s="302">
        <f>'Ind T6'!V161</f>
        <v>5.087027870440072</v>
      </c>
      <c r="C398" s="299" t="str">
        <f>CONCATENATE("(",ROUND((B398/$H399)*100,1),")")</f>
        <v>(31.4)</v>
      </c>
      <c r="D398" s="302">
        <f>'Ind T6'!W161</f>
        <v>4.4540460561602062</v>
      </c>
      <c r="E398" s="299" t="str">
        <f>CONCATENATE("(",ROUND((D398/$H399)*100,1),")")</f>
        <v>(27.5)</v>
      </c>
      <c r="F398" s="302">
        <f>'Ind T6'!X161</f>
        <v>0.30093618853194509</v>
      </c>
      <c r="G398" s="299" t="str">
        <f>CONCATENATE("(",ROUND((F398/$H399)*100,1),")")</f>
        <v>(1.9)</v>
      </c>
      <c r="H398" s="302">
        <f t="shared" ref="H398" si="300">SUM(B398,D398,F398)</f>
        <v>9.8420101151322239</v>
      </c>
      <c r="I398" s="299" t="str">
        <f>CONCATENATE("(",ROUND((H398/$H399)*100,1),")")</f>
        <v>(60.7)</v>
      </c>
      <c r="K398" s="302">
        <f t="shared" ref="K398:K399" si="301">B398-B388</f>
        <v>0.35458666103035608</v>
      </c>
      <c r="L398" s="302">
        <f t="shared" ref="L398:L399" si="302">D398-D388</f>
        <v>0.32063167834514417</v>
      </c>
      <c r="M398" s="302">
        <f t="shared" ref="M398:M399" si="303">F398-F388</f>
        <v>2.3716651573435943E-2</v>
      </c>
      <c r="N398" s="302">
        <f t="shared" ref="N398:N399" si="304">SUM(K398:M398)</f>
        <v>0.69893499094893619</v>
      </c>
    </row>
    <row r="399" spans="1:14" x14ac:dyDescent="0.25">
      <c r="A399" s="282" t="s">
        <v>363</v>
      </c>
      <c r="B399" s="302">
        <f>SUM(B397:B398)</f>
        <v>10.520703755519055</v>
      </c>
      <c r="C399" s="299" t="str">
        <f>CONCATENATE("(",ROUND((B399/$H399)*100,1),")")</f>
        <v>(64.8)</v>
      </c>
      <c r="D399" s="302">
        <f>SUM(D397:D398)</f>
        <v>5.4033600559490162</v>
      </c>
      <c r="E399" s="299" t="str">
        <f>CONCATENATE("(",ROUND((D399/$H399)*100,1),")")</f>
        <v>(33.3)</v>
      </c>
      <c r="F399" s="302">
        <f>SUM(F397:F398)</f>
        <v>0.30093618853194509</v>
      </c>
      <c r="G399" s="299" t="str">
        <f>CONCATENATE("(",ROUND((F399/$H399)*100,1),")")</f>
        <v>(1.9)</v>
      </c>
      <c r="H399" s="302">
        <f>SUM(H397:H398)</f>
        <v>16.225000000000016</v>
      </c>
      <c r="I399" s="299" t="str">
        <f>CONCATENATE("(",ROUND((H399/$H399)*100,1),")")</f>
        <v>(100)</v>
      </c>
      <c r="K399" s="302">
        <f t="shared" si="301"/>
        <v>0.40994504951603972</v>
      </c>
      <c r="L399" s="302">
        <f t="shared" si="302"/>
        <v>0.51033829891056115</v>
      </c>
      <c r="M399" s="302">
        <f t="shared" si="303"/>
        <v>2.3716651573435943E-2</v>
      </c>
      <c r="N399" s="302">
        <f t="shared" si="304"/>
        <v>0.94400000000003681</v>
      </c>
    </row>
    <row r="400" spans="1:14" x14ac:dyDescent="0.25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ht="13" x14ac:dyDescent="0.3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ht="13" x14ac:dyDescent="0.3">
      <c r="N405" s="287" t="s">
        <v>370</v>
      </c>
    </row>
    <row r="406" spans="1:14" ht="13" x14ac:dyDescent="0.3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ht="13" x14ac:dyDescent="0.3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5">
      <c r="A408" s="282" t="s">
        <v>364</v>
      </c>
      <c r="B408" s="302">
        <f>'Ind T6'!L171</f>
        <v>8.7368096280927414</v>
      </c>
      <c r="C408" s="299" t="str">
        <f>CONCATENATE("(",ROUND((B408/$H410)*100,1),")")</f>
        <v>(19.4)</v>
      </c>
      <c r="D408" s="302">
        <f>'Ind T6'!M171</f>
        <v>2.5570220676501796</v>
      </c>
      <c r="E408" s="299" t="str">
        <f>CONCATENATE("(",ROUND((D408/$H410)*100,1),")")</f>
        <v>(5.7)</v>
      </c>
      <c r="F408" s="302">
        <f>'Ind T6'!N171</f>
        <v>1.4019979060210681</v>
      </c>
      <c r="G408" s="299" t="str">
        <f>CONCATENATE("(",ROUND((F408/$H410)*100,1),")")</f>
        <v>(3.1)</v>
      </c>
      <c r="H408" s="302">
        <f>SUM(B408,D408,F408)</f>
        <v>12.695829601763988</v>
      </c>
      <c r="I408" s="299" t="str">
        <f>CONCATENATE("(",ROUND((H408/$H410)*100,1),")")</f>
        <v>(28.2)</v>
      </c>
      <c r="K408" s="302">
        <f>B413-B408</f>
        <v>0.13327330109562219</v>
      </c>
      <c r="L408" s="302">
        <f>D413-D408</f>
        <v>0.10867948053670728</v>
      </c>
      <c r="M408" s="302">
        <f>F413-F408</f>
        <v>6.8071423283360799E-2</v>
      </c>
      <c r="N408" s="302">
        <f>SUM(K408:M408)</f>
        <v>0.31002420491569027</v>
      </c>
    </row>
    <row r="409" spans="1:14" x14ac:dyDescent="0.25">
      <c r="A409" s="282" t="s">
        <v>365</v>
      </c>
      <c r="B409" s="302">
        <f>'Ind T6'!L170</f>
        <v>14.084943498690027</v>
      </c>
      <c r="C409" s="299" t="str">
        <f>CONCATENATE("(",ROUND((B409/$H410)*100,1),")")</f>
        <v>(31.3)</v>
      </c>
      <c r="D409" s="302">
        <f>'Ind T6'!M170</f>
        <v>16.52492069691613</v>
      </c>
      <c r="E409" s="299" t="str">
        <f>CONCATENATE("(",ROUND((D409/$H410)*100,1),")")</f>
        <v>(36.7)</v>
      </c>
      <c r="F409" s="302">
        <f>'Ind T6'!N170</f>
        <v>1.7573062026298587</v>
      </c>
      <c r="G409" s="299" t="str">
        <f>CONCATENATE("(",ROUND((F409/$H410)*100,1),")")</f>
        <v>(3.9)</v>
      </c>
      <c r="H409" s="302">
        <f t="shared" ref="H409" si="305">SUM(B409,D409,F409)</f>
        <v>32.367170398236013</v>
      </c>
      <c r="I409" s="299" t="str">
        <f>CONCATENATE("(",ROUND((H409/$H410)*100,1),")")</f>
        <v>(71.8)</v>
      </c>
      <c r="K409" s="302">
        <f t="shared" ref="K409:K410" si="306">B414-B409</f>
        <v>0.72614094124418571</v>
      </c>
      <c r="L409" s="302">
        <f t="shared" ref="L409:L410" si="307">D414-D409</f>
        <v>0.10825213963120461</v>
      </c>
      <c r="M409" s="302">
        <f t="shared" ref="M409:M410" si="308">F414-F409</f>
        <v>7.0582714208897057E-2</v>
      </c>
      <c r="N409" s="302">
        <f t="shared" ref="N409:N410" si="309">SUM(K409:M409)</f>
        <v>0.90497579508428738</v>
      </c>
    </row>
    <row r="410" spans="1:14" x14ac:dyDescent="0.25">
      <c r="A410" s="282" t="s">
        <v>363</v>
      </c>
      <c r="B410" s="302">
        <f>SUM(B408:B409)</f>
        <v>22.821753126782767</v>
      </c>
      <c r="C410" s="299" t="str">
        <f>CONCATENATE("(",ROUND((B410/$H410)*100,1),")")</f>
        <v>(50.6)</v>
      </c>
      <c r="D410" s="302">
        <f>SUM(D408:D409)</f>
        <v>19.08194276456631</v>
      </c>
      <c r="E410" s="299" t="str">
        <f>CONCATENATE("(",ROUND((D410/$H410)*100,1),")")</f>
        <v>(42.3)</v>
      </c>
      <c r="F410" s="302">
        <f>SUM(F408:F409)</f>
        <v>3.159304108650927</v>
      </c>
      <c r="G410" s="299" t="str">
        <f>CONCATENATE("(",ROUND((F410/$H410)*100,1),")")</f>
        <v>(7)</v>
      </c>
      <c r="H410" s="302">
        <f>SUM(H408:H409)</f>
        <v>45.063000000000002</v>
      </c>
      <c r="I410" s="299" t="str">
        <f>CONCATENATE("(",ROUND((H410/$H410)*100,1),")")</f>
        <v>(100)</v>
      </c>
      <c r="K410" s="302">
        <f t="shared" si="306"/>
        <v>0.85941424233980968</v>
      </c>
      <c r="L410" s="302">
        <f t="shared" si="307"/>
        <v>0.21693162016791234</v>
      </c>
      <c r="M410" s="302">
        <f t="shared" si="308"/>
        <v>0.13865413749225741</v>
      </c>
      <c r="N410" s="302">
        <f t="shared" si="309"/>
        <v>1.2149999999999794</v>
      </c>
    </row>
    <row r="411" spans="1:14" x14ac:dyDescent="0.25">
      <c r="B411" s="302"/>
      <c r="C411" s="284"/>
      <c r="D411" s="302"/>
      <c r="E411" s="284"/>
      <c r="F411" s="302"/>
      <c r="G411" s="284"/>
      <c r="H411" s="302"/>
      <c r="I411" s="284"/>
    </row>
    <row r="412" spans="1:14" ht="13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5">
      <c r="A413" s="282" t="s">
        <v>364</v>
      </c>
      <c r="B413" s="302">
        <f>'Ind T6'!Q171</f>
        <v>8.8700829291883636</v>
      </c>
      <c r="C413" s="299" t="str">
        <f>CONCATENATE("(",ROUND((B413/$H415)*100,1),")")</f>
        <v>(19.2)</v>
      </c>
      <c r="D413" s="302">
        <f>'Ind T6'!R171</f>
        <v>2.6657015481868869</v>
      </c>
      <c r="E413" s="299" t="str">
        <f>CONCATENATE("(",ROUND((D413/$H415)*100,1),")")</f>
        <v>(5.8)</v>
      </c>
      <c r="F413" s="302">
        <f>'Ind T6'!S171</f>
        <v>1.4700693293044289</v>
      </c>
      <c r="G413" s="299" t="str">
        <f>CONCATENATE("(",ROUND((F413/$H415)*100,1),")")</f>
        <v>(3.2)</v>
      </c>
      <c r="H413" s="302">
        <f>SUM(B413,D413,F413)</f>
        <v>13.00585380667968</v>
      </c>
      <c r="I413" s="299" t="str">
        <f>CONCATENATE("(",ROUND((H413/$H415)*100,1),")")</f>
        <v>(28.1)</v>
      </c>
      <c r="K413" s="302">
        <f>B418-B413</f>
        <v>0.34597539656532739</v>
      </c>
      <c r="L413" s="302">
        <f>D418-D413</f>
        <v>0.23725017798609205</v>
      </c>
      <c r="M413" s="302">
        <f>F418-F413</f>
        <v>0.14517205464845007</v>
      </c>
      <c r="N413" s="302">
        <f>SUM(K413:M413)</f>
        <v>0.7283976291998695</v>
      </c>
    </row>
    <row r="414" spans="1:14" x14ac:dyDescent="0.25">
      <c r="A414" s="282" t="s">
        <v>365</v>
      </c>
      <c r="B414" s="302">
        <f>'Ind T6'!Q170</f>
        <v>14.811084439934213</v>
      </c>
      <c r="C414" s="299" t="str">
        <f>CONCATENATE("(",ROUND((B414/$H415)*100,1),")")</f>
        <v>(32)</v>
      </c>
      <c r="D414" s="302">
        <f>'Ind T6'!R170</f>
        <v>16.633172836547335</v>
      </c>
      <c r="E414" s="299" t="str">
        <f>CONCATENATE("(",ROUND((D414/$H415)*100,1),")")</f>
        <v>(35.9)</v>
      </c>
      <c r="F414" s="302">
        <f>'Ind T6'!S170</f>
        <v>1.8278889168387558</v>
      </c>
      <c r="G414" s="299" t="str">
        <f>CONCATENATE("(",ROUND((F414/$H415)*100,1),")")</f>
        <v>(3.9)</v>
      </c>
      <c r="H414" s="302">
        <f t="shared" ref="H414" si="310">SUM(B414,D414,F414)</f>
        <v>33.272146193320303</v>
      </c>
      <c r="I414" s="299" t="str">
        <f>CONCATENATE("(",ROUND((H414/$H415)*100,1),")")</f>
        <v>(71.9)</v>
      </c>
      <c r="K414" s="302">
        <f t="shared" ref="K414:K415" si="311">B419-B414</f>
        <v>1.708626902471206</v>
      </c>
      <c r="L414" s="302">
        <f t="shared" ref="L414:L415" si="312">D419-D414</f>
        <v>0.32577715406174335</v>
      </c>
      <c r="M414" s="302">
        <f t="shared" ref="M414:M415" si="313">F419-F414</f>
        <v>0.12319831426709182</v>
      </c>
      <c r="N414" s="302">
        <f t="shared" ref="N414:N415" si="314">SUM(K414:M414)</f>
        <v>2.1576023708000411</v>
      </c>
    </row>
    <row r="415" spans="1:14" x14ac:dyDescent="0.25">
      <c r="A415" s="282" t="s">
        <v>363</v>
      </c>
      <c r="B415" s="302">
        <f>SUM(B413:B414)</f>
        <v>23.681167369122576</v>
      </c>
      <c r="C415" s="299" t="str">
        <f>CONCATENATE("(",ROUND((B415/$H415)*100,1),")")</f>
        <v>(51.2)</v>
      </c>
      <c r="D415" s="302">
        <f>SUM(D413:D414)</f>
        <v>19.298874384734223</v>
      </c>
      <c r="E415" s="299" t="str">
        <f>CONCATENATE("(",ROUND((D415/$H415)*100,1),")")</f>
        <v>(41.7)</v>
      </c>
      <c r="F415" s="302">
        <f>SUM(F413:F414)</f>
        <v>3.2979582461431844</v>
      </c>
      <c r="G415" s="299" t="str">
        <f>CONCATENATE("(",ROUND((F415/$H415)*100,1),")")</f>
        <v>(7.1)</v>
      </c>
      <c r="H415" s="302">
        <f>SUM(H413:H414)</f>
        <v>46.277999999999984</v>
      </c>
      <c r="I415" s="299" t="str">
        <f>CONCATENATE("(",ROUND((H415/$H415)*100,1),")")</f>
        <v>(100)</v>
      </c>
      <c r="K415" s="302">
        <f t="shared" si="311"/>
        <v>2.0546022990365316</v>
      </c>
      <c r="L415" s="302">
        <f t="shared" si="312"/>
        <v>0.56302733204783451</v>
      </c>
      <c r="M415" s="302">
        <f t="shared" si="313"/>
        <v>0.26837036891554211</v>
      </c>
      <c r="N415" s="302">
        <f t="shared" si="314"/>
        <v>2.8859999999999082</v>
      </c>
    </row>
    <row r="416" spans="1:14" x14ac:dyDescent="0.25">
      <c r="B416" s="302"/>
      <c r="C416" s="284"/>
      <c r="D416" s="302"/>
      <c r="E416" s="284"/>
      <c r="F416" s="302"/>
      <c r="G416" s="284"/>
      <c r="H416" s="302"/>
      <c r="I416" s="284"/>
    </row>
    <row r="417" spans="1:14" ht="13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5">
      <c r="A418" s="282" t="s">
        <v>364</v>
      </c>
      <c r="B418" s="302">
        <f>'Ind T6'!V171</f>
        <v>9.216058325753691</v>
      </c>
      <c r="C418" s="299" t="str">
        <f>CONCATENATE("(",ROUND((B418/$H420)*100,1),")")</f>
        <v>(18.7)</v>
      </c>
      <c r="D418" s="302">
        <f>'Ind T6'!W171</f>
        <v>2.9029517261729789</v>
      </c>
      <c r="E418" s="299" t="str">
        <f>CONCATENATE("(",ROUND((D418/$H420)*100,1),")")</f>
        <v>(5.9)</v>
      </c>
      <c r="F418" s="302">
        <f>'Ind T6'!X171</f>
        <v>1.615241383952879</v>
      </c>
      <c r="G418" s="299" t="str">
        <f>CONCATENATE("(",ROUND((F418/$H420)*100,1),")")</f>
        <v>(3.3)</v>
      </c>
      <c r="H418" s="302">
        <f>SUM(B418,D418,F418)</f>
        <v>13.73425143587955</v>
      </c>
      <c r="I418" s="299" t="str">
        <f>CONCATENATE("(",ROUND((H418/$H420)*100,1),")")</f>
        <v>(27.9)</v>
      </c>
      <c r="K418" s="302">
        <f>B418-B408</f>
        <v>0.47924869766094957</v>
      </c>
      <c r="L418" s="302">
        <f>D418-D408</f>
        <v>0.34592965852279933</v>
      </c>
      <c r="M418" s="302">
        <f>F418-F408</f>
        <v>0.21324347793181087</v>
      </c>
      <c r="N418" s="302">
        <f>SUM(K418:M418)</f>
        <v>1.0384218341155598</v>
      </c>
    </row>
    <row r="419" spans="1:14" x14ac:dyDescent="0.25">
      <c r="A419" s="282" t="s">
        <v>365</v>
      </c>
      <c r="B419" s="302">
        <f>'Ind T6'!V170</f>
        <v>16.519711342405419</v>
      </c>
      <c r="C419" s="299" t="str">
        <f>CONCATENATE("(",ROUND((B419/$H420)*100,1),")")</f>
        <v>(33.6)</v>
      </c>
      <c r="D419" s="302">
        <f>'Ind T6'!W170</f>
        <v>16.958949990609078</v>
      </c>
      <c r="E419" s="299" t="str">
        <f>CONCATENATE("(",ROUND((D419/$H420)*100,1),")")</f>
        <v>(34.5)</v>
      </c>
      <c r="F419" s="302">
        <f>'Ind T6'!X170</f>
        <v>1.9510872311058476</v>
      </c>
      <c r="G419" s="299" t="str">
        <f>CONCATENATE("(",ROUND((F419/$H420)*100,1),")")</f>
        <v>(4)</v>
      </c>
      <c r="H419" s="302">
        <f t="shared" ref="H419" si="315">SUM(B419,D419,F419)</f>
        <v>35.429748564120345</v>
      </c>
      <c r="I419" s="299" t="str">
        <f>CONCATENATE("(",ROUND((H419/$H420)*100,1),")")</f>
        <v>(72.1)</v>
      </c>
      <c r="K419" s="302">
        <f t="shared" ref="K419:K420" si="316">B419-B409</f>
        <v>2.4347678437153917</v>
      </c>
      <c r="L419" s="302">
        <f t="shared" ref="L419:L420" si="317">D419-D409</f>
        <v>0.43402929369294796</v>
      </c>
      <c r="M419" s="302">
        <f t="shared" ref="M419:M420" si="318">F419-F409</f>
        <v>0.19378102847598888</v>
      </c>
      <c r="N419" s="302">
        <f t="shared" ref="N419:N420" si="319">SUM(K419:M419)</f>
        <v>3.0625781658843287</v>
      </c>
    </row>
    <row r="420" spans="1:14" x14ac:dyDescent="0.25">
      <c r="A420" s="282" t="s">
        <v>363</v>
      </c>
      <c r="B420" s="302">
        <f>SUM(B418:B419)</f>
        <v>25.735769668159108</v>
      </c>
      <c r="C420" s="299" t="str">
        <f>CONCATENATE("(",ROUND((B420/$H420)*100,1),")")</f>
        <v>(52.3)</v>
      </c>
      <c r="D420" s="302">
        <f>SUM(D418:D419)</f>
        <v>19.861901716782057</v>
      </c>
      <c r="E420" s="299" t="str">
        <f>CONCATENATE("(",ROUND((D420/$H420)*100,1),")")</f>
        <v>(40.4)</v>
      </c>
      <c r="F420" s="302">
        <f>SUM(F418:F419)</f>
        <v>3.5663286150587266</v>
      </c>
      <c r="G420" s="299" t="str">
        <f>CONCATENATE("(",ROUND((F420/$H420)*100,1),")")</f>
        <v>(7.3)</v>
      </c>
      <c r="H420" s="302">
        <f>SUM(H418:H419)</f>
        <v>49.163999999999895</v>
      </c>
      <c r="I420" s="299" t="str">
        <f>CONCATENATE("(",ROUND((H420/$H420)*100,1),")")</f>
        <v>(100)</v>
      </c>
      <c r="K420" s="302">
        <f t="shared" si="316"/>
        <v>2.9140165413763413</v>
      </c>
      <c r="L420" s="302">
        <f t="shared" si="317"/>
        <v>0.77995895221574685</v>
      </c>
      <c r="M420" s="302">
        <f t="shared" si="318"/>
        <v>0.40702450640779952</v>
      </c>
      <c r="N420" s="302">
        <f t="shared" si="319"/>
        <v>4.1009999999998872</v>
      </c>
    </row>
    <row r="421" spans="1:14" x14ac:dyDescent="0.25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ht="13" x14ac:dyDescent="0.3">
      <c r="C424" s="182"/>
      <c r="E424" s="182"/>
      <c r="G424" s="182"/>
      <c r="I424" s="182"/>
    </row>
    <row r="425" spans="1:14" ht="13" x14ac:dyDescent="0.3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ht="13" x14ac:dyDescent="0.3">
      <c r="N426" s="287" t="s">
        <v>370</v>
      </c>
    </row>
    <row r="427" spans="1:14" ht="13" x14ac:dyDescent="0.3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ht="13" x14ac:dyDescent="0.3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5">
      <c r="A429" s="282" t="s">
        <v>364</v>
      </c>
      <c r="B429" s="302">
        <f>'Ind T6'!L180</f>
        <v>9.6901075714771512</v>
      </c>
      <c r="C429" s="299" t="str">
        <f>CONCATENATE("(",ROUND((B429/$H431)*100,1),")")</f>
        <v>(13.5)</v>
      </c>
      <c r="D429" s="302">
        <f>'Ind T6'!M180</f>
        <v>2.9097972017956137</v>
      </c>
      <c r="E429" s="299" t="str">
        <f>CONCATENATE("(",ROUND((D429/$H431)*100,1),")")</f>
        <v>(4.1)</v>
      </c>
      <c r="F429" s="302">
        <f>'Ind T6'!N180</f>
        <v>2.5419835701456863</v>
      </c>
      <c r="G429" s="299" t="str">
        <f>CONCATENATE("(",ROUND((F429/$H431)*100,1),")")</f>
        <v>(3.5)</v>
      </c>
      <c r="H429" s="302">
        <f>SUM(B429,D429,F429)</f>
        <v>15.141888343418451</v>
      </c>
      <c r="I429" s="299" t="str">
        <f>CONCATENATE("(",ROUND((H429/$H431)*100,1),")")</f>
        <v>(21.1)</v>
      </c>
      <c r="K429" s="302">
        <f>B434-B429</f>
        <v>0.63004696855129083</v>
      </c>
      <c r="L429" s="302">
        <f>D434-D429</f>
        <v>0.26441313366694086</v>
      </c>
      <c r="M429" s="302">
        <f>F434-F429</f>
        <v>2.9034636645464129E-2</v>
      </c>
      <c r="N429" s="302">
        <f>SUM(K429:M429)</f>
        <v>0.92349473886369582</v>
      </c>
    </row>
    <row r="430" spans="1:14" x14ac:dyDescent="0.25">
      <c r="A430" s="282" t="s">
        <v>365</v>
      </c>
      <c r="B430" s="302">
        <f>'Ind T6'!L179</f>
        <v>28.946679698172797</v>
      </c>
      <c r="C430" s="299" t="str">
        <f>CONCATENATE("(",ROUND((B430/$H431)*100,1),")")</f>
        <v>(40.3)</v>
      </c>
      <c r="D430" s="302">
        <f>'Ind T6'!M179</f>
        <v>25.353827852879729</v>
      </c>
      <c r="E430" s="299" t="str">
        <f>CONCATENATE("(",ROUND((D430/$H431)*100,1),")")</f>
        <v>(35.3)</v>
      </c>
      <c r="F430" s="302">
        <f>'Ind T6'!N179</f>
        <v>2.3276041055291445</v>
      </c>
      <c r="G430" s="299" t="str">
        <f>CONCATENATE("(",ROUND((F430/$H431)*100,1),")")</f>
        <v>(3.2)</v>
      </c>
      <c r="H430" s="302">
        <f t="shared" ref="H430" si="320">SUM(B430,D430,F430)</f>
        <v>56.628111656581673</v>
      </c>
      <c r="I430" s="299" t="str">
        <f>CONCATENATE("(",ROUND((H430/$H431)*100,1),")")</f>
        <v>(78.9)</v>
      </c>
      <c r="K430" s="302">
        <f t="shared" ref="K430:K431" si="321">B435-B430</f>
        <v>2.7277704430424627</v>
      </c>
      <c r="L430" s="302">
        <f t="shared" ref="L430:L431" si="322">D435-D430</f>
        <v>0.79874739788198212</v>
      </c>
      <c r="M430" s="302">
        <f t="shared" ref="M430:M431" si="323">F435-F430</f>
        <v>0.29498742021165691</v>
      </c>
      <c r="N430" s="302">
        <f t="shared" ref="N430:N431" si="324">SUM(K430:M430)</f>
        <v>3.8215052611361018</v>
      </c>
    </row>
    <row r="431" spans="1:14" x14ac:dyDescent="0.25">
      <c r="A431" s="282" t="s">
        <v>363</v>
      </c>
      <c r="B431" s="302">
        <f>SUM(B429:B430)</f>
        <v>38.63678726964995</v>
      </c>
      <c r="C431" s="299" t="str">
        <f>CONCATENATE("(",ROUND((B431/$H431)*100,1),")")</f>
        <v>(53.8)</v>
      </c>
      <c r="D431" s="302">
        <f>SUM(D429:D430)</f>
        <v>28.263625054675341</v>
      </c>
      <c r="E431" s="299" t="str">
        <f>CONCATENATE("(",ROUND((D431/$H431)*100,1),")")</f>
        <v>(39.4)</v>
      </c>
      <c r="F431" s="302">
        <f>SUM(F429:F430)</f>
        <v>4.8695876756748309</v>
      </c>
      <c r="G431" s="299" t="str">
        <f>CONCATENATE("(",ROUND((F431/$H431)*100,1),")")</f>
        <v>(6.8)</v>
      </c>
      <c r="H431" s="302">
        <f>SUM(H429:H430)</f>
        <v>71.770000000000124</v>
      </c>
      <c r="I431" s="299" t="str">
        <f>CONCATENATE("(",ROUND((H431/$H431)*100,1),")")</f>
        <v>(100)</v>
      </c>
      <c r="K431" s="302">
        <f t="shared" si="321"/>
        <v>3.35781741159375</v>
      </c>
      <c r="L431" s="302">
        <f t="shared" si="322"/>
        <v>1.0631605315489239</v>
      </c>
      <c r="M431" s="302">
        <f t="shared" si="323"/>
        <v>0.32402205685712104</v>
      </c>
      <c r="N431" s="302">
        <f t="shared" si="324"/>
        <v>4.7449999999997949</v>
      </c>
    </row>
    <row r="432" spans="1:14" x14ac:dyDescent="0.25">
      <c r="B432" s="302"/>
      <c r="C432" s="284"/>
      <c r="D432" s="302"/>
      <c r="E432" s="284"/>
      <c r="F432" s="302"/>
      <c r="G432" s="284"/>
      <c r="H432" s="302"/>
      <c r="I432" s="284"/>
    </row>
    <row r="433" spans="1:14" ht="13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5">
      <c r="A434" s="282" t="s">
        <v>364</v>
      </c>
      <c r="B434" s="302">
        <f>'Ind T6'!Q180</f>
        <v>10.320154540028442</v>
      </c>
      <c r="C434" s="299" t="str">
        <f>CONCATENATE("(",ROUND((B434/$H436)*100,1),")")</f>
        <v>(13.5)</v>
      </c>
      <c r="D434" s="302">
        <f>'Ind T6'!R180</f>
        <v>3.1742103354625546</v>
      </c>
      <c r="E434" s="299" t="str">
        <f>CONCATENATE("(",ROUND((D434/$H436)*100,1),")")</f>
        <v>(4.1)</v>
      </c>
      <c r="F434" s="302">
        <f>'Ind T6'!S180</f>
        <v>2.5710182067911505</v>
      </c>
      <c r="G434" s="299" t="str">
        <f>CONCATENATE("(",ROUND((F434/$H436)*100,1),")")</f>
        <v>(3.4)</v>
      </c>
      <c r="H434" s="302">
        <f>SUM(B434,D434,F434)</f>
        <v>16.065383082282146</v>
      </c>
      <c r="I434" s="299" t="str">
        <f>CONCATENATE("(",ROUND((H434/$H436)*100,1),")")</f>
        <v>(21)</v>
      </c>
      <c r="K434" s="302">
        <f>B439-B434</f>
        <v>0.65263174975329719</v>
      </c>
      <c r="L434" s="302">
        <f>D439-D434</f>
        <v>0.32937622878802442</v>
      </c>
      <c r="M434" s="302">
        <f>F439-F434</f>
        <v>-0.1185865568015676</v>
      </c>
      <c r="N434" s="302">
        <f>SUM(K434:M434)</f>
        <v>0.863421421739754</v>
      </c>
    </row>
    <row r="435" spans="1:14" x14ac:dyDescent="0.25">
      <c r="A435" s="282" t="s">
        <v>365</v>
      </c>
      <c r="B435" s="302">
        <f>'Ind T6'!Q179</f>
        <v>31.67445014121526</v>
      </c>
      <c r="C435" s="299" t="str">
        <f>CONCATENATE("(",ROUND((B435/$H436)*100,1),")")</f>
        <v>(41.4)</v>
      </c>
      <c r="D435" s="302">
        <f>'Ind T6'!R179</f>
        <v>26.152575250761711</v>
      </c>
      <c r="E435" s="299" t="str">
        <f>CONCATENATE("(",ROUND((D435/$H436)*100,1),")")</f>
        <v>(34.2)</v>
      </c>
      <c r="F435" s="302">
        <f>'Ind T6'!S179</f>
        <v>2.6225915257408015</v>
      </c>
      <c r="G435" s="299" t="str">
        <f>CONCATENATE("(",ROUND((F435/$H436)*100,1),")")</f>
        <v>(3.4)</v>
      </c>
      <c r="H435" s="302">
        <f t="shared" ref="H435" si="325">SUM(B435,D435,F435)</f>
        <v>60.449616917717776</v>
      </c>
      <c r="I435" s="299" t="str">
        <f>CONCATENATE("(",ROUND((H435/$H436)*100,1),")")</f>
        <v>(79)</v>
      </c>
      <c r="K435" s="302">
        <f t="shared" ref="K435:K436" si="326">B440-B435</f>
        <v>3.798771733037718</v>
      </c>
      <c r="L435" s="302">
        <f t="shared" ref="L435:L436" si="327">D440-D435</f>
        <v>-0.36730705388659146</v>
      </c>
      <c r="M435" s="302">
        <f t="shared" ref="M435:M436" si="328">F440-F435</f>
        <v>0.39311389910927774</v>
      </c>
      <c r="N435" s="302">
        <f t="shared" ref="N435:N436" si="329">SUM(K435:M435)</f>
        <v>3.8245785782604043</v>
      </c>
    </row>
    <row r="436" spans="1:14" x14ac:dyDescent="0.25">
      <c r="A436" s="282" t="s">
        <v>363</v>
      </c>
      <c r="B436" s="302">
        <f>SUM(B434:B435)</f>
        <v>41.9946046812437</v>
      </c>
      <c r="C436" s="299" t="str">
        <f>CONCATENATE("(",ROUND((B436/$H436)*100,1),")")</f>
        <v>(54.9)</v>
      </c>
      <c r="D436" s="302">
        <f>SUM(D434:D435)</f>
        <v>29.326785586224265</v>
      </c>
      <c r="E436" s="299" t="str">
        <f>CONCATENATE("(",ROUND((D436/$H436)*100,1),")")</f>
        <v>(38.3)</v>
      </c>
      <c r="F436" s="302">
        <f>SUM(F434:F435)</f>
        <v>5.1936097325319519</v>
      </c>
      <c r="G436" s="299" t="str">
        <f>CONCATENATE("(",ROUND((F436/$H436)*100,1),")")</f>
        <v>(6.8)</v>
      </c>
      <c r="H436" s="302">
        <f>SUM(H434:H435)</f>
        <v>76.51499999999993</v>
      </c>
      <c r="I436" s="299" t="str">
        <f>CONCATENATE("(",ROUND((H436/$H436)*100,1),")")</f>
        <v>(100)</v>
      </c>
      <c r="K436" s="302">
        <f t="shared" si="326"/>
        <v>4.4514034827910152</v>
      </c>
      <c r="L436" s="302">
        <f t="shared" si="327"/>
        <v>-3.7930825098566601E-2</v>
      </c>
      <c r="M436" s="302">
        <f t="shared" si="328"/>
        <v>0.27452734230771014</v>
      </c>
      <c r="N436" s="302">
        <f t="shared" si="329"/>
        <v>4.6880000000001587</v>
      </c>
    </row>
    <row r="437" spans="1:14" x14ac:dyDescent="0.25">
      <c r="B437" s="302"/>
      <c r="C437" s="284"/>
      <c r="D437" s="302"/>
      <c r="E437" s="284"/>
      <c r="F437" s="302"/>
      <c r="G437" s="284"/>
      <c r="H437" s="302"/>
      <c r="I437" s="284"/>
    </row>
    <row r="438" spans="1:14" ht="13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5">
      <c r="A439" s="282" t="s">
        <v>364</v>
      </c>
      <c r="B439" s="302">
        <f>'Ind T6'!V180</f>
        <v>10.972786289781739</v>
      </c>
      <c r="C439" s="299" t="str">
        <f>CONCATENATE("(",ROUND((B439/$H441)*100,1),")")</f>
        <v>(13.5)</v>
      </c>
      <c r="D439" s="302">
        <f>'Ind T6'!W180</f>
        <v>3.503586564250579</v>
      </c>
      <c r="E439" s="299" t="str">
        <f>CONCATENATE("(",ROUND((D439/$H441)*100,1),")")</f>
        <v>(4.3)</v>
      </c>
      <c r="F439" s="302">
        <f>'Ind T6'!X180</f>
        <v>2.4524316499895829</v>
      </c>
      <c r="G439" s="299" t="str">
        <f>CONCATENATE("(",ROUND((F439/$H441)*100,1),")")</f>
        <v>(3)</v>
      </c>
      <c r="H439" s="302">
        <f>SUM(B439,D439,F439)</f>
        <v>16.928804504021901</v>
      </c>
      <c r="I439" s="299" t="str">
        <f>CONCATENATE("(",ROUND((H439/$H441)*100,1),")")</f>
        <v>(20.8)</v>
      </c>
      <c r="K439" s="302">
        <f>B439-B429</f>
        <v>1.282678718304588</v>
      </c>
      <c r="L439" s="302">
        <f>D439-D429</f>
        <v>0.59378936245496527</v>
      </c>
      <c r="M439" s="302">
        <f>F439-F429</f>
        <v>-8.9551920156103471E-2</v>
      </c>
      <c r="N439" s="302">
        <f>SUM(K439:M439)</f>
        <v>1.7869161606034498</v>
      </c>
    </row>
    <row r="440" spans="1:14" x14ac:dyDescent="0.25">
      <c r="A440" s="282" t="s">
        <v>365</v>
      </c>
      <c r="B440" s="302">
        <f>'Ind T6'!V179</f>
        <v>35.473221874252978</v>
      </c>
      <c r="C440" s="299" t="str">
        <f>CONCATENATE("(",ROUND((B440/$H441)*100,1),")")</f>
        <v>(43.7)</v>
      </c>
      <c r="D440" s="302">
        <f>'Ind T6'!W179</f>
        <v>25.785268196875119</v>
      </c>
      <c r="E440" s="299" t="str">
        <f>CONCATENATE("(",ROUND((D440/$H441)*100,1),")")</f>
        <v>(31.8)</v>
      </c>
      <c r="F440" s="302">
        <f>'Ind T6'!X179</f>
        <v>3.0157054248500792</v>
      </c>
      <c r="G440" s="299" t="str">
        <f>CONCATENATE("(",ROUND((F440/$H441)*100,1),")")</f>
        <v>(3.7)</v>
      </c>
      <c r="H440" s="302">
        <f t="shared" ref="H440" si="330">SUM(B440,D440,F440)</f>
        <v>64.274195495978176</v>
      </c>
      <c r="I440" s="299" t="str">
        <f>CONCATENATE("(",ROUND((H440/$H441)*100,1),")")</f>
        <v>(79.2)</v>
      </c>
      <c r="K440" s="302">
        <f t="shared" ref="K440:K441" si="331">B440-B430</f>
        <v>6.5265421760801807</v>
      </c>
      <c r="L440" s="302">
        <f t="shared" ref="L440:L441" si="332">D440-D430</f>
        <v>0.43144034399539066</v>
      </c>
      <c r="M440" s="302">
        <f t="shared" ref="M440:M441" si="333">F440-F430</f>
        <v>0.68810131932093466</v>
      </c>
      <c r="N440" s="302">
        <f t="shared" ref="N440:N441" si="334">SUM(K440:M440)</f>
        <v>7.646083839396506</v>
      </c>
    </row>
    <row r="441" spans="1:14" x14ac:dyDescent="0.25">
      <c r="A441" s="282" t="s">
        <v>363</v>
      </c>
      <c r="B441" s="302">
        <f>SUM(B439:B440)</f>
        <v>46.446008164034716</v>
      </c>
      <c r="C441" s="299" t="str">
        <f>CONCATENATE("(",ROUND((B441/$H441)*100,1),")")</f>
        <v>(57.2)</v>
      </c>
      <c r="D441" s="302">
        <f>SUM(D439:D440)</f>
        <v>29.288854761125698</v>
      </c>
      <c r="E441" s="299" t="str">
        <f>CONCATENATE("(",ROUND((D441/$H441)*100,1),")")</f>
        <v>(36.1)</v>
      </c>
      <c r="F441" s="302">
        <f>SUM(F439:F440)</f>
        <v>5.468137074839662</v>
      </c>
      <c r="G441" s="299" t="str">
        <f>CONCATENATE("(",ROUND((F441/$H441)*100,1),")")</f>
        <v>(6.7)</v>
      </c>
      <c r="H441" s="302">
        <f>SUM(H439:H440)</f>
        <v>81.203000000000074</v>
      </c>
      <c r="I441" s="299" t="str">
        <f>CONCATENATE("(",ROUND((H441/$H441)*100,1),")")</f>
        <v>(100)</v>
      </c>
      <c r="K441" s="302">
        <f t="shared" si="331"/>
        <v>7.8092208943847652</v>
      </c>
      <c r="L441" s="302">
        <f t="shared" si="332"/>
        <v>1.0252297064503573</v>
      </c>
      <c r="M441" s="302">
        <f t="shared" si="333"/>
        <v>0.59854939916483119</v>
      </c>
      <c r="N441" s="302">
        <f t="shared" si="334"/>
        <v>9.4329999999999536</v>
      </c>
    </row>
    <row r="442" spans="1:14" x14ac:dyDescent="0.25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ht="13" x14ac:dyDescent="0.3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ht="13" x14ac:dyDescent="0.3">
      <c r="N447" s="287" t="s">
        <v>370</v>
      </c>
    </row>
    <row r="448" spans="1:14" ht="13" x14ac:dyDescent="0.3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ht="13" x14ac:dyDescent="0.3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5">
      <c r="A450" s="282" t="s">
        <v>364</v>
      </c>
      <c r="B450" s="302">
        <f>'Ind T6'!L189</f>
        <v>2.2125572259802304</v>
      </c>
      <c r="C450" s="299" t="str">
        <f>CONCATENATE("(",ROUND((B450/$H452)*100,1),")")</f>
        <v>(18.6)</v>
      </c>
      <c r="D450" s="302">
        <f>'Ind T6'!M189</f>
        <v>1.6953793093971292</v>
      </c>
      <c r="E450" s="299" t="str">
        <f>CONCATENATE("(",ROUND((D450/$H452)*100,1),")")</f>
        <v>(14.2)</v>
      </c>
      <c r="F450" s="302">
        <f>'Ind T6'!N189</f>
        <v>2.0774343849639476</v>
      </c>
      <c r="G450" s="299" t="str">
        <f>CONCATENATE("(",ROUND((F450/$H452)*100,1),")")</f>
        <v>(17.4)</v>
      </c>
      <c r="H450" s="302">
        <f>SUM(B450,D450,F450)</f>
        <v>5.9853709203413068</v>
      </c>
      <c r="I450" s="299" t="str">
        <f>CONCATENATE("(",ROUND((H450/$H452)*100,1),")")</f>
        <v>(50.3)</v>
      </c>
      <c r="K450" s="302">
        <f>B455-B450</f>
        <v>-3.7273303764477905E-2</v>
      </c>
      <c r="L450" s="302">
        <f>D455-D450</f>
        <v>2.6391654696899858E-2</v>
      </c>
      <c r="M450" s="302">
        <f>F455-F450</f>
        <v>-0.24341252158732218</v>
      </c>
      <c r="N450" s="302">
        <f>SUM(K450:M450)</f>
        <v>-0.25429417065490023</v>
      </c>
    </row>
    <row r="451" spans="1:14" x14ac:dyDescent="0.25">
      <c r="A451" s="282" t="s">
        <v>365</v>
      </c>
      <c r="B451" s="302">
        <f>'Ind T6'!L188</f>
        <v>2.000515866125776</v>
      </c>
      <c r="C451" s="299" t="str">
        <f>CONCATENATE("(",ROUND((B451/$H452)*100,1),")")</f>
        <v>(16.8)</v>
      </c>
      <c r="D451" s="302">
        <f>'Ind T6'!M188</f>
        <v>2.9623938372733467</v>
      </c>
      <c r="E451" s="299" t="str">
        <f>CONCATENATE("(",ROUND((D451/$H452)*100,1),")")</f>
        <v>(24.9)</v>
      </c>
      <c r="F451" s="302">
        <f>'Ind T6'!N188</f>
        <v>0.96171937625956505</v>
      </c>
      <c r="G451" s="299" t="str">
        <f>CONCATENATE("(",ROUND((F451/$H452)*100,1),")")</f>
        <v>(8.1)</v>
      </c>
      <c r="H451" s="302">
        <f t="shared" ref="H451" si="335">SUM(B451,D451,F451)</f>
        <v>5.924629079658688</v>
      </c>
      <c r="I451" s="299" t="str">
        <f>CONCATENATE("(",ROUND((H451/$H452)*100,1),")")</f>
        <v>(49.7)</v>
      </c>
      <c r="K451" s="302">
        <f t="shared" ref="K451:K452" si="336">B456-B451</f>
        <v>-0.16214568972907295</v>
      </c>
      <c r="L451" s="302">
        <f t="shared" ref="L451:L452" si="337">D456-D451</f>
        <v>-5.3533379525162239E-2</v>
      </c>
      <c r="M451" s="302">
        <f t="shared" ref="M451:M452" si="338">F456-F451</f>
        <v>-0.15502676009085592</v>
      </c>
      <c r="N451" s="302">
        <f t="shared" ref="N451:N452" si="339">SUM(K451:M451)</f>
        <v>-0.37070582934509111</v>
      </c>
    </row>
    <row r="452" spans="1:14" x14ac:dyDescent="0.25">
      <c r="A452" s="282" t="s">
        <v>363</v>
      </c>
      <c r="B452" s="302">
        <f>SUM(B450:B451)</f>
        <v>4.213073092106006</v>
      </c>
      <c r="C452" s="299" t="str">
        <f>CONCATENATE("(",ROUND((B452/$H452)*100,1),")")</f>
        <v>(35.4)</v>
      </c>
      <c r="D452" s="302">
        <f>SUM(D450:D451)</f>
        <v>4.6577731466704755</v>
      </c>
      <c r="E452" s="299" t="str">
        <f>CONCATENATE("(",ROUND((D452/$H452)*100,1),")")</f>
        <v>(39.1)</v>
      </c>
      <c r="F452" s="302">
        <f>SUM(F450:F451)</f>
        <v>3.0391537612235124</v>
      </c>
      <c r="G452" s="299" t="str">
        <f>CONCATENATE("(",ROUND((F452/$H452)*100,1),")")</f>
        <v>(25.5)</v>
      </c>
      <c r="H452" s="302">
        <f>SUM(H450:H451)</f>
        <v>11.909999999999995</v>
      </c>
      <c r="I452" s="299" t="str">
        <f>CONCATENATE("(",ROUND((H452/$H452)*100,1),")")</f>
        <v>(100)</v>
      </c>
      <c r="K452" s="302">
        <f t="shared" si="336"/>
        <v>-0.19941899349355019</v>
      </c>
      <c r="L452" s="302">
        <f t="shared" si="337"/>
        <v>-2.7141724828261715E-2</v>
      </c>
      <c r="M452" s="302">
        <f t="shared" si="338"/>
        <v>-0.39843928167817788</v>
      </c>
      <c r="N452" s="302">
        <f t="shared" si="339"/>
        <v>-0.62499999999998979</v>
      </c>
    </row>
    <row r="453" spans="1:14" x14ac:dyDescent="0.25">
      <c r="B453" s="302"/>
      <c r="C453" s="284"/>
      <c r="D453" s="302"/>
      <c r="E453" s="284"/>
      <c r="F453" s="302"/>
      <c r="G453" s="284"/>
      <c r="H453" s="302"/>
      <c r="I453" s="284"/>
    </row>
    <row r="454" spans="1:14" ht="13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5">
      <c r="A455" s="282" t="s">
        <v>364</v>
      </c>
      <c r="B455" s="302">
        <f>'Ind T6'!Q189</f>
        <v>2.1752839222157525</v>
      </c>
      <c r="C455" s="299" t="str">
        <f>CONCATENATE("(",ROUND((B455/$H457)*100,1),")")</f>
        <v>(19.3)</v>
      </c>
      <c r="D455" s="302">
        <f>'Ind T6'!R189</f>
        <v>1.7217709640940291</v>
      </c>
      <c r="E455" s="299" t="str">
        <f>CONCATENATE("(",ROUND((D455/$H457)*100,1),")")</f>
        <v>(15.3)</v>
      </c>
      <c r="F455" s="302">
        <f>'Ind T6'!S189</f>
        <v>1.8340218633766254</v>
      </c>
      <c r="G455" s="299" t="str">
        <f>CONCATENATE("(",ROUND((F455/$H457)*100,1),")")</f>
        <v>(16.3)</v>
      </c>
      <c r="H455" s="302">
        <f>SUM(B455,D455,F455)</f>
        <v>5.731076749686407</v>
      </c>
      <c r="I455" s="299" t="str">
        <f>CONCATENATE("(",ROUND((H455/$H457)*100,1),")")</f>
        <v>(50.8)</v>
      </c>
      <c r="K455" s="302">
        <f>B460-B455</f>
        <v>0.14740656827445919</v>
      </c>
      <c r="L455" s="302">
        <f>D460-D455</f>
        <v>0.18039803414430944</v>
      </c>
      <c r="M455" s="302">
        <f>F460-F455</f>
        <v>0.11510244027263483</v>
      </c>
      <c r="N455" s="302">
        <f>SUM(K455:M455)</f>
        <v>0.44290704269140346</v>
      </c>
    </row>
    <row r="456" spans="1:14" x14ac:dyDescent="0.25">
      <c r="A456" s="282" t="s">
        <v>365</v>
      </c>
      <c r="B456" s="302">
        <f>'Ind T6'!Q188</f>
        <v>1.8383701763967031</v>
      </c>
      <c r="C456" s="299" t="str">
        <f>CONCATENATE("(",ROUND((B456/$H457)*100,1),")")</f>
        <v>(16.3)</v>
      </c>
      <c r="D456" s="302">
        <f>'Ind T6'!R188</f>
        <v>2.9088604577481845</v>
      </c>
      <c r="E456" s="299" t="str">
        <f>CONCATENATE("(",ROUND((D456/$H457)*100,1),")")</f>
        <v>(25.8)</v>
      </c>
      <c r="F456" s="302">
        <f>'Ind T6'!S188</f>
        <v>0.80669261616870913</v>
      </c>
      <c r="G456" s="299" t="str">
        <f>CONCATENATE("(",ROUND((F456/$H457)*100,1),")")</f>
        <v>(7.1)</v>
      </c>
      <c r="H456" s="302">
        <f t="shared" ref="H456" si="340">SUM(B456,D456,F456)</f>
        <v>5.5539232503135967</v>
      </c>
      <c r="I456" s="299" t="str">
        <f>CONCATENATE("(",ROUND((H456/$H457)*100,1),")")</f>
        <v>(49.2)</v>
      </c>
      <c r="K456" s="302">
        <f t="shared" ref="K456:K457" si="341">B461-B456</f>
        <v>-1.0467222153026645E-2</v>
      </c>
      <c r="L456" s="302">
        <f t="shared" ref="L456:L457" si="342">D461-D456</f>
        <v>0.16271923781743025</v>
      </c>
      <c r="M456" s="302">
        <f t="shared" ref="M456:M457" si="343">F461-F456</f>
        <v>7.2840941644182644E-2</v>
      </c>
      <c r="N456" s="302">
        <f t="shared" ref="N456:N457" si="344">SUM(K456:M456)</f>
        <v>0.22509295730858625</v>
      </c>
    </row>
    <row r="457" spans="1:14" x14ac:dyDescent="0.25">
      <c r="A457" s="282" t="s">
        <v>363</v>
      </c>
      <c r="B457" s="302">
        <f>SUM(B455:B456)</f>
        <v>4.0136540986124558</v>
      </c>
      <c r="C457" s="299" t="str">
        <f>CONCATENATE("(",ROUND((B457/$H457)*100,1),")")</f>
        <v>(35.6)</v>
      </c>
      <c r="D457" s="302">
        <f>SUM(D455:D456)</f>
        <v>4.6306314218422138</v>
      </c>
      <c r="E457" s="299" t="str">
        <f>CONCATENATE("(",ROUND((D457/$H457)*100,1),")")</f>
        <v>(41)</v>
      </c>
      <c r="F457" s="302">
        <f>SUM(F455:F456)</f>
        <v>2.6407144795453346</v>
      </c>
      <c r="G457" s="299" t="str">
        <f>CONCATENATE("(",ROUND((F457/$H457)*100,1),")")</f>
        <v>(23.4)</v>
      </c>
      <c r="H457" s="302">
        <f>SUM(H455:H456)</f>
        <v>11.285000000000004</v>
      </c>
      <c r="I457" s="299" t="str">
        <f>CONCATENATE("(",ROUND((H457/$H457)*100,1),")")</f>
        <v>(100)</v>
      </c>
      <c r="K457" s="302">
        <f t="shared" si="341"/>
        <v>0.13693934612143188</v>
      </c>
      <c r="L457" s="302">
        <f t="shared" si="342"/>
        <v>0.34311727196173969</v>
      </c>
      <c r="M457" s="302">
        <f t="shared" si="343"/>
        <v>0.18794338191681748</v>
      </c>
      <c r="N457" s="302">
        <f t="shared" si="344"/>
        <v>0.66799999999998905</v>
      </c>
    </row>
    <row r="458" spans="1:14" x14ac:dyDescent="0.25">
      <c r="B458" s="302"/>
      <c r="C458" s="284"/>
      <c r="D458" s="302"/>
      <c r="E458" s="284"/>
      <c r="F458" s="302"/>
      <c r="G458" s="284"/>
      <c r="H458" s="302"/>
      <c r="I458" s="284"/>
    </row>
    <row r="459" spans="1:14" ht="13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5">
      <c r="A460" s="282" t="s">
        <v>364</v>
      </c>
      <c r="B460" s="302">
        <f>'Ind T6'!V189</f>
        <v>2.3226904904902117</v>
      </c>
      <c r="C460" s="299" t="str">
        <f>CONCATENATE("(",ROUND((B460/$H462)*100,1),")")</f>
        <v>(19.4)</v>
      </c>
      <c r="D460" s="302">
        <f>'Ind T6'!W189</f>
        <v>1.9021689982383385</v>
      </c>
      <c r="E460" s="299" t="str">
        <f>CONCATENATE("(",ROUND((D460/$H462)*100,1),")")</f>
        <v>(15.9)</v>
      </c>
      <c r="F460" s="302">
        <f>'Ind T6'!X189</f>
        <v>1.9491243036492603</v>
      </c>
      <c r="G460" s="299" t="str">
        <f>CONCATENATE("(",ROUND((F460/$H462)*100,1),")")</f>
        <v>(16.3)</v>
      </c>
      <c r="H460" s="302">
        <f>SUM(B460,D460,F460)</f>
        <v>6.1739837923778111</v>
      </c>
      <c r="I460" s="299" t="str">
        <f>CONCATENATE("(",ROUND((H460/$H462)*100,1),")")</f>
        <v>(51.7)</v>
      </c>
      <c r="K460" s="302">
        <f>B460-B450</f>
        <v>0.11013326450998129</v>
      </c>
      <c r="L460" s="302">
        <f>D460-D450</f>
        <v>0.2067896888412093</v>
      </c>
      <c r="M460" s="302">
        <f>F460-F450</f>
        <v>-0.12831008131468735</v>
      </c>
      <c r="N460" s="302">
        <f>SUM(K460:M460)</f>
        <v>0.18861287203650323</v>
      </c>
    </row>
    <row r="461" spans="1:14" x14ac:dyDescent="0.25">
      <c r="A461" s="282" t="s">
        <v>365</v>
      </c>
      <c r="B461" s="302">
        <f>'Ind T6'!V188</f>
        <v>1.8279029542436764</v>
      </c>
      <c r="C461" s="299" t="str">
        <f>CONCATENATE("(",ROUND((B461/$H462)*100,1),")")</f>
        <v>(15.3)</v>
      </c>
      <c r="D461" s="302">
        <f>'Ind T6'!W188</f>
        <v>3.0715796955656147</v>
      </c>
      <c r="E461" s="299" t="str">
        <f>CONCATENATE("(",ROUND((D461/$H462)*100,1),")")</f>
        <v>(25.7)</v>
      </c>
      <c r="F461" s="302">
        <f>'Ind T6'!X188</f>
        <v>0.87953355781289178</v>
      </c>
      <c r="G461" s="299" t="str">
        <f>CONCATENATE("(",ROUND((F461/$H462)*100,1),")")</f>
        <v>(7.4)</v>
      </c>
      <c r="H461" s="302">
        <f t="shared" ref="H461" si="345">SUM(B461,D461,F461)</f>
        <v>5.7790162076221829</v>
      </c>
      <c r="I461" s="299" t="str">
        <f>CONCATENATE("(",ROUND((H461/$H462)*100,1),")")</f>
        <v>(48.3)</v>
      </c>
      <c r="K461" s="302">
        <f t="shared" ref="K461:K462" si="346">B461-B451</f>
        <v>-0.1726129118820996</v>
      </c>
      <c r="L461" s="302">
        <f t="shared" ref="L461:L462" si="347">D461-D451</f>
        <v>0.10918585829226801</v>
      </c>
      <c r="M461" s="302">
        <f t="shared" ref="M461:M462" si="348">F461-F451</f>
        <v>-8.2185818446673276E-2</v>
      </c>
      <c r="N461" s="302">
        <f t="shared" ref="N461:N462" si="349">SUM(K461:M461)</f>
        <v>-0.14561287203650486</v>
      </c>
    </row>
    <row r="462" spans="1:14" x14ac:dyDescent="0.25">
      <c r="A462" s="282" t="s">
        <v>363</v>
      </c>
      <c r="B462" s="302">
        <f>SUM(B460:B461)</f>
        <v>4.1505934447338877</v>
      </c>
      <c r="C462" s="299" t="str">
        <f>CONCATENATE("(",ROUND((B462/$H462)*100,1),")")</f>
        <v>(34.7)</v>
      </c>
      <c r="D462" s="302">
        <f>SUM(D460:D461)</f>
        <v>4.9737486938039535</v>
      </c>
      <c r="E462" s="299" t="str">
        <f>CONCATENATE("(",ROUND((D462/$H462)*100,1),")")</f>
        <v>(41.6)</v>
      </c>
      <c r="F462" s="302">
        <f>SUM(F460:F461)</f>
        <v>2.828657861462152</v>
      </c>
      <c r="G462" s="299" t="str">
        <f>CONCATENATE("(",ROUND((F462/$H462)*100,1),")")</f>
        <v>(23.7)</v>
      </c>
      <c r="H462" s="302">
        <f>SUM(H460:H461)</f>
        <v>11.952999999999994</v>
      </c>
      <c r="I462" s="299" t="str">
        <f>CONCATENATE("(",ROUND((H462/$H462)*100,1),")")</f>
        <v>(100)</v>
      </c>
      <c r="K462" s="302">
        <f t="shared" si="346"/>
        <v>-6.2479647372118308E-2</v>
      </c>
      <c r="L462" s="302">
        <f t="shared" si="347"/>
        <v>0.31597554713347797</v>
      </c>
      <c r="M462" s="302">
        <f t="shared" si="348"/>
        <v>-0.21049589976136041</v>
      </c>
      <c r="N462" s="302">
        <f t="shared" si="349"/>
        <v>4.2999999999999261E-2</v>
      </c>
    </row>
    <row r="463" spans="1:14" x14ac:dyDescent="0.25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ht="13" x14ac:dyDescent="0.3">
      <c r="C466" s="182"/>
      <c r="E466" s="182"/>
      <c r="G466" s="182"/>
      <c r="I466" s="182"/>
    </row>
    <row r="467" spans="1:14" ht="13" x14ac:dyDescent="0.3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ht="13" x14ac:dyDescent="0.3">
      <c r="N468" s="287" t="s">
        <v>370</v>
      </c>
    </row>
    <row r="469" spans="1:14" ht="13" x14ac:dyDescent="0.3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ht="13" x14ac:dyDescent="0.3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5">
      <c r="A471" s="282" t="s">
        <v>364</v>
      </c>
      <c r="B471" s="302">
        <f>'Ind T6'!L198</f>
        <v>2.6398258980860918</v>
      </c>
      <c r="C471" s="299" t="str">
        <f>CONCATENATE("(",ROUND((B471/$H473)*100,1),")")</f>
        <v>(20.4)</v>
      </c>
      <c r="D471" s="302">
        <f>'Ind T6'!M198</f>
        <v>1.138433289367657</v>
      </c>
      <c r="E471" s="299" t="str">
        <f>CONCATENATE("(",ROUND((D471/$H473)*100,1),")")</f>
        <v>(8.8)</v>
      </c>
      <c r="F471" s="302">
        <f>'Ind T6'!N198</f>
        <v>0.67870714047902192</v>
      </c>
      <c r="G471" s="299" t="str">
        <f>CONCATENATE("(",ROUND((F471/$H473)*100,1),")")</f>
        <v>(5.2)</v>
      </c>
      <c r="H471" s="302">
        <f>SUM(B471,D471,F471)</f>
        <v>4.4569663279327703</v>
      </c>
      <c r="I471" s="299" t="str">
        <f>CONCATENATE("(",ROUND((H471/$H473)*100,1),")")</f>
        <v>(34.4)</v>
      </c>
      <c r="K471" s="302">
        <f>B476-B471</f>
        <v>1.7674168183422712E-2</v>
      </c>
      <c r="L471" s="302">
        <f>D476-D471</f>
        <v>-3.2839767159288602E-2</v>
      </c>
      <c r="M471" s="302">
        <f>F476-F471</f>
        <v>3.7909909666193897E-3</v>
      </c>
      <c r="N471" s="302">
        <f>SUM(K471:M471)</f>
        <v>-1.1374608009246501E-2</v>
      </c>
    </row>
    <row r="472" spans="1:14" x14ac:dyDescent="0.25">
      <c r="A472" s="282" t="s">
        <v>365</v>
      </c>
      <c r="B472" s="302">
        <f>'Ind T6'!L197</f>
        <v>2.9862109679913931</v>
      </c>
      <c r="C472" s="299" t="str">
        <f>CONCATENATE("(",ROUND((B472/$H473)*100,1),")")</f>
        <v>(23.1)</v>
      </c>
      <c r="D472" s="302">
        <f>'Ind T6'!M197</f>
        <v>2.5062274032079466</v>
      </c>
      <c r="E472" s="299" t="str">
        <f>CONCATENATE("(",ROUND((D472/$H473)*100,1),")")</f>
        <v>(19.4)</v>
      </c>
      <c r="F472" s="302">
        <f>'Ind T6'!N197</f>
        <v>2.9975953008678862</v>
      </c>
      <c r="G472" s="299" t="str">
        <f>CONCATENATE("(",ROUND((F472/$H473)*100,1),")")</f>
        <v>(23.2)</v>
      </c>
      <c r="H472" s="302">
        <f t="shared" ref="H472" si="350">SUM(B472,D472,F472)</f>
        <v>8.4900336720672254</v>
      </c>
      <c r="I472" s="299" t="str">
        <f>CONCATENATE("(",ROUND((H472/$H473)*100,1),")")</f>
        <v>(65.6)</v>
      </c>
      <c r="K472" s="302">
        <f t="shared" ref="K472:K473" si="351">B477-B472</f>
        <v>-0.16652155134280067</v>
      </c>
      <c r="L472" s="302">
        <f t="shared" ref="L472:L473" si="352">D477-D472</f>
        <v>-9.8275111903343593E-2</v>
      </c>
      <c r="M472" s="302">
        <f t="shared" ref="M472:M473" si="353">F477-F472</f>
        <v>-6.682872874460255E-2</v>
      </c>
      <c r="N472" s="302">
        <f t="shared" ref="N472:N473" si="354">SUM(K472:M472)</f>
        <v>-0.33162539199074681</v>
      </c>
    </row>
    <row r="473" spans="1:14" x14ac:dyDescent="0.25">
      <c r="A473" s="282" t="s">
        <v>363</v>
      </c>
      <c r="B473" s="302">
        <f>SUM(B471:B472)</f>
        <v>5.6260368660774844</v>
      </c>
      <c r="C473" s="299" t="str">
        <f>CONCATENATE("(",ROUND((B473/$H473)*100,1),")")</f>
        <v>(43.5)</v>
      </c>
      <c r="D473" s="302">
        <f>SUM(D471:D472)</f>
        <v>3.6446606925756035</v>
      </c>
      <c r="E473" s="299" t="str">
        <f>CONCATENATE("(",ROUND((D473/$H473)*100,1),")")</f>
        <v>(28.2)</v>
      </c>
      <c r="F473" s="302">
        <f>SUM(F471:F472)</f>
        <v>3.6763024413469081</v>
      </c>
      <c r="G473" s="299" t="str">
        <f>CONCATENATE("(",ROUND((F473/$H473)*100,1),")")</f>
        <v>(28.4)</v>
      </c>
      <c r="H473" s="302">
        <f>SUM(H471:H472)</f>
        <v>12.946999999999996</v>
      </c>
      <c r="I473" s="299" t="str">
        <f>CONCATENATE("(",ROUND((H473/$H473)*100,1),")")</f>
        <v>(100)</v>
      </c>
      <c r="K473" s="302">
        <f t="shared" si="351"/>
        <v>-0.14884738315937796</v>
      </c>
      <c r="L473" s="302">
        <f t="shared" si="352"/>
        <v>-0.13111487906263219</v>
      </c>
      <c r="M473" s="302">
        <f t="shared" si="353"/>
        <v>-6.303773777798316E-2</v>
      </c>
      <c r="N473" s="302">
        <f t="shared" si="354"/>
        <v>-0.34299999999999331</v>
      </c>
    </row>
    <row r="474" spans="1:14" x14ac:dyDescent="0.25">
      <c r="B474" s="302"/>
      <c r="C474" s="284"/>
      <c r="D474" s="302"/>
      <c r="E474" s="284"/>
      <c r="F474" s="302"/>
      <c r="G474" s="284"/>
      <c r="H474" s="302"/>
      <c r="I474" s="284"/>
    </row>
    <row r="475" spans="1:14" ht="13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5">
      <c r="A476" s="282" t="s">
        <v>364</v>
      </c>
      <c r="B476" s="302">
        <f>'Ind T6'!Q198</f>
        <v>2.6575000662695145</v>
      </c>
      <c r="C476" s="299" t="str">
        <f>CONCATENATE("(",ROUND((B476/$H478)*100,1),")")</f>
        <v>(21.1)</v>
      </c>
      <c r="D476" s="302">
        <f>'Ind T6'!R198</f>
        <v>1.1055935222083684</v>
      </c>
      <c r="E476" s="299" t="str">
        <f>CONCATENATE("(",ROUND((D476/$H478)*100,1),")")</f>
        <v>(8.8)</v>
      </c>
      <c r="F476" s="302">
        <f>'Ind T6'!S198</f>
        <v>0.68249813144564131</v>
      </c>
      <c r="G476" s="299" t="str">
        <f>CONCATENATE("(",ROUND((F476/$H478)*100,1),")")</f>
        <v>(5.4)</v>
      </c>
      <c r="H476" s="302">
        <f>SUM(B476,D476,F476)</f>
        <v>4.4455917199235238</v>
      </c>
      <c r="I476" s="299" t="str">
        <f>CONCATENATE("(",ROUND((H476/$H478)*100,1),")")</f>
        <v>(35.3)</v>
      </c>
      <c r="K476" s="302">
        <f>B481-B476</f>
        <v>0.14500682791398267</v>
      </c>
      <c r="L476" s="302">
        <f>D481-D476</f>
        <v>1.0867247280238246E-2</v>
      </c>
      <c r="M476" s="302">
        <f>F481-F476</f>
        <v>3.4367869699364229E-2</v>
      </c>
      <c r="N476" s="302">
        <f>SUM(K476:M476)</f>
        <v>0.19024194489358515</v>
      </c>
    </row>
    <row r="477" spans="1:14" x14ac:dyDescent="0.25">
      <c r="A477" s="282" t="s">
        <v>365</v>
      </c>
      <c r="B477" s="302">
        <f>'Ind T6'!Q197</f>
        <v>2.8196894166485924</v>
      </c>
      <c r="C477" s="299" t="str">
        <f>CONCATENATE("(",ROUND((B477/$H478)*100,1),")")</f>
        <v>(22.4)</v>
      </c>
      <c r="D477" s="302">
        <f>'Ind T6'!R197</f>
        <v>2.407952291304603</v>
      </c>
      <c r="E477" s="299" t="str">
        <f>CONCATENATE("(",ROUND((D477/$H478)*100,1),")")</f>
        <v>(19.1)</v>
      </c>
      <c r="F477" s="302">
        <f>'Ind T6'!S197</f>
        <v>2.9307665721232836</v>
      </c>
      <c r="G477" s="299" t="str">
        <f>CONCATENATE("(",ROUND((F477/$H478)*100,1),")")</f>
        <v>(23.3)</v>
      </c>
      <c r="H477" s="302">
        <f t="shared" ref="H477" si="355">SUM(B477,D477,F477)</f>
        <v>8.158408280076479</v>
      </c>
      <c r="I477" s="299" t="str">
        <f>CONCATENATE("(",ROUND((H477/$H478)*100,1),")")</f>
        <v>(64.7)</v>
      </c>
      <c r="K477" s="302">
        <f t="shared" ref="K477:K478" si="356">B482-B477</f>
        <v>-0.11052705885895042</v>
      </c>
      <c r="L477" s="302">
        <f t="shared" ref="L477:L478" si="357">D482-D477</f>
        <v>-6.1815017713916287E-2</v>
      </c>
      <c r="M477" s="302">
        <f t="shared" ref="M477:M478" si="358">F482-F477</f>
        <v>-2.6899868320724885E-2</v>
      </c>
      <c r="N477" s="302">
        <f t="shared" ref="N477:N478" si="359">SUM(K477:M477)</f>
        <v>-0.19924194489359159</v>
      </c>
    </row>
    <row r="478" spans="1:14" x14ac:dyDescent="0.25">
      <c r="A478" s="282" t="s">
        <v>363</v>
      </c>
      <c r="B478" s="302">
        <f>SUM(B476:B477)</f>
        <v>5.4771894829181065</v>
      </c>
      <c r="C478" s="299" t="str">
        <f>CONCATENATE("(",ROUND((B478/$H478)*100,1),")")</f>
        <v>(43.5)</v>
      </c>
      <c r="D478" s="302">
        <f>SUM(D476:D477)</f>
        <v>3.5135458135129713</v>
      </c>
      <c r="E478" s="299" t="str">
        <f>CONCATENATE("(",ROUND((D478/$H478)*100,1),")")</f>
        <v>(27.9)</v>
      </c>
      <c r="F478" s="302">
        <f>SUM(F476:F477)</f>
        <v>3.6132647035689249</v>
      </c>
      <c r="G478" s="299" t="str">
        <f>CONCATENATE("(",ROUND((F478/$H478)*100,1),")")</f>
        <v>(28.7)</v>
      </c>
      <c r="H478" s="302">
        <f>SUM(H476:H477)</f>
        <v>12.604000000000003</v>
      </c>
      <c r="I478" s="299" t="str">
        <f>CONCATENATE("(",ROUND((H478/$H478)*100,1),")")</f>
        <v>(100)</v>
      </c>
      <c r="K478" s="302">
        <f t="shared" si="356"/>
        <v>3.447976905503225E-2</v>
      </c>
      <c r="L478" s="302">
        <f t="shared" si="357"/>
        <v>-5.0947770433678041E-2</v>
      </c>
      <c r="M478" s="302">
        <f t="shared" si="358"/>
        <v>7.468001378639233E-3</v>
      </c>
      <c r="N478" s="302">
        <f t="shared" si="359"/>
        <v>-9.0000000000065583E-3</v>
      </c>
    </row>
    <row r="479" spans="1:14" x14ac:dyDescent="0.25">
      <c r="B479" s="302"/>
      <c r="C479" s="284"/>
      <c r="D479" s="302"/>
      <c r="E479" s="284"/>
      <c r="F479" s="302"/>
      <c r="G479" s="284"/>
      <c r="H479" s="302"/>
      <c r="I479" s="284"/>
    </row>
    <row r="480" spans="1:14" ht="13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5">
      <c r="A481" s="282" t="s">
        <v>364</v>
      </c>
      <c r="B481" s="302">
        <f>'Ind T6'!V198</f>
        <v>2.8025068941834972</v>
      </c>
      <c r="C481" s="299" t="str">
        <f>CONCATENATE("(",ROUND((B481/$H483)*100,1),")")</f>
        <v>(22.3)</v>
      </c>
      <c r="D481" s="302">
        <f>'Ind T6'!W198</f>
        <v>1.1164607694886066</v>
      </c>
      <c r="E481" s="299" t="str">
        <f>CONCATENATE("(",ROUND((D481/$H483)*100,1),")")</f>
        <v>(8.9)</v>
      </c>
      <c r="F481" s="302">
        <f>'Ind T6'!X198</f>
        <v>0.71686600114500554</v>
      </c>
      <c r="G481" s="299" t="str">
        <f>CONCATENATE("(",ROUND((F481/$H483)*100,1),")")</f>
        <v>(5.7)</v>
      </c>
      <c r="H481" s="302">
        <f>SUM(B481,D481,F481)</f>
        <v>4.6358336648171097</v>
      </c>
      <c r="I481" s="299" t="str">
        <f>CONCATENATE("(",ROUND((H481/$H483)*100,1),")")</f>
        <v>(36.8)</v>
      </c>
      <c r="K481" s="302">
        <f>B481-B471</f>
        <v>0.16268099609740538</v>
      </c>
      <c r="L481" s="302">
        <f>D481-D471</f>
        <v>-2.1972519879050356E-2</v>
      </c>
      <c r="M481" s="302">
        <f>F481-F471</f>
        <v>3.8158860665983618E-2</v>
      </c>
      <c r="N481" s="302">
        <f>SUM(K481:M481)</f>
        <v>0.17886733688433865</v>
      </c>
    </row>
    <row r="482" spans="1:14" x14ac:dyDescent="0.25">
      <c r="A482" s="282" t="s">
        <v>365</v>
      </c>
      <c r="B482" s="302">
        <f>'Ind T6'!V197</f>
        <v>2.709162357789642</v>
      </c>
      <c r="C482" s="299" t="str">
        <f>CONCATENATE("(",ROUND((B482/$H483)*100,1),")")</f>
        <v>(21.5)</v>
      </c>
      <c r="D482" s="302">
        <f>'Ind T6'!W197</f>
        <v>2.3461372735906867</v>
      </c>
      <c r="E482" s="299" t="str">
        <f>CONCATENATE("(",ROUND((D482/$H483)*100,1),")")</f>
        <v>(18.6)</v>
      </c>
      <c r="F482" s="302">
        <f>'Ind T6'!X197</f>
        <v>2.9038667038025587</v>
      </c>
      <c r="G482" s="299" t="str">
        <f>CONCATENATE("(",ROUND((F482/$H483)*100,1),")")</f>
        <v>(23.1)</v>
      </c>
      <c r="H482" s="302">
        <f t="shared" ref="H482" si="360">SUM(B482,D482,F482)</f>
        <v>7.9591663351828874</v>
      </c>
      <c r="I482" s="299" t="str">
        <f>CONCATENATE("(",ROUND((H482/$H483)*100,1),")")</f>
        <v>(63.2)</v>
      </c>
      <c r="K482" s="302">
        <f t="shared" ref="K482:K483" si="361">B482-B472</f>
        <v>-0.27704861020175109</v>
      </c>
      <c r="L482" s="302">
        <f t="shared" ref="L482:L483" si="362">D482-D472</f>
        <v>-0.16009012961725988</v>
      </c>
      <c r="M482" s="302">
        <f t="shared" ref="M482:M483" si="363">F482-F472</f>
        <v>-9.3728597065327435E-2</v>
      </c>
      <c r="N482" s="302">
        <f t="shared" ref="N482:N483" si="364">SUM(K482:M482)</f>
        <v>-0.5308673368843384</v>
      </c>
    </row>
    <row r="483" spans="1:14" x14ac:dyDescent="0.25">
      <c r="A483" s="282" t="s">
        <v>363</v>
      </c>
      <c r="B483" s="302">
        <f>SUM(B481:B482)</f>
        <v>5.5116692519731387</v>
      </c>
      <c r="C483" s="299" t="str">
        <f>CONCATENATE("(",ROUND((B483/$H483)*100,1),")")</f>
        <v>(43.8)</v>
      </c>
      <c r="D483" s="302">
        <f>SUM(D481:D482)</f>
        <v>3.4625980430792933</v>
      </c>
      <c r="E483" s="299" t="str">
        <f>CONCATENATE("(",ROUND((D483/$H483)*100,1),")")</f>
        <v>(27.5)</v>
      </c>
      <c r="F483" s="302">
        <f>SUM(F481:F482)</f>
        <v>3.6207327049475642</v>
      </c>
      <c r="G483" s="299" t="str">
        <f>CONCATENATE("(",ROUND((F483/$H483)*100,1),")")</f>
        <v>(28.7)</v>
      </c>
      <c r="H483" s="302">
        <f>SUM(H481:H482)</f>
        <v>12.594999999999997</v>
      </c>
      <c r="I483" s="299" t="str">
        <f>CONCATENATE("(",ROUND((H483/$H483)*100,1),")")</f>
        <v>(100)</v>
      </c>
      <c r="K483" s="302">
        <f t="shared" si="361"/>
        <v>-0.11436761410434571</v>
      </c>
      <c r="L483" s="302">
        <f t="shared" si="362"/>
        <v>-0.18206264949631024</v>
      </c>
      <c r="M483" s="302">
        <f t="shared" si="363"/>
        <v>-5.5569736399343928E-2</v>
      </c>
      <c r="N483" s="302">
        <f t="shared" si="364"/>
        <v>-0.35199999999999987</v>
      </c>
    </row>
    <row r="484" spans="1:14" x14ac:dyDescent="0.25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ht="13" x14ac:dyDescent="0.3">
      <c r="A488" s="182"/>
      <c r="B488" s="285"/>
      <c r="C488" s="182"/>
      <c r="D488" s="285"/>
      <c r="E488" s="182"/>
      <c r="F488" s="285"/>
      <c r="G488" s="182"/>
      <c r="I488" s="182"/>
    </row>
    <row r="489" spans="1:14" ht="13" x14ac:dyDescent="0.3">
      <c r="N489" s="287"/>
    </row>
    <row r="490" spans="1:14" ht="13" x14ac:dyDescent="0.3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ht="13" x14ac:dyDescent="0.3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5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5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5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5">
      <c r="B495" s="249"/>
      <c r="C495" s="284"/>
      <c r="D495" s="249"/>
      <c r="E495" s="284"/>
      <c r="F495" s="249"/>
      <c r="G495" s="284"/>
      <c r="H495" s="249"/>
      <c r="I495" s="284"/>
    </row>
    <row r="496" spans="1:14" ht="13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5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5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5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5">
      <c r="B500" s="249"/>
      <c r="C500" s="284"/>
      <c r="D500" s="249"/>
      <c r="E500" s="284"/>
      <c r="F500" s="249"/>
      <c r="G500" s="284"/>
      <c r="H500" s="249"/>
      <c r="I500" s="284"/>
    </row>
    <row r="501" spans="1:14" ht="13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5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5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5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ht="13" x14ac:dyDescent="0.3">
      <c r="A509" s="182"/>
      <c r="B509" s="285"/>
      <c r="C509" s="182"/>
      <c r="D509" s="285"/>
      <c r="E509" s="182"/>
      <c r="F509" s="285"/>
      <c r="G509" s="182"/>
      <c r="I509" s="182"/>
    </row>
    <row r="510" spans="1:14" ht="13" x14ac:dyDescent="0.3">
      <c r="N510" s="287"/>
    </row>
    <row r="511" spans="1:14" ht="13" x14ac:dyDescent="0.3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ht="13" x14ac:dyDescent="0.3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5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5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5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5">
      <c r="B516" s="249"/>
      <c r="C516" s="284"/>
      <c r="D516" s="249"/>
      <c r="E516" s="284"/>
      <c r="F516" s="249"/>
      <c r="G516" s="284"/>
      <c r="H516" s="249"/>
      <c r="I516" s="284"/>
    </row>
    <row r="517" spans="1:14" ht="13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5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5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5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5">
      <c r="B521" s="249"/>
      <c r="C521" s="284"/>
      <c r="D521" s="249"/>
      <c r="E521" s="284"/>
      <c r="F521" s="249"/>
      <c r="G521" s="284"/>
      <c r="H521" s="249"/>
      <c r="I521" s="284"/>
    </row>
    <row r="522" spans="1:14" ht="13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5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5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5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ht="13" x14ac:dyDescent="0.3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ht="13" x14ac:dyDescent="0.3">
      <c r="N531" s="287"/>
    </row>
    <row r="532" spans="1:14" ht="13" x14ac:dyDescent="0.3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ht="13" x14ac:dyDescent="0.3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5">
      <c r="C534" s="284"/>
      <c r="E534" s="284"/>
      <c r="G534" s="284"/>
      <c r="I534" s="284"/>
    </row>
    <row r="535" spans="1:14" x14ac:dyDescent="0.25">
      <c r="C535" s="284"/>
      <c r="E535" s="284"/>
      <c r="G535" s="284"/>
      <c r="I535" s="284"/>
    </row>
    <row r="536" spans="1:14" x14ac:dyDescent="0.25">
      <c r="C536" s="284"/>
      <c r="E536" s="284"/>
      <c r="G536" s="284"/>
      <c r="I536" s="284"/>
    </row>
    <row r="537" spans="1:14" x14ac:dyDescent="0.25">
      <c r="C537" s="284"/>
      <c r="E537" s="284"/>
      <c r="G537" s="284"/>
      <c r="I537" s="284"/>
    </row>
    <row r="538" spans="1:14" ht="13" x14ac:dyDescent="0.3">
      <c r="A538" s="292"/>
      <c r="C538" s="284"/>
      <c r="E538" s="284"/>
      <c r="G538" s="284"/>
      <c r="I538" s="284"/>
      <c r="K538" s="285"/>
    </row>
    <row r="539" spans="1:14" x14ac:dyDescent="0.25">
      <c r="C539" s="284"/>
      <c r="E539" s="284"/>
      <c r="G539" s="284"/>
      <c r="I539" s="284"/>
    </row>
    <row r="540" spans="1:14" x14ac:dyDescent="0.25">
      <c r="C540" s="284"/>
      <c r="E540" s="284"/>
      <c r="G540" s="284"/>
      <c r="I540" s="284"/>
    </row>
    <row r="541" spans="1:14" x14ac:dyDescent="0.25">
      <c r="C541" s="284"/>
      <c r="E541" s="284"/>
      <c r="G541" s="284"/>
      <c r="I541" s="284"/>
    </row>
    <row r="542" spans="1:14" x14ac:dyDescent="0.25">
      <c r="C542" s="284"/>
      <c r="E542" s="284"/>
      <c r="G542" s="284"/>
      <c r="I542" s="284"/>
    </row>
    <row r="543" spans="1:14" ht="13" x14ac:dyDescent="0.3">
      <c r="A543" s="292"/>
      <c r="C543" s="284"/>
      <c r="E543" s="284"/>
      <c r="G543" s="284"/>
      <c r="I543" s="284"/>
      <c r="K543" s="285"/>
    </row>
    <row r="544" spans="1:14" x14ac:dyDescent="0.25">
      <c r="C544" s="284"/>
      <c r="E544" s="284"/>
      <c r="G544" s="284"/>
      <c r="I544" s="284"/>
    </row>
    <row r="545" spans="1:9" x14ac:dyDescent="0.25">
      <c r="C545" s="284"/>
      <c r="E545" s="284"/>
      <c r="G545" s="284"/>
      <c r="I545" s="284"/>
    </row>
    <row r="546" spans="1:9" x14ac:dyDescent="0.25">
      <c r="C546" s="284"/>
      <c r="E546" s="284"/>
      <c r="G546" s="284"/>
      <c r="I546" s="284"/>
    </row>
    <row r="557" spans="1:9" ht="13" x14ac:dyDescent="0.3">
      <c r="C557" s="182"/>
      <c r="E557" s="182"/>
      <c r="G557" s="182"/>
      <c r="I557" s="182"/>
    </row>
    <row r="558" spans="1:9" ht="13" x14ac:dyDescent="0.3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ht="13" x14ac:dyDescent="0.3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ht="13" x14ac:dyDescent="0.3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ht="13" x14ac:dyDescent="0.3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ht="13" x14ac:dyDescent="0.3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ht="13" x14ac:dyDescent="0.3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ht="13" x14ac:dyDescent="0.3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ht="13" x14ac:dyDescent="0.3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ht="13" x14ac:dyDescent="0.3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ht="13" x14ac:dyDescent="0.3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ht="13" x14ac:dyDescent="0.3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ht="13" x14ac:dyDescent="0.3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ht="13" x14ac:dyDescent="0.3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ht="13" x14ac:dyDescent="0.3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ht="13" x14ac:dyDescent="0.3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ht="13" x14ac:dyDescent="0.3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ht="13" x14ac:dyDescent="0.3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ht="13" x14ac:dyDescent="0.3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ht="13" x14ac:dyDescent="0.3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ht="13" x14ac:dyDescent="0.3">
      <c r="A577" s="182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60" customWidth="1"/>
    <col min="2" max="2" width="6.7265625" style="263" customWidth="1"/>
    <col min="3" max="3" width="6.7265625" style="314" customWidth="1"/>
    <col min="4" max="25" width="6.7265625" style="263" customWidth="1"/>
    <col min="26" max="26" width="7.54296875" style="260" customWidth="1"/>
    <col min="27" max="266" width="6.26953125" style="260"/>
    <col min="267" max="267" width="43.54296875" style="260" customWidth="1"/>
    <col min="268" max="268" width="7.54296875" style="260" customWidth="1"/>
    <col min="269" max="270" width="8.453125" style="260" customWidth="1"/>
    <col min="271" max="271" width="6.7265625" style="260" customWidth="1"/>
    <col min="272" max="273" width="7.54296875" style="260" customWidth="1"/>
    <col min="274" max="275" width="8.453125" style="260" customWidth="1"/>
    <col min="276" max="276" width="6.7265625" style="260" customWidth="1"/>
    <col min="277" max="278" width="7.54296875" style="260" customWidth="1"/>
    <col min="279" max="280" width="8.453125" style="260" customWidth="1"/>
    <col min="281" max="281" width="6.7265625" style="260" customWidth="1"/>
    <col min="282" max="282" width="7.54296875" style="260" customWidth="1"/>
    <col min="283" max="522" width="6.26953125" style="260"/>
    <col min="523" max="523" width="43.54296875" style="260" customWidth="1"/>
    <col min="524" max="524" width="7.54296875" style="260" customWidth="1"/>
    <col min="525" max="526" width="8.453125" style="260" customWidth="1"/>
    <col min="527" max="527" width="6.7265625" style="260" customWidth="1"/>
    <col min="528" max="529" width="7.54296875" style="260" customWidth="1"/>
    <col min="530" max="531" width="8.453125" style="260" customWidth="1"/>
    <col min="532" max="532" width="6.7265625" style="260" customWidth="1"/>
    <col min="533" max="534" width="7.54296875" style="260" customWidth="1"/>
    <col min="535" max="536" width="8.453125" style="260" customWidth="1"/>
    <col min="537" max="537" width="6.7265625" style="260" customWidth="1"/>
    <col min="538" max="538" width="7.54296875" style="260" customWidth="1"/>
    <col min="539" max="778" width="6.26953125" style="260"/>
    <col min="779" max="779" width="43.54296875" style="260" customWidth="1"/>
    <col min="780" max="780" width="7.54296875" style="260" customWidth="1"/>
    <col min="781" max="782" width="8.453125" style="260" customWidth="1"/>
    <col min="783" max="783" width="6.7265625" style="260" customWidth="1"/>
    <col min="784" max="785" width="7.54296875" style="260" customWidth="1"/>
    <col min="786" max="787" width="8.453125" style="260" customWidth="1"/>
    <col min="788" max="788" width="6.7265625" style="260" customWidth="1"/>
    <col min="789" max="790" width="7.54296875" style="260" customWidth="1"/>
    <col min="791" max="792" width="8.453125" style="260" customWidth="1"/>
    <col min="793" max="793" width="6.7265625" style="260" customWidth="1"/>
    <col min="794" max="794" width="7.54296875" style="260" customWidth="1"/>
    <col min="795" max="1034" width="6.26953125" style="260"/>
    <col min="1035" max="1035" width="43.54296875" style="260" customWidth="1"/>
    <col min="1036" max="1036" width="7.54296875" style="260" customWidth="1"/>
    <col min="1037" max="1038" width="8.453125" style="260" customWidth="1"/>
    <col min="1039" max="1039" width="6.7265625" style="260" customWidth="1"/>
    <col min="1040" max="1041" width="7.54296875" style="260" customWidth="1"/>
    <col min="1042" max="1043" width="8.453125" style="260" customWidth="1"/>
    <col min="1044" max="1044" width="6.7265625" style="260" customWidth="1"/>
    <col min="1045" max="1046" width="7.54296875" style="260" customWidth="1"/>
    <col min="1047" max="1048" width="8.453125" style="260" customWidth="1"/>
    <col min="1049" max="1049" width="6.7265625" style="260" customWidth="1"/>
    <col min="1050" max="1050" width="7.54296875" style="260" customWidth="1"/>
    <col min="1051" max="1290" width="6.26953125" style="260"/>
    <col min="1291" max="1291" width="43.54296875" style="260" customWidth="1"/>
    <col min="1292" max="1292" width="7.54296875" style="260" customWidth="1"/>
    <col min="1293" max="1294" width="8.453125" style="260" customWidth="1"/>
    <col min="1295" max="1295" width="6.7265625" style="260" customWidth="1"/>
    <col min="1296" max="1297" width="7.54296875" style="260" customWidth="1"/>
    <col min="1298" max="1299" width="8.453125" style="260" customWidth="1"/>
    <col min="1300" max="1300" width="6.7265625" style="260" customWidth="1"/>
    <col min="1301" max="1302" width="7.54296875" style="260" customWidth="1"/>
    <col min="1303" max="1304" width="8.453125" style="260" customWidth="1"/>
    <col min="1305" max="1305" width="6.7265625" style="260" customWidth="1"/>
    <col min="1306" max="1306" width="7.54296875" style="260" customWidth="1"/>
    <col min="1307" max="1546" width="6.26953125" style="260"/>
    <col min="1547" max="1547" width="43.54296875" style="260" customWidth="1"/>
    <col min="1548" max="1548" width="7.54296875" style="260" customWidth="1"/>
    <col min="1549" max="1550" width="8.453125" style="260" customWidth="1"/>
    <col min="1551" max="1551" width="6.7265625" style="260" customWidth="1"/>
    <col min="1552" max="1553" width="7.54296875" style="260" customWidth="1"/>
    <col min="1554" max="1555" width="8.453125" style="260" customWidth="1"/>
    <col min="1556" max="1556" width="6.7265625" style="260" customWidth="1"/>
    <col min="1557" max="1558" width="7.54296875" style="260" customWidth="1"/>
    <col min="1559" max="1560" width="8.453125" style="260" customWidth="1"/>
    <col min="1561" max="1561" width="6.7265625" style="260" customWidth="1"/>
    <col min="1562" max="1562" width="7.54296875" style="260" customWidth="1"/>
    <col min="1563" max="1802" width="6.26953125" style="260"/>
    <col min="1803" max="1803" width="43.54296875" style="260" customWidth="1"/>
    <col min="1804" max="1804" width="7.54296875" style="260" customWidth="1"/>
    <col min="1805" max="1806" width="8.453125" style="260" customWidth="1"/>
    <col min="1807" max="1807" width="6.7265625" style="260" customWidth="1"/>
    <col min="1808" max="1809" width="7.54296875" style="260" customWidth="1"/>
    <col min="1810" max="1811" width="8.453125" style="260" customWidth="1"/>
    <col min="1812" max="1812" width="6.7265625" style="260" customWidth="1"/>
    <col min="1813" max="1814" width="7.54296875" style="260" customWidth="1"/>
    <col min="1815" max="1816" width="8.453125" style="260" customWidth="1"/>
    <col min="1817" max="1817" width="6.7265625" style="260" customWidth="1"/>
    <col min="1818" max="1818" width="7.54296875" style="260" customWidth="1"/>
    <col min="1819" max="2058" width="6.26953125" style="260"/>
    <col min="2059" max="2059" width="43.54296875" style="260" customWidth="1"/>
    <col min="2060" max="2060" width="7.54296875" style="260" customWidth="1"/>
    <col min="2061" max="2062" width="8.453125" style="260" customWidth="1"/>
    <col min="2063" max="2063" width="6.7265625" style="260" customWidth="1"/>
    <col min="2064" max="2065" width="7.54296875" style="260" customWidth="1"/>
    <col min="2066" max="2067" width="8.453125" style="260" customWidth="1"/>
    <col min="2068" max="2068" width="6.7265625" style="260" customWidth="1"/>
    <col min="2069" max="2070" width="7.54296875" style="260" customWidth="1"/>
    <col min="2071" max="2072" width="8.453125" style="260" customWidth="1"/>
    <col min="2073" max="2073" width="6.7265625" style="260" customWidth="1"/>
    <col min="2074" max="2074" width="7.54296875" style="260" customWidth="1"/>
    <col min="2075" max="2314" width="6.26953125" style="260"/>
    <col min="2315" max="2315" width="43.54296875" style="260" customWidth="1"/>
    <col min="2316" max="2316" width="7.54296875" style="260" customWidth="1"/>
    <col min="2317" max="2318" width="8.453125" style="260" customWidth="1"/>
    <col min="2319" max="2319" width="6.7265625" style="260" customWidth="1"/>
    <col min="2320" max="2321" width="7.54296875" style="260" customWidth="1"/>
    <col min="2322" max="2323" width="8.453125" style="260" customWidth="1"/>
    <col min="2324" max="2324" width="6.7265625" style="260" customWidth="1"/>
    <col min="2325" max="2326" width="7.54296875" style="260" customWidth="1"/>
    <col min="2327" max="2328" width="8.453125" style="260" customWidth="1"/>
    <col min="2329" max="2329" width="6.7265625" style="260" customWidth="1"/>
    <col min="2330" max="2330" width="7.54296875" style="260" customWidth="1"/>
    <col min="2331" max="2570" width="6.26953125" style="260"/>
    <col min="2571" max="2571" width="43.54296875" style="260" customWidth="1"/>
    <col min="2572" max="2572" width="7.54296875" style="260" customWidth="1"/>
    <col min="2573" max="2574" width="8.453125" style="260" customWidth="1"/>
    <col min="2575" max="2575" width="6.7265625" style="260" customWidth="1"/>
    <col min="2576" max="2577" width="7.54296875" style="260" customWidth="1"/>
    <col min="2578" max="2579" width="8.453125" style="260" customWidth="1"/>
    <col min="2580" max="2580" width="6.7265625" style="260" customWidth="1"/>
    <col min="2581" max="2582" width="7.54296875" style="260" customWidth="1"/>
    <col min="2583" max="2584" width="8.453125" style="260" customWidth="1"/>
    <col min="2585" max="2585" width="6.7265625" style="260" customWidth="1"/>
    <col min="2586" max="2586" width="7.54296875" style="260" customWidth="1"/>
    <col min="2587" max="2826" width="6.26953125" style="260"/>
    <col min="2827" max="2827" width="43.54296875" style="260" customWidth="1"/>
    <col min="2828" max="2828" width="7.54296875" style="260" customWidth="1"/>
    <col min="2829" max="2830" width="8.453125" style="260" customWidth="1"/>
    <col min="2831" max="2831" width="6.7265625" style="260" customWidth="1"/>
    <col min="2832" max="2833" width="7.54296875" style="260" customWidth="1"/>
    <col min="2834" max="2835" width="8.453125" style="260" customWidth="1"/>
    <col min="2836" max="2836" width="6.7265625" style="260" customWidth="1"/>
    <col min="2837" max="2838" width="7.54296875" style="260" customWidth="1"/>
    <col min="2839" max="2840" width="8.453125" style="260" customWidth="1"/>
    <col min="2841" max="2841" width="6.7265625" style="260" customWidth="1"/>
    <col min="2842" max="2842" width="7.54296875" style="260" customWidth="1"/>
    <col min="2843" max="3082" width="6.26953125" style="260"/>
    <col min="3083" max="3083" width="43.54296875" style="260" customWidth="1"/>
    <col min="3084" max="3084" width="7.54296875" style="260" customWidth="1"/>
    <col min="3085" max="3086" width="8.453125" style="260" customWidth="1"/>
    <col min="3087" max="3087" width="6.7265625" style="260" customWidth="1"/>
    <col min="3088" max="3089" width="7.54296875" style="260" customWidth="1"/>
    <col min="3090" max="3091" width="8.453125" style="260" customWidth="1"/>
    <col min="3092" max="3092" width="6.7265625" style="260" customWidth="1"/>
    <col min="3093" max="3094" width="7.54296875" style="260" customWidth="1"/>
    <col min="3095" max="3096" width="8.453125" style="260" customWidth="1"/>
    <col min="3097" max="3097" width="6.7265625" style="260" customWidth="1"/>
    <col min="3098" max="3098" width="7.54296875" style="260" customWidth="1"/>
    <col min="3099" max="3338" width="6.26953125" style="260"/>
    <col min="3339" max="3339" width="43.54296875" style="260" customWidth="1"/>
    <col min="3340" max="3340" width="7.54296875" style="260" customWidth="1"/>
    <col min="3341" max="3342" width="8.453125" style="260" customWidth="1"/>
    <col min="3343" max="3343" width="6.7265625" style="260" customWidth="1"/>
    <col min="3344" max="3345" width="7.54296875" style="260" customWidth="1"/>
    <col min="3346" max="3347" width="8.453125" style="260" customWidth="1"/>
    <col min="3348" max="3348" width="6.7265625" style="260" customWidth="1"/>
    <col min="3349" max="3350" width="7.54296875" style="260" customWidth="1"/>
    <col min="3351" max="3352" width="8.453125" style="260" customWidth="1"/>
    <col min="3353" max="3353" width="6.7265625" style="260" customWidth="1"/>
    <col min="3354" max="3354" width="7.54296875" style="260" customWidth="1"/>
    <col min="3355" max="3594" width="6.26953125" style="260"/>
    <col min="3595" max="3595" width="43.54296875" style="260" customWidth="1"/>
    <col min="3596" max="3596" width="7.54296875" style="260" customWidth="1"/>
    <col min="3597" max="3598" width="8.453125" style="260" customWidth="1"/>
    <col min="3599" max="3599" width="6.7265625" style="260" customWidth="1"/>
    <col min="3600" max="3601" width="7.54296875" style="260" customWidth="1"/>
    <col min="3602" max="3603" width="8.453125" style="260" customWidth="1"/>
    <col min="3604" max="3604" width="6.7265625" style="260" customWidth="1"/>
    <col min="3605" max="3606" width="7.54296875" style="260" customWidth="1"/>
    <col min="3607" max="3608" width="8.453125" style="260" customWidth="1"/>
    <col min="3609" max="3609" width="6.7265625" style="260" customWidth="1"/>
    <col min="3610" max="3610" width="7.54296875" style="260" customWidth="1"/>
    <col min="3611" max="3850" width="6.26953125" style="260"/>
    <col min="3851" max="3851" width="43.54296875" style="260" customWidth="1"/>
    <col min="3852" max="3852" width="7.54296875" style="260" customWidth="1"/>
    <col min="3853" max="3854" width="8.453125" style="260" customWidth="1"/>
    <col min="3855" max="3855" width="6.7265625" style="260" customWidth="1"/>
    <col min="3856" max="3857" width="7.54296875" style="260" customWidth="1"/>
    <col min="3858" max="3859" width="8.453125" style="260" customWidth="1"/>
    <col min="3860" max="3860" width="6.7265625" style="260" customWidth="1"/>
    <col min="3861" max="3862" width="7.54296875" style="260" customWidth="1"/>
    <col min="3863" max="3864" width="8.453125" style="260" customWidth="1"/>
    <col min="3865" max="3865" width="6.7265625" style="260" customWidth="1"/>
    <col min="3866" max="3866" width="7.54296875" style="260" customWidth="1"/>
    <col min="3867" max="4106" width="6.26953125" style="260"/>
    <col min="4107" max="4107" width="43.54296875" style="260" customWidth="1"/>
    <col min="4108" max="4108" width="7.54296875" style="260" customWidth="1"/>
    <col min="4109" max="4110" width="8.453125" style="260" customWidth="1"/>
    <col min="4111" max="4111" width="6.7265625" style="260" customWidth="1"/>
    <col min="4112" max="4113" width="7.54296875" style="260" customWidth="1"/>
    <col min="4114" max="4115" width="8.453125" style="260" customWidth="1"/>
    <col min="4116" max="4116" width="6.7265625" style="260" customWidth="1"/>
    <col min="4117" max="4118" width="7.54296875" style="260" customWidth="1"/>
    <col min="4119" max="4120" width="8.453125" style="260" customWidth="1"/>
    <col min="4121" max="4121" width="6.7265625" style="260" customWidth="1"/>
    <col min="4122" max="4122" width="7.54296875" style="260" customWidth="1"/>
    <col min="4123" max="4362" width="6.26953125" style="260"/>
    <col min="4363" max="4363" width="43.54296875" style="260" customWidth="1"/>
    <col min="4364" max="4364" width="7.54296875" style="260" customWidth="1"/>
    <col min="4365" max="4366" width="8.453125" style="260" customWidth="1"/>
    <col min="4367" max="4367" width="6.7265625" style="260" customWidth="1"/>
    <col min="4368" max="4369" width="7.54296875" style="260" customWidth="1"/>
    <col min="4370" max="4371" width="8.453125" style="260" customWidth="1"/>
    <col min="4372" max="4372" width="6.7265625" style="260" customWidth="1"/>
    <col min="4373" max="4374" width="7.54296875" style="260" customWidth="1"/>
    <col min="4375" max="4376" width="8.453125" style="260" customWidth="1"/>
    <col min="4377" max="4377" width="6.7265625" style="260" customWidth="1"/>
    <col min="4378" max="4378" width="7.54296875" style="260" customWidth="1"/>
    <col min="4379" max="4618" width="6.26953125" style="260"/>
    <col min="4619" max="4619" width="43.54296875" style="260" customWidth="1"/>
    <col min="4620" max="4620" width="7.54296875" style="260" customWidth="1"/>
    <col min="4621" max="4622" width="8.453125" style="260" customWidth="1"/>
    <col min="4623" max="4623" width="6.7265625" style="260" customWidth="1"/>
    <col min="4624" max="4625" width="7.54296875" style="260" customWidth="1"/>
    <col min="4626" max="4627" width="8.453125" style="260" customWidth="1"/>
    <col min="4628" max="4628" width="6.7265625" style="260" customWidth="1"/>
    <col min="4629" max="4630" width="7.54296875" style="260" customWidth="1"/>
    <col min="4631" max="4632" width="8.453125" style="260" customWidth="1"/>
    <col min="4633" max="4633" width="6.7265625" style="260" customWidth="1"/>
    <col min="4634" max="4634" width="7.54296875" style="260" customWidth="1"/>
    <col min="4635" max="4874" width="6.26953125" style="260"/>
    <col min="4875" max="4875" width="43.54296875" style="260" customWidth="1"/>
    <col min="4876" max="4876" width="7.54296875" style="260" customWidth="1"/>
    <col min="4877" max="4878" width="8.453125" style="260" customWidth="1"/>
    <col min="4879" max="4879" width="6.7265625" style="260" customWidth="1"/>
    <col min="4880" max="4881" width="7.54296875" style="260" customWidth="1"/>
    <col min="4882" max="4883" width="8.453125" style="260" customWidth="1"/>
    <col min="4884" max="4884" width="6.7265625" style="260" customWidth="1"/>
    <col min="4885" max="4886" width="7.54296875" style="260" customWidth="1"/>
    <col min="4887" max="4888" width="8.453125" style="260" customWidth="1"/>
    <col min="4889" max="4889" width="6.7265625" style="260" customWidth="1"/>
    <col min="4890" max="4890" width="7.54296875" style="260" customWidth="1"/>
    <col min="4891" max="5130" width="6.26953125" style="260"/>
    <col min="5131" max="5131" width="43.54296875" style="260" customWidth="1"/>
    <col min="5132" max="5132" width="7.54296875" style="260" customWidth="1"/>
    <col min="5133" max="5134" width="8.453125" style="260" customWidth="1"/>
    <col min="5135" max="5135" width="6.7265625" style="260" customWidth="1"/>
    <col min="5136" max="5137" width="7.54296875" style="260" customWidth="1"/>
    <col min="5138" max="5139" width="8.453125" style="260" customWidth="1"/>
    <col min="5140" max="5140" width="6.7265625" style="260" customWidth="1"/>
    <col min="5141" max="5142" width="7.54296875" style="260" customWidth="1"/>
    <col min="5143" max="5144" width="8.453125" style="260" customWidth="1"/>
    <col min="5145" max="5145" width="6.7265625" style="260" customWidth="1"/>
    <col min="5146" max="5146" width="7.54296875" style="260" customWidth="1"/>
    <col min="5147" max="5386" width="6.26953125" style="260"/>
    <col min="5387" max="5387" width="43.54296875" style="260" customWidth="1"/>
    <col min="5388" max="5388" width="7.54296875" style="260" customWidth="1"/>
    <col min="5389" max="5390" width="8.453125" style="260" customWidth="1"/>
    <col min="5391" max="5391" width="6.7265625" style="260" customWidth="1"/>
    <col min="5392" max="5393" width="7.54296875" style="260" customWidth="1"/>
    <col min="5394" max="5395" width="8.453125" style="260" customWidth="1"/>
    <col min="5396" max="5396" width="6.7265625" style="260" customWidth="1"/>
    <col min="5397" max="5398" width="7.54296875" style="260" customWidth="1"/>
    <col min="5399" max="5400" width="8.453125" style="260" customWidth="1"/>
    <col min="5401" max="5401" width="6.7265625" style="260" customWidth="1"/>
    <col min="5402" max="5402" width="7.54296875" style="260" customWidth="1"/>
    <col min="5403" max="5642" width="6.26953125" style="260"/>
    <col min="5643" max="5643" width="43.54296875" style="260" customWidth="1"/>
    <col min="5644" max="5644" width="7.54296875" style="260" customWidth="1"/>
    <col min="5645" max="5646" width="8.453125" style="260" customWidth="1"/>
    <col min="5647" max="5647" width="6.7265625" style="260" customWidth="1"/>
    <col min="5648" max="5649" width="7.54296875" style="260" customWidth="1"/>
    <col min="5650" max="5651" width="8.453125" style="260" customWidth="1"/>
    <col min="5652" max="5652" width="6.7265625" style="260" customWidth="1"/>
    <col min="5653" max="5654" width="7.54296875" style="260" customWidth="1"/>
    <col min="5655" max="5656" width="8.453125" style="260" customWidth="1"/>
    <col min="5657" max="5657" width="6.7265625" style="260" customWidth="1"/>
    <col min="5658" max="5658" width="7.54296875" style="260" customWidth="1"/>
    <col min="5659" max="5898" width="6.26953125" style="260"/>
    <col min="5899" max="5899" width="43.54296875" style="260" customWidth="1"/>
    <col min="5900" max="5900" width="7.54296875" style="260" customWidth="1"/>
    <col min="5901" max="5902" width="8.453125" style="260" customWidth="1"/>
    <col min="5903" max="5903" width="6.7265625" style="260" customWidth="1"/>
    <col min="5904" max="5905" width="7.54296875" style="260" customWidth="1"/>
    <col min="5906" max="5907" width="8.453125" style="260" customWidth="1"/>
    <col min="5908" max="5908" width="6.7265625" style="260" customWidth="1"/>
    <col min="5909" max="5910" width="7.54296875" style="260" customWidth="1"/>
    <col min="5911" max="5912" width="8.453125" style="260" customWidth="1"/>
    <col min="5913" max="5913" width="6.7265625" style="260" customWidth="1"/>
    <col min="5914" max="5914" width="7.54296875" style="260" customWidth="1"/>
    <col min="5915" max="6154" width="6.26953125" style="260"/>
    <col min="6155" max="6155" width="43.54296875" style="260" customWidth="1"/>
    <col min="6156" max="6156" width="7.54296875" style="260" customWidth="1"/>
    <col min="6157" max="6158" width="8.453125" style="260" customWidth="1"/>
    <col min="6159" max="6159" width="6.7265625" style="260" customWidth="1"/>
    <col min="6160" max="6161" width="7.54296875" style="260" customWidth="1"/>
    <col min="6162" max="6163" width="8.453125" style="260" customWidth="1"/>
    <col min="6164" max="6164" width="6.7265625" style="260" customWidth="1"/>
    <col min="6165" max="6166" width="7.54296875" style="260" customWidth="1"/>
    <col min="6167" max="6168" width="8.453125" style="260" customWidth="1"/>
    <col min="6169" max="6169" width="6.7265625" style="260" customWidth="1"/>
    <col min="6170" max="6170" width="7.54296875" style="260" customWidth="1"/>
    <col min="6171" max="6410" width="6.26953125" style="260"/>
    <col min="6411" max="6411" width="43.54296875" style="260" customWidth="1"/>
    <col min="6412" max="6412" width="7.54296875" style="260" customWidth="1"/>
    <col min="6413" max="6414" width="8.453125" style="260" customWidth="1"/>
    <col min="6415" max="6415" width="6.7265625" style="260" customWidth="1"/>
    <col min="6416" max="6417" width="7.54296875" style="260" customWidth="1"/>
    <col min="6418" max="6419" width="8.453125" style="260" customWidth="1"/>
    <col min="6420" max="6420" width="6.7265625" style="260" customWidth="1"/>
    <col min="6421" max="6422" width="7.54296875" style="260" customWidth="1"/>
    <col min="6423" max="6424" width="8.453125" style="260" customWidth="1"/>
    <col min="6425" max="6425" width="6.7265625" style="260" customWidth="1"/>
    <col min="6426" max="6426" width="7.54296875" style="260" customWidth="1"/>
    <col min="6427" max="6666" width="6.26953125" style="260"/>
    <col min="6667" max="6667" width="43.54296875" style="260" customWidth="1"/>
    <col min="6668" max="6668" width="7.54296875" style="260" customWidth="1"/>
    <col min="6669" max="6670" width="8.453125" style="260" customWidth="1"/>
    <col min="6671" max="6671" width="6.7265625" style="260" customWidth="1"/>
    <col min="6672" max="6673" width="7.54296875" style="260" customWidth="1"/>
    <col min="6674" max="6675" width="8.453125" style="260" customWidth="1"/>
    <col min="6676" max="6676" width="6.7265625" style="260" customWidth="1"/>
    <col min="6677" max="6678" width="7.54296875" style="260" customWidth="1"/>
    <col min="6679" max="6680" width="8.453125" style="260" customWidth="1"/>
    <col min="6681" max="6681" width="6.7265625" style="260" customWidth="1"/>
    <col min="6682" max="6682" width="7.54296875" style="260" customWidth="1"/>
    <col min="6683" max="6922" width="6.26953125" style="260"/>
    <col min="6923" max="6923" width="43.54296875" style="260" customWidth="1"/>
    <col min="6924" max="6924" width="7.54296875" style="260" customWidth="1"/>
    <col min="6925" max="6926" width="8.453125" style="260" customWidth="1"/>
    <col min="6927" max="6927" width="6.7265625" style="260" customWidth="1"/>
    <col min="6928" max="6929" width="7.54296875" style="260" customWidth="1"/>
    <col min="6930" max="6931" width="8.453125" style="260" customWidth="1"/>
    <col min="6932" max="6932" width="6.7265625" style="260" customWidth="1"/>
    <col min="6933" max="6934" width="7.54296875" style="260" customWidth="1"/>
    <col min="6935" max="6936" width="8.453125" style="260" customWidth="1"/>
    <col min="6937" max="6937" width="6.7265625" style="260" customWidth="1"/>
    <col min="6938" max="6938" width="7.54296875" style="260" customWidth="1"/>
    <col min="6939" max="7178" width="6.26953125" style="260"/>
    <col min="7179" max="7179" width="43.54296875" style="260" customWidth="1"/>
    <col min="7180" max="7180" width="7.54296875" style="260" customWidth="1"/>
    <col min="7181" max="7182" width="8.453125" style="260" customWidth="1"/>
    <col min="7183" max="7183" width="6.7265625" style="260" customWidth="1"/>
    <col min="7184" max="7185" width="7.54296875" style="260" customWidth="1"/>
    <col min="7186" max="7187" width="8.453125" style="260" customWidth="1"/>
    <col min="7188" max="7188" width="6.7265625" style="260" customWidth="1"/>
    <col min="7189" max="7190" width="7.54296875" style="260" customWidth="1"/>
    <col min="7191" max="7192" width="8.453125" style="260" customWidth="1"/>
    <col min="7193" max="7193" width="6.7265625" style="260" customWidth="1"/>
    <col min="7194" max="7194" width="7.54296875" style="260" customWidth="1"/>
    <col min="7195" max="7434" width="6.26953125" style="260"/>
    <col min="7435" max="7435" width="43.54296875" style="260" customWidth="1"/>
    <col min="7436" max="7436" width="7.54296875" style="260" customWidth="1"/>
    <col min="7437" max="7438" width="8.453125" style="260" customWidth="1"/>
    <col min="7439" max="7439" width="6.7265625" style="260" customWidth="1"/>
    <col min="7440" max="7441" width="7.54296875" style="260" customWidth="1"/>
    <col min="7442" max="7443" width="8.453125" style="260" customWidth="1"/>
    <col min="7444" max="7444" width="6.7265625" style="260" customWidth="1"/>
    <col min="7445" max="7446" width="7.54296875" style="260" customWidth="1"/>
    <col min="7447" max="7448" width="8.453125" style="260" customWidth="1"/>
    <col min="7449" max="7449" width="6.7265625" style="260" customWidth="1"/>
    <col min="7450" max="7450" width="7.54296875" style="260" customWidth="1"/>
    <col min="7451" max="7690" width="6.26953125" style="260"/>
    <col min="7691" max="7691" width="43.54296875" style="260" customWidth="1"/>
    <col min="7692" max="7692" width="7.54296875" style="260" customWidth="1"/>
    <col min="7693" max="7694" width="8.453125" style="260" customWidth="1"/>
    <col min="7695" max="7695" width="6.7265625" style="260" customWidth="1"/>
    <col min="7696" max="7697" width="7.54296875" style="260" customWidth="1"/>
    <col min="7698" max="7699" width="8.453125" style="260" customWidth="1"/>
    <col min="7700" max="7700" width="6.7265625" style="260" customWidth="1"/>
    <col min="7701" max="7702" width="7.54296875" style="260" customWidth="1"/>
    <col min="7703" max="7704" width="8.453125" style="260" customWidth="1"/>
    <col min="7705" max="7705" width="6.7265625" style="260" customWidth="1"/>
    <col min="7706" max="7706" width="7.54296875" style="260" customWidth="1"/>
    <col min="7707" max="7946" width="6.26953125" style="260"/>
    <col min="7947" max="7947" width="43.54296875" style="260" customWidth="1"/>
    <col min="7948" max="7948" width="7.54296875" style="260" customWidth="1"/>
    <col min="7949" max="7950" width="8.453125" style="260" customWidth="1"/>
    <col min="7951" max="7951" width="6.7265625" style="260" customWidth="1"/>
    <col min="7952" max="7953" width="7.54296875" style="260" customWidth="1"/>
    <col min="7954" max="7955" width="8.453125" style="260" customWidth="1"/>
    <col min="7956" max="7956" width="6.7265625" style="260" customWidth="1"/>
    <col min="7957" max="7958" width="7.54296875" style="260" customWidth="1"/>
    <col min="7959" max="7960" width="8.453125" style="260" customWidth="1"/>
    <col min="7961" max="7961" width="6.7265625" style="260" customWidth="1"/>
    <col min="7962" max="7962" width="7.54296875" style="260" customWidth="1"/>
    <col min="7963" max="8202" width="6.26953125" style="260"/>
    <col min="8203" max="8203" width="43.54296875" style="260" customWidth="1"/>
    <col min="8204" max="8204" width="7.54296875" style="260" customWidth="1"/>
    <col min="8205" max="8206" width="8.453125" style="260" customWidth="1"/>
    <col min="8207" max="8207" width="6.7265625" style="260" customWidth="1"/>
    <col min="8208" max="8209" width="7.54296875" style="260" customWidth="1"/>
    <col min="8210" max="8211" width="8.453125" style="260" customWidth="1"/>
    <col min="8212" max="8212" width="6.7265625" style="260" customWidth="1"/>
    <col min="8213" max="8214" width="7.54296875" style="260" customWidth="1"/>
    <col min="8215" max="8216" width="8.453125" style="260" customWidth="1"/>
    <col min="8217" max="8217" width="6.7265625" style="260" customWidth="1"/>
    <col min="8218" max="8218" width="7.54296875" style="260" customWidth="1"/>
    <col min="8219" max="8458" width="6.26953125" style="260"/>
    <col min="8459" max="8459" width="43.54296875" style="260" customWidth="1"/>
    <col min="8460" max="8460" width="7.54296875" style="260" customWidth="1"/>
    <col min="8461" max="8462" width="8.453125" style="260" customWidth="1"/>
    <col min="8463" max="8463" width="6.7265625" style="260" customWidth="1"/>
    <col min="8464" max="8465" width="7.54296875" style="260" customWidth="1"/>
    <col min="8466" max="8467" width="8.453125" style="260" customWidth="1"/>
    <col min="8468" max="8468" width="6.7265625" style="260" customWidth="1"/>
    <col min="8469" max="8470" width="7.54296875" style="260" customWidth="1"/>
    <col min="8471" max="8472" width="8.453125" style="260" customWidth="1"/>
    <col min="8473" max="8473" width="6.7265625" style="260" customWidth="1"/>
    <col min="8474" max="8474" width="7.54296875" style="260" customWidth="1"/>
    <col min="8475" max="8714" width="6.26953125" style="260"/>
    <col min="8715" max="8715" width="43.54296875" style="260" customWidth="1"/>
    <col min="8716" max="8716" width="7.54296875" style="260" customWidth="1"/>
    <col min="8717" max="8718" width="8.453125" style="260" customWidth="1"/>
    <col min="8719" max="8719" width="6.7265625" style="260" customWidth="1"/>
    <col min="8720" max="8721" width="7.54296875" style="260" customWidth="1"/>
    <col min="8722" max="8723" width="8.453125" style="260" customWidth="1"/>
    <col min="8724" max="8724" width="6.7265625" style="260" customWidth="1"/>
    <col min="8725" max="8726" width="7.54296875" style="260" customWidth="1"/>
    <col min="8727" max="8728" width="8.453125" style="260" customWidth="1"/>
    <col min="8729" max="8729" width="6.7265625" style="260" customWidth="1"/>
    <col min="8730" max="8730" width="7.54296875" style="260" customWidth="1"/>
    <col min="8731" max="8970" width="6.26953125" style="260"/>
    <col min="8971" max="8971" width="43.54296875" style="260" customWidth="1"/>
    <col min="8972" max="8972" width="7.54296875" style="260" customWidth="1"/>
    <col min="8973" max="8974" width="8.453125" style="260" customWidth="1"/>
    <col min="8975" max="8975" width="6.7265625" style="260" customWidth="1"/>
    <col min="8976" max="8977" width="7.54296875" style="260" customWidth="1"/>
    <col min="8978" max="8979" width="8.453125" style="260" customWidth="1"/>
    <col min="8980" max="8980" width="6.7265625" style="260" customWidth="1"/>
    <col min="8981" max="8982" width="7.54296875" style="260" customWidth="1"/>
    <col min="8983" max="8984" width="8.453125" style="260" customWidth="1"/>
    <col min="8985" max="8985" width="6.7265625" style="260" customWidth="1"/>
    <col min="8986" max="8986" width="7.54296875" style="260" customWidth="1"/>
    <col min="8987" max="9226" width="6.26953125" style="260"/>
    <col min="9227" max="9227" width="43.54296875" style="260" customWidth="1"/>
    <col min="9228" max="9228" width="7.54296875" style="260" customWidth="1"/>
    <col min="9229" max="9230" width="8.453125" style="260" customWidth="1"/>
    <col min="9231" max="9231" width="6.7265625" style="260" customWidth="1"/>
    <col min="9232" max="9233" width="7.54296875" style="260" customWidth="1"/>
    <col min="9234" max="9235" width="8.453125" style="260" customWidth="1"/>
    <col min="9236" max="9236" width="6.7265625" style="260" customWidth="1"/>
    <col min="9237" max="9238" width="7.54296875" style="260" customWidth="1"/>
    <col min="9239" max="9240" width="8.453125" style="260" customWidth="1"/>
    <col min="9241" max="9241" width="6.7265625" style="260" customWidth="1"/>
    <col min="9242" max="9242" width="7.54296875" style="260" customWidth="1"/>
    <col min="9243" max="9482" width="6.26953125" style="260"/>
    <col min="9483" max="9483" width="43.54296875" style="260" customWidth="1"/>
    <col min="9484" max="9484" width="7.54296875" style="260" customWidth="1"/>
    <col min="9485" max="9486" width="8.453125" style="260" customWidth="1"/>
    <col min="9487" max="9487" width="6.7265625" style="260" customWidth="1"/>
    <col min="9488" max="9489" width="7.54296875" style="260" customWidth="1"/>
    <col min="9490" max="9491" width="8.453125" style="260" customWidth="1"/>
    <col min="9492" max="9492" width="6.7265625" style="260" customWidth="1"/>
    <col min="9493" max="9494" width="7.54296875" style="260" customWidth="1"/>
    <col min="9495" max="9496" width="8.453125" style="260" customWidth="1"/>
    <col min="9497" max="9497" width="6.7265625" style="260" customWidth="1"/>
    <col min="9498" max="9498" width="7.54296875" style="260" customWidth="1"/>
    <col min="9499" max="9738" width="6.26953125" style="260"/>
    <col min="9739" max="9739" width="43.54296875" style="260" customWidth="1"/>
    <col min="9740" max="9740" width="7.54296875" style="260" customWidth="1"/>
    <col min="9741" max="9742" width="8.453125" style="260" customWidth="1"/>
    <col min="9743" max="9743" width="6.7265625" style="260" customWidth="1"/>
    <col min="9744" max="9745" width="7.54296875" style="260" customWidth="1"/>
    <col min="9746" max="9747" width="8.453125" style="260" customWidth="1"/>
    <col min="9748" max="9748" width="6.7265625" style="260" customWidth="1"/>
    <col min="9749" max="9750" width="7.54296875" style="260" customWidth="1"/>
    <col min="9751" max="9752" width="8.453125" style="260" customWidth="1"/>
    <col min="9753" max="9753" width="6.7265625" style="260" customWidth="1"/>
    <col min="9754" max="9754" width="7.54296875" style="260" customWidth="1"/>
    <col min="9755" max="9994" width="6.26953125" style="260"/>
    <col min="9995" max="9995" width="43.54296875" style="260" customWidth="1"/>
    <col min="9996" max="9996" width="7.54296875" style="260" customWidth="1"/>
    <col min="9997" max="9998" width="8.453125" style="260" customWidth="1"/>
    <col min="9999" max="9999" width="6.7265625" style="260" customWidth="1"/>
    <col min="10000" max="10001" width="7.54296875" style="260" customWidth="1"/>
    <col min="10002" max="10003" width="8.453125" style="260" customWidth="1"/>
    <col min="10004" max="10004" width="6.7265625" style="260" customWidth="1"/>
    <col min="10005" max="10006" width="7.54296875" style="260" customWidth="1"/>
    <col min="10007" max="10008" width="8.453125" style="260" customWidth="1"/>
    <col min="10009" max="10009" width="6.7265625" style="260" customWidth="1"/>
    <col min="10010" max="10010" width="7.54296875" style="260" customWidth="1"/>
    <col min="10011" max="10250" width="6.26953125" style="260"/>
    <col min="10251" max="10251" width="43.54296875" style="260" customWidth="1"/>
    <col min="10252" max="10252" width="7.54296875" style="260" customWidth="1"/>
    <col min="10253" max="10254" width="8.453125" style="260" customWidth="1"/>
    <col min="10255" max="10255" width="6.7265625" style="260" customWidth="1"/>
    <col min="10256" max="10257" width="7.54296875" style="260" customWidth="1"/>
    <col min="10258" max="10259" width="8.453125" style="260" customWidth="1"/>
    <col min="10260" max="10260" width="6.7265625" style="260" customWidth="1"/>
    <col min="10261" max="10262" width="7.54296875" style="260" customWidth="1"/>
    <col min="10263" max="10264" width="8.453125" style="260" customWidth="1"/>
    <col min="10265" max="10265" width="6.7265625" style="260" customWidth="1"/>
    <col min="10266" max="10266" width="7.54296875" style="260" customWidth="1"/>
    <col min="10267" max="10506" width="6.26953125" style="260"/>
    <col min="10507" max="10507" width="43.54296875" style="260" customWidth="1"/>
    <col min="10508" max="10508" width="7.54296875" style="260" customWidth="1"/>
    <col min="10509" max="10510" width="8.453125" style="260" customWidth="1"/>
    <col min="10511" max="10511" width="6.7265625" style="260" customWidth="1"/>
    <col min="10512" max="10513" width="7.54296875" style="260" customWidth="1"/>
    <col min="10514" max="10515" width="8.453125" style="260" customWidth="1"/>
    <col min="10516" max="10516" width="6.7265625" style="260" customWidth="1"/>
    <col min="10517" max="10518" width="7.54296875" style="260" customWidth="1"/>
    <col min="10519" max="10520" width="8.453125" style="260" customWidth="1"/>
    <col min="10521" max="10521" width="6.7265625" style="260" customWidth="1"/>
    <col min="10522" max="10522" width="7.54296875" style="260" customWidth="1"/>
    <col min="10523" max="10762" width="6.26953125" style="260"/>
    <col min="10763" max="10763" width="43.54296875" style="260" customWidth="1"/>
    <col min="10764" max="10764" width="7.54296875" style="260" customWidth="1"/>
    <col min="10765" max="10766" width="8.453125" style="260" customWidth="1"/>
    <col min="10767" max="10767" width="6.7265625" style="260" customWidth="1"/>
    <col min="10768" max="10769" width="7.54296875" style="260" customWidth="1"/>
    <col min="10770" max="10771" width="8.453125" style="260" customWidth="1"/>
    <col min="10772" max="10772" width="6.7265625" style="260" customWidth="1"/>
    <col min="10773" max="10774" width="7.54296875" style="260" customWidth="1"/>
    <col min="10775" max="10776" width="8.453125" style="260" customWidth="1"/>
    <col min="10777" max="10777" width="6.7265625" style="260" customWidth="1"/>
    <col min="10778" max="10778" width="7.54296875" style="260" customWidth="1"/>
    <col min="10779" max="11018" width="6.26953125" style="260"/>
    <col min="11019" max="11019" width="43.54296875" style="260" customWidth="1"/>
    <col min="11020" max="11020" width="7.54296875" style="260" customWidth="1"/>
    <col min="11021" max="11022" width="8.453125" style="260" customWidth="1"/>
    <col min="11023" max="11023" width="6.7265625" style="260" customWidth="1"/>
    <col min="11024" max="11025" width="7.54296875" style="260" customWidth="1"/>
    <col min="11026" max="11027" width="8.453125" style="260" customWidth="1"/>
    <col min="11028" max="11028" width="6.7265625" style="260" customWidth="1"/>
    <col min="11029" max="11030" width="7.54296875" style="260" customWidth="1"/>
    <col min="11031" max="11032" width="8.453125" style="260" customWidth="1"/>
    <col min="11033" max="11033" width="6.7265625" style="260" customWidth="1"/>
    <col min="11034" max="11034" width="7.54296875" style="260" customWidth="1"/>
    <col min="11035" max="11274" width="6.26953125" style="260"/>
    <col min="11275" max="11275" width="43.54296875" style="260" customWidth="1"/>
    <col min="11276" max="11276" width="7.54296875" style="260" customWidth="1"/>
    <col min="11277" max="11278" width="8.453125" style="260" customWidth="1"/>
    <col min="11279" max="11279" width="6.7265625" style="260" customWidth="1"/>
    <col min="11280" max="11281" width="7.54296875" style="260" customWidth="1"/>
    <col min="11282" max="11283" width="8.453125" style="260" customWidth="1"/>
    <col min="11284" max="11284" width="6.7265625" style="260" customWidth="1"/>
    <col min="11285" max="11286" width="7.54296875" style="260" customWidth="1"/>
    <col min="11287" max="11288" width="8.453125" style="260" customWidth="1"/>
    <col min="11289" max="11289" width="6.7265625" style="260" customWidth="1"/>
    <col min="11290" max="11290" width="7.54296875" style="260" customWidth="1"/>
    <col min="11291" max="11530" width="6.26953125" style="260"/>
    <col min="11531" max="11531" width="43.54296875" style="260" customWidth="1"/>
    <col min="11532" max="11532" width="7.54296875" style="260" customWidth="1"/>
    <col min="11533" max="11534" width="8.453125" style="260" customWidth="1"/>
    <col min="11535" max="11535" width="6.7265625" style="260" customWidth="1"/>
    <col min="11536" max="11537" width="7.54296875" style="260" customWidth="1"/>
    <col min="11538" max="11539" width="8.453125" style="260" customWidth="1"/>
    <col min="11540" max="11540" width="6.7265625" style="260" customWidth="1"/>
    <col min="11541" max="11542" width="7.54296875" style="260" customWidth="1"/>
    <col min="11543" max="11544" width="8.453125" style="260" customWidth="1"/>
    <col min="11545" max="11545" width="6.7265625" style="260" customWidth="1"/>
    <col min="11546" max="11546" width="7.54296875" style="260" customWidth="1"/>
    <col min="11547" max="11786" width="6.26953125" style="260"/>
    <col min="11787" max="11787" width="43.54296875" style="260" customWidth="1"/>
    <col min="11788" max="11788" width="7.54296875" style="260" customWidth="1"/>
    <col min="11789" max="11790" width="8.453125" style="260" customWidth="1"/>
    <col min="11791" max="11791" width="6.7265625" style="260" customWidth="1"/>
    <col min="11792" max="11793" width="7.54296875" style="260" customWidth="1"/>
    <col min="11794" max="11795" width="8.453125" style="260" customWidth="1"/>
    <col min="11796" max="11796" width="6.7265625" style="260" customWidth="1"/>
    <col min="11797" max="11798" width="7.54296875" style="260" customWidth="1"/>
    <col min="11799" max="11800" width="8.453125" style="260" customWidth="1"/>
    <col min="11801" max="11801" width="6.7265625" style="260" customWidth="1"/>
    <col min="11802" max="11802" width="7.54296875" style="260" customWidth="1"/>
    <col min="11803" max="12042" width="6.26953125" style="260"/>
    <col min="12043" max="12043" width="43.54296875" style="260" customWidth="1"/>
    <col min="12044" max="12044" width="7.54296875" style="260" customWidth="1"/>
    <col min="12045" max="12046" width="8.453125" style="260" customWidth="1"/>
    <col min="12047" max="12047" width="6.7265625" style="260" customWidth="1"/>
    <col min="12048" max="12049" width="7.54296875" style="260" customWidth="1"/>
    <col min="12050" max="12051" width="8.453125" style="260" customWidth="1"/>
    <col min="12052" max="12052" width="6.7265625" style="260" customWidth="1"/>
    <col min="12053" max="12054" width="7.54296875" style="260" customWidth="1"/>
    <col min="12055" max="12056" width="8.453125" style="260" customWidth="1"/>
    <col min="12057" max="12057" width="6.7265625" style="260" customWidth="1"/>
    <col min="12058" max="12058" width="7.54296875" style="260" customWidth="1"/>
    <col min="12059" max="12298" width="6.26953125" style="260"/>
    <col min="12299" max="12299" width="43.54296875" style="260" customWidth="1"/>
    <col min="12300" max="12300" width="7.54296875" style="260" customWidth="1"/>
    <col min="12301" max="12302" width="8.453125" style="260" customWidth="1"/>
    <col min="12303" max="12303" width="6.7265625" style="260" customWidth="1"/>
    <col min="12304" max="12305" width="7.54296875" style="260" customWidth="1"/>
    <col min="12306" max="12307" width="8.453125" style="260" customWidth="1"/>
    <col min="12308" max="12308" width="6.7265625" style="260" customWidth="1"/>
    <col min="12309" max="12310" width="7.54296875" style="260" customWidth="1"/>
    <col min="12311" max="12312" width="8.453125" style="260" customWidth="1"/>
    <col min="12313" max="12313" width="6.7265625" style="260" customWidth="1"/>
    <col min="12314" max="12314" width="7.54296875" style="260" customWidth="1"/>
    <col min="12315" max="12554" width="6.26953125" style="260"/>
    <col min="12555" max="12555" width="43.54296875" style="260" customWidth="1"/>
    <col min="12556" max="12556" width="7.54296875" style="260" customWidth="1"/>
    <col min="12557" max="12558" width="8.453125" style="260" customWidth="1"/>
    <col min="12559" max="12559" width="6.7265625" style="260" customWidth="1"/>
    <col min="12560" max="12561" width="7.54296875" style="260" customWidth="1"/>
    <col min="12562" max="12563" width="8.453125" style="260" customWidth="1"/>
    <col min="12564" max="12564" width="6.7265625" style="260" customWidth="1"/>
    <col min="12565" max="12566" width="7.54296875" style="260" customWidth="1"/>
    <col min="12567" max="12568" width="8.453125" style="260" customWidth="1"/>
    <col min="12569" max="12569" width="6.7265625" style="260" customWidth="1"/>
    <col min="12570" max="12570" width="7.54296875" style="260" customWidth="1"/>
    <col min="12571" max="12810" width="6.26953125" style="260"/>
    <col min="12811" max="12811" width="43.54296875" style="260" customWidth="1"/>
    <col min="12812" max="12812" width="7.54296875" style="260" customWidth="1"/>
    <col min="12813" max="12814" width="8.453125" style="260" customWidth="1"/>
    <col min="12815" max="12815" width="6.7265625" style="260" customWidth="1"/>
    <col min="12816" max="12817" width="7.54296875" style="260" customWidth="1"/>
    <col min="12818" max="12819" width="8.453125" style="260" customWidth="1"/>
    <col min="12820" max="12820" width="6.7265625" style="260" customWidth="1"/>
    <col min="12821" max="12822" width="7.54296875" style="260" customWidth="1"/>
    <col min="12823" max="12824" width="8.453125" style="260" customWidth="1"/>
    <col min="12825" max="12825" width="6.7265625" style="260" customWidth="1"/>
    <col min="12826" max="12826" width="7.54296875" style="260" customWidth="1"/>
    <col min="12827" max="13066" width="6.26953125" style="260"/>
    <col min="13067" max="13067" width="43.54296875" style="260" customWidth="1"/>
    <col min="13068" max="13068" width="7.54296875" style="260" customWidth="1"/>
    <col min="13069" max="13070" width="8.453125" style="260" customWidth="1"/>
    <col min="13071" max="13071" width="6.7265625" style="260" customWidth="1"/>
    <col min="13072" max="13073" width="7.54296875" style="260" customWidth="1"/>
    <col min="13074" max="13075" width="8.453125" style="260" customWidth="1"/>
    <col min="13076" max="13076" width="6.7265625" style="260" customWidth="1"/>
    <col min="13077" max="13078" width="7.54296875" style="260" customWidth="1"/>
    <col min="13079" max="13080" width="8.453125" style="260" customWidth="1"/>
    <col min="13081" max="13081" width="6.7265625" style="260" customWidth="1"/>
    <col min="13082" max="13082" width="7.54296875" style="260" customWidth="1"/>
    <col min="13083" max="13322" width="6.26953125" style="260"/>
    <col min="13323" max="13323" width="43.54296875" style="260" customWidth="1"/>
    <col min="13324" max="13324" width="7.54296875" style="260" customWidth="1"/>
    <col min="13325" max="13326" width="8.453125" style="260" customWidth="1"/>
    <col min="13327" max="13327" width="6.7265625" style="260" customWidth="1"/>
    <col min="13328" max="13329" width="7.54296875" style="260" customWidth="1"/>
    <col min="13330" max="13331" width="8.453125" style="260" customWidth="1"/>
    <col min="13332" max="13332" width="6.7265625" style="260" customWidth="1"/>
    <col min="13333" max="13334" width="7.54296875" style="260" customWidth="1"/>
    <col min="13335" max="13336" width="8.453125" style="260" customWidth="1"/>
    <col min="13337" max="13337" width="6.7265625" style="260" customWidth="1"/>
    <col min="13338" max="13338" width="7.54296875" style="260" customWidth="1"/>
    <col min="13339" max="13578" width="6.26953125" style="260"/>
    <col min="13579" max="13579" width="43.54296875" style="260" customWidth="1"/>
    <col min="13580" max="13580" width="7.54296875" style="260" customWidth="1"/>
    <col min="13581" max="13582" width="8.453125" style="260" customWidth="1"/>
    <col min="13583" max="13583" width="6.7265625" style="260" customWidth="1"/>
    <col min="13584" max="13585" width="7.54296875" style="260" customWidth="1"/>
    <col min="13586" max="13587" width="8.453125" style="260" customWidth="1"/>
    <col min="13588" max="13588" width="6.7265625" style="260" customWidth="1"/>
    <col min="13589" max="13590" width="7.54296875" style="260" customWidth="1"/>
    <col min="13591" max="13592" width="8.453125" style="260" customWidth="1"/>
    <col min="13593" max="13593" width="6.7265625" style="260" customWidth="1"/>
    <col min="13594" max="13594" width="7.54296875" style="260" customWidth="1"/>
    <col min="13595" max="13834" width="6.26953125" style="260"/>
    <col min="13835" max="13835" width="43.54296875" style="260" customWidth="1"/>
    <col min="13836" max="13836" width="7.54296875" style="260" customWidth="1"/>
    <col min="13837" max="13838" width="8.453125" style="260" customWidth="1"/>
    <col min="13839" max="13839" width="6.7265625" style="260" customWidth="1"/>
    <col min="13840" max="13841" width="7.54296875" style="260" customWidth="1"/>
    <col min="13842" max="13843" width="8.453125" style="260" customWidth="1"/>
    <col min="13844" max="13844" width="6.7265625" style="260" customWidth="1"/>
    <col min="13845" max="13846" width="7.54296875" style="260" customWidth="1"/>
    <col min="13847" max="13848" width="8.453125" style="260" customWidth="1"/>
    <col min="13849" max="13849" width="6.7265625" style="260" customWidth="1"/>
    <col min="13850" max="13850" width="7.54296875" style="260" customWidth="1"/>
    <col min="13851" max="14090" width="6.26953125" style="260"/>
    <col min="14091" max="14091" width="43.54296875" style="260" customWidth="1"/>
    <col min="14092" max="14092" width="7.54296875" style="260" customWidth="1"/>
    <col min="14093" max="14094" width="8.453125" style="260" customWidth="1"/>
    <col min="14095" max="14095" width="6.7265625" style="260" customWidth="1"/>
    <col min="14096" max="14097" width="7.54296875" style="260" customWidth="1"/>
    <col min="14098" max="14099" width="8.453125" style="260" customWidth="1"/>
    <col min="14100" max="14100" width="6.7265625" style="260" customWidth="1"/>
    <col min="14101" max="14102" width="7.54296875" style="260" customWidth="1"/>
    <col min="14103" max="14104" width="8.453125" style="260" customWidth="1"/>
    <col min="14105" max="14105" width="6.7265625" style="260" customWidth="1"/>
    <col min="14106" max="14106" width="7.54296875" style="260" customWidth="1"/>
    <col min="14107" max="14346" width="6.26953125" style="260"/>
    <col min="14347" max="14347" width="43.54296875" style="260" customWidth="1"/>
    <col min="14348" max="14348" width="7.54296875" style="260" customWidth="1"/>
    <col min="14349" max="14350" width="8.453125" style="260" customWidth="1"/>
    <col min="14351" max="14351" width="6.7265625" style="260" customWidth="1"/>
    <col min="14352" max="14353" width="7.54296875" style="260" customWidth="1"/>
    <col min="14354" max="14355" width="8.453125" style="260" customWidth="1"/>
    <col min="14356" max="14356" width="6.7265625" style="260" customWidth="1"/>
    <col min="14357" max="14358" width="7.54296875" style="260" customWidth="1"/>
    <col min="14359" max="14360" width="8.453125" style="260" customWidth="1"/>
    <col min="14361" max="14361" width="6.7265625" style="260" customWidth="1"/>
    <col min="14362" max="14362" width="7.54296875" style="260" customWidth="1"/>
    <col min="14363" max="14602" width="6.26953125" style="260"/>
    <col min="14603" max="14603" width="43.54296875" style="260" customWidth="1"/>
    <col min="14604" max="14604" width="7.54296875" style="260" customWidth="1"/>
    <col min="14605" max="14606" width="8.453125" style="260" customWidth="1"/>
    <col min="14607" max="14607" width="6.7265625" style="260" customWidth="1"/>
    <col min="14608" max="14609" width="7.54296875" style="260" customWidth="1"/>
    <col min="14610" max="14611" width="8.453125" style="260" customWidth="1"/>
    <col min="14612" max="14612" width="6.7265625" style="260" customWidth="1"/>
    <col min="14613" max="14614" width="7.54296875" style="260" customWidth="1"/>
    <col min="14615" max="14616" width="8.453125" style="260" customWidth="1"/>
    <col min="14617" max="14617" width="6.7265625" style="260" customWidth="1"/>
    <col min="14618" max="14618" width="7.54296875" style="260" customWidth="1"/>
    <col min="14619" max="14858" width="6.26953125" style="260"/>
    <col min="14859" max="14859" width="43.54296875" style="260" customWidth="1"/>
    <col min="14860" max="14860" width="7.54296875" style="260" customWidth="1"/>
    <col min="14861" max="14862" width="8.453125" style="260" customWidth="1"/>
    <col min="14863" max="14863" width="6.7265625" style="260" customWidth="1"/>
    <col min="14864" max="14865" width="7.54296875" style="260" customWidth="1"/>
    <col min="14866" max="14867" width="8.453125" style="260" customWidth="1"/>
    <col min="14868" max="14868" width="6.7265625" style="260" customWidth="1"/>
    <col min="14869" max="14870" width="7.54296875" style="260" customWidth="1"/>
    <col min="14871" max="14872" width="8.453125" style="260" customWidth="1"/>
    <col min="14873" max="14873" width="6.7265625" style="260" customWidth="1"/>
    <col min="14874" max="14874" width="7.54296875" style="260" customWidth="1"/>
    <col min="14875" max="15114" width="6.26953125" style="260"/>
    <col min="15115" max="15115" width="43.54296875" style="260" customWidth="1"/>
    <col min="15116" max="15116" width="7.54296875" style="260" customWidth="1"/>
    <col min="15117" max="15118" width="8.453125" style="260" customWidth="1"/>
    <col min="15119" max="15119" width="6.7265625" style="260" customWidth="1"/>
    <col min="15120" max="15121" width="7.54296875" style="260" customWidth="1"/>
    <col min="15122" max="15123" width="8.453125" style="260" customWidth="1"/>
    <col min="15124" max="15124" width="6.7265625" style="260" customWidth="1"/>
    <col min="15125" max="15126" width="7.54296875" style="260" customWidth="1"/>
    <col min="15127" max="15128" width="8.453125" style="260" customWidth="1"/>
    <col min="15129" max="15129" width="6.7265625" style="260" customWidth="1"/>
    <col min="15130" max="15130" width="7.54296875" style="260" customWidth="1"/>
    <col min="15131" max="15370" width="6.26953125" style="260"/>
    <col min="15371" max="15371" width="43.54296875" style="260" customWidth="1"/>
    <col min="15372" max="15372" width="7.54296875" style="260" customWidth="1"/>
    <col min="15373" max="15374" width="8.453125" style="260" customWidth="1"/>
    <col min="15375" max="15375" width="6.7265625" style="260" customWidth="1"/>
    <col min="15376" max="15377" width="7.54296875" style="260" customWidth="1"/>
    <col min="15378" max="15379" width="8.453125" style="260" customWidth="1"/>
    <col min="15380" max="15380" width="6.7265625" style="260" customWidth="1"/>
    <col min="15381" max="15382" width="7.54296875" style="260" customWidth="1"/>
    <col min="15383" max="15384" width="8.453125" style="260" customWidth="1"/>
    <col min="15385" max="15385" width="6.7265625" style="260" customWidth="1"/>
    <col min="15386" max="15386" width="7.54296875" style="260" customWidth="1"/>
    <col min="15387" max="15626" width="6.26953125" style="260"/>
    <col min="15627" max="15627" width="43.54296875" style="260" customWidth="1"/>
    <col min="15628" max="15628" width="7.54296875" style="260" customWidth="1"/>
    <col min="15629" max="15630" width="8.453125" style="260" customWidth="1"/>
    <col min="15631" max="15631" width="6.7265625" style="260" customWidth="1"/>
    <col min="15632" max="15633" width="7.54296875" style="260" customWidth="1"/>
    <col min="15634" max="15635" width="8.453125" style="260" customWidth="1"/>
    <col min="15636" max="15636" width="6.7265625" style="260" customWidth="1"/>
    <col min="15637" max="15638" width="7.54296875" style="260" customWidth="1"/>
    <col min="15639" max="15640" width="8.453125" style="260" customWidth="1"/>
    <col min="15641" max="15641" width="6.7265625" style="260" customWidth="1"/>
    <col min="15642" max="15642" width="7.54296875" style="260" customWidth="1"/>
    <col min="15643" max="15882" width="6.26953125" style="260"/>
    <col min="15883" max="15883" width="43.54296875" style="260" customWidth="1"/>
    <col min="15884" max="15884" width="7.54296875" style="260" customWidth="1"/>
    <col min="15885" max="15886" width="8.453125" style="260" customWidth="1"/>
    <col min="15887" max="15887" width="6.7265625" style="260" customWidth="1"/>
    <col min="15888" max="15889" width="7.54296875" style="260" customWidth="1"/>
    <col min="15890" max="15891" width="8.453125" style="260" customWidth="1"/>
    <col min="15892" max="15892" width="6.7265625" style="260" customWidth="1"/>
    <col min="15893" max="15894" width="7.54296875" style="260" customWidth="1"/>
    <col min="15895" max="15896" width="8.453125" style="260" customWidth="1"/>
    <col min="15897" max="15897" width="6.7265625" style="260" customWidth="1"/>
    <col min="15898" max="15898" width="7.54296875" style="260" customWidth="1"/>
    <col min="15899" max="16138" width="6.26953125" style="260"/>
    <col min="16139" max="16139" width="43.54296875" style="260" customWidth="1"/>
    <col min="16140" max="16140" width="7.54296875" style="260" customWidth="1"/>
    <col min="16141" max="16142" width="8.453125" style="260" customWidth="1"/>
    <col min="16143" max="16143" width="6.7265625" style="260" customWidth="1"/>
    <col min="16144" max="16145" width="7.54296875" style="260" customWidth="1"/>
    <col min="16146" max="16147" width="8.453125" style="260" customWidth="1"/>
    <col min="16148" max="16148" width="6.7265625" style="260" customWidth="1"/>
    <col min="16149" max="16150" width="7.54296875" style="260" customWidth="1"/>
    <col min="16151" max="16152" width="8.453125" style="260" customWidth="1"/>
    <col min="16153" max="16153" width="6.7265625" style="260" customWidth="1"/>
    <col min="16154" max="16154" width="7.54296875" style="260" customWidth="1"/>
    <col min="16155" max="16384" width="6.26953125" style="260"/>
  </cols>
  <sheetData>
    <row r="1" spans="1:25" ht="15.5" x14ac:dyDescent="0.35">
      <c r="A1" s="19" t="str">
        <f>CONCATENATE("Industry Table 6  Employment status by Industry (SIC 2007) and Gender, ",B$5,"-",V$5,", ",Info!B5)</f>
        <v>Industry Table 6  Employment status by Industry (SIC 2007) and Gender, 2015-2035, Black Country</v>
      </c>
    </row>
    <row r="2" spans="1:25" x14ac:dyDescent="0.3">
      <c r="A2" s="1" t="s">
        <v>518</v>
      </c>
    </row>
    <row r="4" spans="1:25" x14ac:dyDescent="0.3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4" x14ac:dyDescent="0.3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5" x14ac:dyDescent="0.25">
      <c r="A8" s="260" t="s">
        <v>365</v>
      </c>
      <c r="B8" s="300">
        <v>0.32995821048067897</v>
      </c>
      <c r="C8" s="300">
        <v>0.22346414386412677</v>
      </c>
      <c r="D8" s="300">
        <v>0.18098211457926655</v>
      </c>
      <c r="E8" s="300">
        <f>SUM(B8:D8)</f>
        <v>0.7344044689240723</v>
      </c>
      <c r="F8" s="300"/>
      <c r="G8" s="300">
        <v>0.22406784022152426</v>
      </c>
      <c r="H8" s="300">
        <v>0.14953453418365759</v>
      </c>
      <c r="I8" s="300">
        <v>0.2365680449218793</v>
      </c>
      <c r="J8" s="300">
        <f>SUM(G8:I8)</f>
        <v>0.61017041932706118</v>
      </c>
      <c r="K8" s="300"/>
      <c r="L8" s="300">
        <v>0.20494197037119444</v>
      </c>
      <c r="M8" s="300">
        <v>9.9015254761140262E-3</v>
      </c>
      <c r="N8" s="300">
        <v>0.15210115619424142</v>
      </c>
      <c r="O8" s="300">
        <f>SUM(L8:N8)</f>
        <v>0.36694465204154991</v>
      </c>
      <c r="P8" s="300"/>
      <c r="Q8" s="300">
        <v>0.22218474704893293</v>
      </c>
      <c r="R8" s="300">
        <v>1.0422854266525731E-2</v>
      </c>
      <c r="S8" s="300">
        <v>0.1672741001761115</v>
      </c>
      <c r="T8" s="300">
        <f>SUM(Q8:S8)</f>
        <v>0.39988170149157015</v>
      </c>
      <c r="U8" s="300"/>
      <c r="V8" s="300">
        <v>0.22095073520355399</v>
      </c>
      <c r="W8" s="300">
        <v>9.6198315948672064E-3</v>
      </c>
      <c r="X8" s="300">
        <v>0.17147731557078735</v>
      </c>
      <c r="Y8" s="300">
        <f>SUM(V8:X8)</f>
        <v>0.40204788236920852</v>
      </c>
    </row>
    <row r="9" spans="1:25" ht="12.5" x14ac:dyDescent="0.25">
      <c r="A9" s="260" t="s">
        <v>364</v>
      </c>
      <c r="B9" s="300">
        <v>0.9195769877385197</v>
      </c>
      <c r="C9" s="300">
        <v>0.22779904481137503</v>
      </c>
      <c r="D9" s="300">
        <v>1.0832194985260284</v>
      </c>
      <c r="E9" s="300">
        <f t="shared" ref="E9:E10" si="0">SUM(B9:D9)</f>
        <v>2.2305955310759229</v>
      </c>
      <c r="F9" s="300"/>
      <c r="G9" s="300">
        <v>0.93042967424711187</v>
      </c>
      <c r="H9" s="300">
        <v>0.10909269547924343</v>
      </c>
      <c r="I9" s="300">
        <v>0.63630721094658516</v>
      </c>
      <c r="J9" s="300">
        <f t="shared" ref="J9:J10" si="1">SUM(G9:I9)</f>
        <v>1.6758295806729406</v>
      </c>
      <c r="K9" s="300"/>
      <c r="L9" s="300">
        <v>0.36218995912090057</v>
      </c>
      <c r="M9" s="300">
        <v>9.1662636832434558E-3</v>
      </c>
      <c r="N9" s="300">
        <v>0.37669912515430498</v>
      </c>
      <c r="O9" s="300">
        <f t="shared" ref="O9:O10" si="2">SUM(L9:N9)</f>
        <v>0.74805534795844908</v>
      </c>
      <c r="P9" s="300"/>
      <c r="Q9" s="300">
        <v>0.40593204128553462</v>
      </c>
      <c r="R9" s="300">
        <v>1.0016108734040472E-2</v>
      </c>
      <c r="S9" s="300">
        <v>0.3961701484888539</v>
      </c>
      <c r="T9" s="300">
        <f t="shared" ref="T9:T10" si="3">SUM(Q9:S9)</f>
        <v>0.81211829850842898</v>
      </c>
      <c r="U9" s="300"/>
      <c r="V9" s="300">
        <v>0.43798227975969978</v>
      </c>
      <c r="W9" s="300">
        <v>1.0027020233817944E-2</v>
      </c>
      <c r="X9" s="300">
        <v>0.36494281763727338</v>
      </c>
      <c r="Y9" s="300">
        <f t="shared" ref="Y9:Y10" si="4">SUM(V9:X9)</f>
        <v>0.81295211763079112</v>
      </c>
    </row>
    <row r="10" spans="1:25" ht="12.5" x14ac:dyDescent="0.25">
      <c r="A10" s="264" t="s">
        <v>363</v>
      </c>
      <c r="B10" s="301">
        <f>SUM(B8:B9)</f>
        <v>1.2495351982191987</v>
      </c>
      <c r="C10" s="301">
        <f t="shared" ref="C10:D10" si="5">SUM(C8:C9)</f>
        <v>0.4512631886755018</v>
      </c>
      <c r="D10" s="301">
        <f t="shared" si="5"/>
        <v>1.2642016131052949</v>
      </c>
      <c r="E10" s="301">
        <f t="shared" si="0"/>
        <v>2.9649999999999954</v>
      </c>
      <c r="F10" s="301"/>
      <c r="G10" s="301">
        <f>SUM(G8:G9)</f>
        <v>1.1544975144686362</v>
      </c>
      <c r="H10" s="301">
        <f t="shared" ref="H10" si="6">SUM(H8:H9)</f>
        <v>0.25862722966290103</v>
      </c>
      <c r="I10" s="301">
        <f t="shared" ref="I10" si="7">SUM(I8:I9)</f>
        <v>0.87287525586846448</v>
      </c>
      <c r="J10" s="301">
        <f t="shared" si="1"/>
        <v>2.2860000000000018</v>
      </c>
      <c r="K10" s="301"/>
      <c r="L10" s="301">
        <f>SUM(L8:L9)</f>
        <v>0.56713192949209501</v>
      </c>
      <c r="M10" s="301">
        <f t="shared" ref="M10" si="8">SUM(M8:M9)</f>
        <v>1.906778915935748E-2</v>
      </c>
      <c r="N10" s="301">
        <f t="shared" ref="N10" si="9">SUM(N8:N9)</f>
        <v>0.5288002813485464</v>
      </c>
      <c r="O10" s="301">
        <f t="shared" si="2"/>
        <v>1.1149999999999989</v>
      </c>
      <c r="P10" s="301"/>
      <c r="Q10" s="301">
        <f>SUM(Q8:Q9)</f>
        <v>0.6281167883344676</v>
      </c>
      <c r="R10" s="301">
        <f t="shared" ref="R10" si="10">SUM(R8:R9)</f>
        <v>2.0438963000566204E-2</v>
      </c>
      <c r="S10" s="301">
        <f t="shared" ref="S10" si="11">SUM(S8:S9)</f>
        <v>0.56344424866496534</v>
      </c>
      <c r="T10" s="301">
        <f t="shared" si="3"/>
        <v>1.2119999999999993</v>
      </c>
      <c r="U10" s="301"/>
      <c r="V10" s="301">
        <f>SUM(V8:V9)</f>
        <v>0.65893301496325374</v>
      </c>
      <c r="W10" s="301">
        <f t="shared" ref="W10" si="12">SUM(W8:W9)</f>
        <v>1.9646851828685148E-2</v>
      </c>
      <c r="X10" s="301">
        <f t="shared" ref="X10" si="13">SUM(X8:X9)</f>
        <v>0.5364201332080607</v>
      </c>
      <c r="Y10" s="301">
        <f t="shared" si="4"/>
        <v>1.2149999999999996</v>
      </c>
    </row>
    <row r="12" spans="1:25" x14ac:dyDescent="0.3">
      <c r="A12" s="261"/>
    </row>
    <row r="13" spans="1:25" ht="12.5" x14ac:dyDescent="0.25">
      <c r="C13" s="263"/>
    </row>
    <row r="14" spans="1:25" ht="14" x14ac:dyDescent="0.3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3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3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ht="12.5" x14ac:dyDescent="0.25">
      <c r="A17" s="260" t="s">
        <v>365</v>
      </c>
      <c r="B17" s="300">
        <v>9.3913043478010064E-3</v>
      </c>
      <c r="C17" s="300">
        <v>1.3873517786695602E-3</v>
      </c>
      <c r="D17" s="300">
        <v>1.0671936759007297E-4</v>
      </c>
      <c r="E17" s="300">
        <f>SUM(B17:D17)</f>
        <v>1.0885375494060639E-2</v>
      </c>
      <c r="F17" s="300"/>
      <c r="G17" s="300">
        <v>1.0315952275815122E-2</v>
      </c>
      <c r="H17" s="300">
        <v>4.8055678303204011E-3</v>
      </c>
      <c r="I17" s="300">
        <v>6.4074237738840817E-5</v>
      </c>
      <c r="J17" s="300">
        <f>SUM(G17:I17)</f>
        <v>1.5185594343874365E-2</v>
      </c>
      <c r="K17" s="300"/>
      <c r="L17" s="300">
        <v>2.2003768844479642E-2</v>
      </c>
      <c r="M17" s="300">
        <v>3.3752093802500815E-3</v>
      </c>
      <c r="N17" s="300">
        <v>0</v>
      </c>
      <c r="O17" s="300">
        <f>SUM(L17:N17)</f>
        <v>2.5378978224729724E-2</v>
      </c>
      <c r="P17" s="300"/>
      <c r="Q17" s="300">
        <v>1.5414756847937017E-2</v>
      </c>
      <c r="R17" s="300">
        <v>2.4371157071030004E-3</v>
      </c>
      <c r="S17" s="300">
        <v>0</v>
      </c>
      <c r="T17" s="300">
        <f>SUM(Q17:S17)</f>
        <v>1.7851872555040019E-2</v>
      </c>
      <c r="U17" s="300"/>
      <c r="V17" s="300">
        <v>8.6331309628841918E-3</v>
      </c>
      <c r="W17" s="300">
        <v>1.475281873367108E-3</v>
      </c>
      <c r="X17" s="300">
        <v>0</v>
      </c>
      <c r="Y17" s="300">
        <f>SUM(V17:X17)</f>
        <v>1.01084128362513E-2</v>
      </c>
    </row>
    <row r="18" spans="1:25" ht="12.5" x14ac:dyDescent="0.25">
      <c r="A18" s="260" t="s">
        <v>364</v>
      </c>
      <c r="B18" s="300">
        <v>6.5205533597140056E-2</v>
      </c>
      <c r="C18" s="300">
        <v>2.1343873517934751E-4</v>
      </c>
      <c r="D18" s="300">
        <v>8.5695652173620157E-2</v>
      </c>
      <c r="E18" s="300">
        <f t="shared" ref="E18:E19" si="14">SUM(B18:D18)</f>
        <v>0.15111462450593954</v>
      </c>
      <c r="F18" s="300"/>
      <c r="G18" s="300">
        <v>8.2976137869658101E-2</v>
      </c>
      <c r="H18" s="300">
        <v>1.2174105170140814E-3</v>
      </c>
      <c r="I18" s="300">
        <v>4.5620857269453495E-2</v>
      </c>
      <c r="J18" s="300">
        <f t="shared" ref="J18:J19" si="15">SUM(G18:I18)</f>
        <v>0.12981440565612568</v>
      </c>
      <c r="K18" s="300"/>
      <c r="L18" s="300">
        <v>0.12747906197626399</v>
      </c>
      <c r="M18" s="300">
        <v>2.1419597990060346E-3</v>
      </c>
      <c r="N18" s="300">
        <v>0</v>
      </c>
      <c r="O18" s="300">
        <f t="shared" ref="O18:O19" si="16">SUM(L18:N18)</f>
        <v>0.12962102177527002</v>
      </c>
      <c r="P18" s="300"/>
      <c r="Q18" s="300">
        <v>8.9624930128026761E-2</v>
      </c>
      <c r="R18" s="300">
        <v>1.5231973169331447E-3</v>
      </c>
      <c r="S18" s="300">
        <v>0</v>
      </c>
      <c r="T18" s="300">
        <f t="shared" ref="T18:T19" si="17">SUM(Q18:S18)</f>
        <v>9.1148127444959912E-2</v>
      </c>
      <c r="U18" s="300"/>
      <c r="V18" s="300">
        <v>5.190806591483324E-2</v>
      </c>
      <c r="W18" s="300">
        <v>9.8352124891536207E-4</v>
      </c>
      <c r="X18" s="300">
        <v>0</v>
      </c>
      <c r="Y18" s="300">
        <f t="shared" ref="Y18:Y19" si="18">SUM(V18:X18)</f>
        <v>5.2891587163748602E-2</v>
      </c>
    </row>
    <row r="19" spans="1:25" ht="12.5" x14ac:dyDescent="0.25">
      <c r="A19" s="264" t="s">
        <v>363</v>
      </c>
      <c r="B19" s="301">
        <f>SUM(B17:B18)</f>
        <v>7.4596837944941069E-2</v>
      </c>
      <c r="C19" s="301">
        <f t="shared" ref="C19" si="19">SUM(C17:C18)</f>
        <v>1.6007905138489078E-3</v>
      </c>
      <c r="D19" s="301">
        <f t="shared" ref="D19" si="20">SUM(D17:D18)</f>
        <v>8.5802371541210232E-2</v>
      </c>
      <c r="E19" s="301">
        <f t="shared" si="14"/>
        <v>0.1620000000000002</v>
      </c>
      <c r="F19" s="301"/>
      <c r="G19" s="301">
        <f>SUM(G17:G18)</f>
        <v>9.3292090145473225E-2</v>
      </c>
      <c r="H19" s="301">
        <f t="shared" ref="H19" si="21">SUM(H17:H18)</f>
        <v>6.0229783473344824E-3</v>
      </c>
      <c r="I19" s="301">
        <f t="shared" ref="I19" si="22">SUM(I17:I18)</f>
        <v>4.5684931507192335E-2</v>
      </c>
      <c r="J19" s="301">
        <f t="shared" si="15"/>
        <v>0.14500000000000005</v>
      </c>
      <c r="K19" s="301"/>
      <c r="L19" s="301">
        <f>SUM(L17:L18)</f>
        <v>0.14948283082074362</v>
      </c>
      <c r="M19" s="301">
        <f t="shared" ref="M19" si="23">SUM(M17:M18)</f>
        <v>5.5171691792561157E-3</v>
      </c>
      <c r="N19" s="301">
        <f t="shared" ref="N19" si="24">SUM(N17:N18)</f>
        <v>0</v>
      </c>
      <c r="O19" s="301">
        <f t="shared" si="16"/>
        <v>0.15499999999999975</v>
      </c>
      <c r="P19" s="301"/>
      <c r="Q19" s="301">
        <f>SUM(Q17:Q18)</f>
        <v>0.10503968697596378</v>
      </c>
      <c r="R19" s="301">
        <f t="shared" ref="R19" si="25">SUM(R17:R18)</f>
        <v>3.9603130240361446E-3</v>
      </c>
      <c r="S19" s="301">
        <f t="shared" ref="S19" si="26">SUM(S17:S18)</f>
        <v>0</v>
      </c>
      <c r="T19" s="301">
        <f t="shared" si="17"/>
        <v>0.10899999999999992</v>
      </c>
      <c r="U19" s="301"/>
      <c r="V19" s="301">
        <f>SUM(V17:V18)</f>
        <v>6.0541196877717432E-2</v>
      </c>
      <c r="W19" s="301">
        <f t="shared" ref="W19" si="27">SUM(W17:W18)</f>
        <v>2.45880312228247E-3</v>
      </c>
      <c r="X19" s="301">
        <f t="shared" ref="X19" si="28">SUM(X17:X18)</f>
        <v>0</v>
      </c>
      <c r="Y19" s="301">
        <f t="shared" si="18"/>
        <v>6.2999999999999903E-2</v>
      </c>
    </row>
    <row r="20" spans="1:25" x14ac:dyDescent="0.3">
      <c r="A20" s="262"/>
    </row>
    <row r="21" spans="1:25" x14ac:dyDescent="0.3">
      <c r="A21" s="262"/>
    </row>
    <row r="22" spans="1:25" x14ac:dyDescent="0.3">
      <c r="A22" s="262"/>
    </row>
    <row r="23" spans="1:25" ht="14" x14ac:dyDescent="0.3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3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3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ht="12.5" x14ac:dyDescent="0.25">
      <c r="A26" s="260" t="s">
        <v>365</v>
      </c>
      <c r="B26" s="300">
        <v>1.7083702571709327</v>
      </c>
      <c r="C26" s="300">
        <v>0.45347087618524845</v>
      </c>
      <c r="D26" s="300">
        <v>0.11931532464952263</v>
      </c>
      <c r="E26" s="300">
        <f>SUM(B26:D26)</f>
        <v>2.2811564580057038</v>
      </c>
      <c r="F26" s="300"/>
      <c r="G26" s="300">
        <v>1.5875249042055317</v>
      </c>
      <c r="H26" s="300">
        <v>0.41823476141612492</v>
      </c>
      <c r="I26" s="300">
        <v>0.11173789620718659</v>
      </c>
      <c r="J26" s="300">
        <f>SUM(G26:I26)</f>
        <v>2.1174975618288432</v>
      </c>
      <c r="K26" s="300"/>
      <c r="L26" s="300">
        <v>1.6462467939333705</v>
      </c>
      <c r="M26" s="300">
        <v>0.40450951573330213</v>
      </c>
      <c r="N26" s="300">
        <v>0.10306327223823812</v>
      </c>
      <c r="O26" s="300">
        <f>SUM(L26:N26)</f>
        <v>2.1538195819049109</v>
      </c>
      <c r="P26" s="300"/>
      <c r="Q26" s="300">
        <v>1.711950309150164</v>
      </c>
      <c r="R26" s="300">
        <v>0.40476986039935986</v>
      </c>
      <c r="S26" s="300">
        <v>0.10611186253782046</v>
      </c>
      <c r="T26" s="300">
        <f>SUM(Q26:S26)</f>
        <v>2.2228320320873443</v>
      </c>
      <c r="U26" s="300"/>
      <c r="V26" s="300">
        <v>1.7748697849780164</v>
      </c>
      <c r="W26" s="300">
        <v>0.38999380925256655</v>
      </c>
      <c r="X26" s="300">
        <v>0.10735472680065744</v>
      </c>
      <c r="Y26" s="300">
        <f>SUM(V26:X26)</f>
        <v>2.2722183210312403</v>
      </c>
    </row>
    <row r="27" spans="1:25" ht="12.5" x14ac:dyDescent="0.25">
      <c r="A27" s="260" t="s">
        <v>364</v>
      </c>
      <c r="B27" s="300">
        <v>4.2486788738946011</v>
      </c>
      <c r="C27" s="300">
        <v>0.25897055243573497</v>
      </c>
      <c r="D27" s="300">
        <v>0.22319411566394848</v>
      </c>
      <c r="E27" s="300">
        <f t="shared" ref="E27:E28" si="29">SUM(B27:D27)</f>
        <v>4.7308435419942843</v>
      </c>
      <c r="F27" s="300"/>
      <c r="G27" s="300">
        <v>3.8909454893683648</v>
      </c>
      <c r="H27" s="300">
        <v>0.29250661790660298</v>
      </c>
      <c r="I27" s="300">
        <v>4.1050330896184185E-2</v>
      </c>
      <c r="J27" s="300">
        <f t="shared" ref="J27:J28" si="30">SUM(G27:I27)</f>
        <v>4.224502438171152</v>
      </c>
      <c r="K27" s="300"/>
      <c r="L27" s="300">
        <v>3.7305585875618092</v>
      </c>
      <c r="M27" s="300">
        <v>0.34827642443046958</v>
      </c>
      <c r="N27" s="300">
        <v>6.4345406102810421E-2</v>
      </c>
      <c r="O27" s="300">
        <f t="shared" ref="O27:O28" si="31">SUM(L27:N27)</f>
        <v>4.1431804180950893</v>
      </c>
      <c r="P27" s="300"/>
      <c r="Q27" s="300">
        <v>3.6990190694165594</v>
      </c>
      <c r="R27" s="300">
        <v>0.34923124255959787</v>
      </c>
      <c r="S27" s="300">
        <v>6.4917655936499827E-2</v>
      </c>
      <c r="T27" s="300">
        <f t="shared" ref="T27:T28" si="32">SUM(Q27:S27)</f>
        <v>4.1131679679126574</v>
      </c>
      <c r="U27" s="300"/>
      <c r="V27" s="300">
        <v>3.51253560425996</v>
      </c>
      <c r="W27" s="300">
        <v>0.33890776684609147</v>
      </c>
      <c r="X27" s="300">
        <v>6.5338307862703254E-2</v>
      </c>
      <c r="Y27" s="300">
        <f t="shared" ref="Y27:Y28" si="33">SUM(V27:X27)</f>
        <v>3.9167816789687548</v>
      </c>
    </row>
    <row r="28" spans="1:25" ht="12.5" x14ac:dyDescent="0.25">
      <c r="A28" s="264" t="s">
        <v>363</v>
      </c>
      <c r="B28" s="301">
        <f>SUM(B26:B27)</f>
        <v>5.957049131065534</v>
      </c>
      <c r="C28" s="301">
        <f t="shared" ref="C28" si="34">SUM(C26:C27)</f>
        <v>0.71244142862098347</v>
      </c>
      <c r="D28" s="301">
        <f t="shared" ref="D28" si="35">SUM(D26:D27)</f>
        <v>0.34250944031347108</v>
      </c>
      <c r="E28" s="301">
        <f t="shared" si="29"/>
        <v>7.011999999999988</v>
      </c>
      <c r="F28" s="301"/>
      <c r="G28" s="301">
        <f>SUM(G26:G27)</f>
        <v>5.4784703935738968</v>
      </c>
      <c r="H28" s="301">
        <f t="shared" ref="H28" si="36">SUM(H26:H27)</f>
        <v>0.71074137932272796</v>
      </c>
      <c r="I28" s="301">
        <f t="shared" ref="I28" si="37">SUM(I26:I27)</f>
        <v>0.15278822710337078</v>
      </c>
      <c r="J28" s="301">
        <f t="shared" si="30"/>
        <v>6.3419999999999961</v>
      </c>
      <c r="K28" s="301"/>
      <c r="L28" s="301">
        <f>SUM(L26:L27)</f>
        <v>5.3768053814951795</v>
      </c>
      <c r="M28" s="301">
        <f t="shared" ref="M28" si="38">SUM(M26:M27)</f>
        <v>0.75278594016377176</v>
      </c>
      <c r="N28" s="301">
        <f t="shared" ref="N28" si="39">SUM(N26:N27)</f>
        <v>0.16740867834104856</v>
      </c>
      <c r="O28" s="301">
        <f t="shared" si="31"/>
        <v>6.2969999999999997</v>
      </c>
      <c r="P28" s="301"/>
      <c r="Q28" s="301">
        <f>SUM(Q26:Q27)</f>
        <v>5.4109693785667234</v>
      </c>
      <c r="R28" s="301">
        <f t="shared" ref="R28" si="40">SUM(R26:R27)</f>
        <v>0.75400110295895773</v>
      </c>
      <c r="S28" s="301">
        <f t="shared" ref="S28" si="41">SUM(S26:S27)</f>
        <v>0.1710295184743203</v>
      </c>
      <c r="T28" s="301">
        <f t="shared" si="32"/>
        <v>6.3360000000000012</v>
      </c>
      <c r="U28" s="301"/>
      <c r="V28" s="301">
        <f>SUM(V26:V27)</f>
        <v>5.2874053892379766</v>
      </c>
      <c r="W28" s="301">
        <f t="shared" ref="W28" si="42">SUM(W26:W27)</f>
        <v>0.72890157609865802</v>
      </c>
      <c r="X28" s="301">
        <f t="shared" ref="X28" si="43">SUM(X26:X27)</f>
        <v>0.17269303466336069</v>
      </c>
      <c r="Y28" s="301">
        <f t="shared" si="33"/>
        <v>6.1889999999999956</v>
      </c>
    </row>
    <row r="32" spans="1:25" ht="14" x14ac:dyDescent="0.3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3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3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ht="12.5" x14ac:dyDescent="0.25">
      <c r="A35" s="260" t="s">
        <v>365</v>
      </c>
      <c r="B35" s="300">
        <v>1.0966939808223319</v>
      </c>
      <c r="C35" s="300">
        <v>0.31714942315669392</v>
      </c>
      <c r="D35" s="300">
        <v>4.2652800669252609E-2</v>
      </c>
      <c r="E35" s="300">
        <f>SUM(B35:D35)</f>
        <v>1.4564962046482783</v>
      </c>
      <c r="F35" s="300"/>
      <c r="G35" s="300">
        <v>1.1754676189820132</v>
      </c>
      <c r="H35" s="300">
        <v>0.30979797130962916</v>
      </c>
      <c r="I35" s="300">
        <v>0.16094462117364522</v>
      </c>
      <c r="J35" s="300">
        <f>SUM(G35:I35)</f>
        <v>1.6462102114652875</v>
      </c>
      <c r="K35" s="300"/>
      <c r="L35" s="300">
        <v>1.2864633262278136</v>
      </c>
      <c r="M35" s="300">
        <v>0.32951573929697003</v>
      </c>
      <c r="N35" s="300">
        <v>0.106526590953109</v>
      </c>
      <c r="O35" s="300">
        <f>SUM(L35:N35)</f>
        <v>1.7225056564778927</v>
      </c>
      <c r="P35" s="300"/>
      <c r="Q35" s="300">
        <v>1.3562483992611862</v>
      </c>
      <c r="R35" s="300">
        <v>0.34689891248884963</v>
      </c>
      <c r="S35" s="300">
        <v>0.11435349120755341</v>
      </c>
      <c r="T35" s="300">
        <f>SUM(Q35:S35)</f>
        <v>1.8175008029575894</v>
      </c>
      <c r="U35" s="300"/>
      <c r="V35" s="300">
        <v>1.1973816628325</v>
      </c>
      <c r="W35" s="300">
        <v>0.31000483746847129</v>
      </c>
      <c r="X35" s="300">
        <v>0.10835743026334294</v>
      </c>
      <c r="Y35" s="300">
        <f>SUM(V35:X35)</f>
        <v>1.6157439305643142</v>
      </c>
    </row>
    <row r="36" spans="1:25" ht="12.5" x14ac:dyDescent="0.25">
      <c r="A36" s="260" t="s">
        <v>364</v>
      </c>
      <c r="B36" s="300">
        <v>5.0254369878562253</v>
      </c>
      <c r="C36" s="300">
        <v>0.13506720211761872</v>
      </c>
      <c r="D36" s="300">
        <v>0.34299960537787982</v>
      </c>
      <c r="E36" s="300">
        <f t="shared" ref="E36:E37" si="44">SUM(B36:D36)</f>
        <v>5.5035037953517243</v>
      </c>
      <c r="F36" s="300"/>
      <c r="G36" s="300">
        <v>5.9056055258804721</v>
      </c>
      <c r="H36" s="300">
        <v>0.14313450573317349</v>
      </c>
      <c r="I36" s="300">
        <v>0.47204975692107082</v>
      </c>
      <c r="J36" s="300">
        <f t="shared" ref="J36:J37" si="45">SUM(G36:I36)</f>
        <v>6.5207897885347164</v>
      </c>
      <c r="K36" s="300"/>
      <c r="L36" s="300">
        <v>5.2916351075307366</v>
      </c>
      <c r="M36" s="300">
        <v>0.20197702260520997</v>
      </c>
      <c r="N36" s="300">
        <v>0.19888221338618109</v>
      </c>
      <c r="O36" s="300">
        <f t="shared" ref="O36:O37" si="46">SUM(L36:N36)</f>
        <v>5.6924943435221271</v>
      </c>
      <c r="P36" s="300"/>
      <c r="Q36" s="300">
        <v>5.6121174915873464</v>
      </c>
      <c r="R36" s="300">
        <v>0.22358906393082045</v>
      </c>
      <c r="S36" s="300">
        <v>0.21479264152425448</v>
      </c>
      <c r="T36" s="300">
        <f t="shared" ref="T36:T37" si="47">SUM(Q36:S36)</f>
        <v>6.0504991970424209</v>
      </c>
      <c r="U36" s="300"/>
      <c r="V36" s="300">
        <v>5.0576952619841506</v>
      </c>
      <c r="W36" s="300">
        <v>0.21575310819051935</v>
      </c>
      <c r="X36" s="300">
        <v>0.20180769926100103</v>
      </c>
      <c r="Y36" s="300">
        <f t="shared" ref="Y36:Y37" si="48">SUM(V36:X36)</f>
        <v>5.4752560694356704</v>
      </c>
    </row>
    <row r="37" spans="1:25" ht="12.5" x14ac:dyDescent="0.25">
      <c r="A37" s="264" t="s">
        <v>363</v>
      </c>
      <c r="B37" s="301">
        <f>SUM(B35:B36)</f>
        <v>6.1221309686785572</v>
      </c>
      <c r="C37" s="301">
        <f t="shared" ref="C37" si="49">SUM(C35:C36)</f>
        <v>0.45221662527431261</v>
      </c>
      <c r="D37" s="301">
        <f t="shared" ref="D37" si="50">SUM(D35:D36)</f>
        <v>0.38565240604713241</v>
      </c>
      <c r="E37" s="301">
        <f t="shared" si="44"/>
        <v>6.9600000000000017</v>
      </c>
      <c r="F37" s="301"/>
      <c r="G37" s="301">
        <f>SUM(G35:G36)</f>
        <v>7.0810731448624855</v>
      </c>
      <c r="H37" s="301">
        <f t="shared" ref="H37" si="51">SUM(H35:H36)</f>
        <v>0.45293247704280265</v>
      </c>
      <c r="I37" s="301">
        <f t="shared" ref="I37" si="52">SUM(I35:I36)</f>
        <v>0.63299437809471604</v>
      </c>
      <c r="J37" s="301">
        <f t="shared" si="45"/>
        <v>8.1670000000000034</v>
      </c>
      <c r="K37" s="301"/>
      <c r="L37" s="301">
        <f>SUM(L35:L36)</f>
        <v>6.5780984337585497</v>
      </c>
      <c r="M37" s="301">
        <f t="shared" ref="M37" si="53">SUM(M35:M36)</f>
        <v>0.53149276190217998</v>
      </c>
      <c r="N37" s="301">
        <f t="shared" ref="N37" si="54">SUM(N35:N36)</f>
        <v>0.30540880433929007</v>
      </c>
      <c r="O37" s="301">
        <f t="shared" si="46"/>
        <v>7.4150000000000196</v>
      </c>
      <c r="P37" s="301"/>
      <c r="Q37" s="301">
        <f>SUM(Q35:Q36)</f>
        <v>6.9683658908485331</v>
      </c>
      <c r="R37" s="301">
        <f t="shared" ref="R37" si="55">SUM(R35:R36)</f>
        <v>0.57048797641967008</v>
      </c>
      <c r="S37" s="301">
        <f t="shared" ref="S37" si="56">SUM(S35:S36)</f>
        <v>0.32914613273180787</v>
      </c>
      <c r="T37" s="301">
        <f t="shared" si="47"/>
        <v>7.868000000000011</v>
      </c>
      <c r="U37" s="301"/>
      <c r="V37" s="301">
        <f>SUM(V35:V36)</f>
        <v>6.2550769248166507</v>
      </c>
      <c r="W37" s="301">
        <f t="shared" ref="W37" si="57">SUM(W35:W36)</f>
        <v>0.5257579456589907</v>
      </c>
      <c r="X37" s="301">
        <f t="shared" ref="X37" si="58">SUM(X35:X36)</f>
        <v>0.31016512952434394</v>
      </c>
      <c r="Y37" s="301">
        <f t="shared" si="48"/>
        <v>7.0909999999999851</v>
      </c>
    </row>
    <row r="38" spans="1:25" ht="12.5" x14ac:dyDescent="0.25">
      <c r="C38" s="263"/>
    </row>
    <row r="39" spans="1:25" ht="12.5" x14ac:dyDescent="0.25">
      <c r="C39" s="263"/>
    </row>
    <row r="40" spans="1:25" x14ac:dyDescent="0.3">
      <c r="A40" s="261"/>
    </row>
    <row r="41" spans="1:25" ht="14" x14ac:dyDescent="0.3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3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3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ht="12.5" x14ac:dyDescent="0.25">
      <c r="A44" s="260" t="s">
        <v>365</v>
      </c>
      <c r="B44" s="300">
        <v>7.2707611658222877</v>
      </c>
      <c r="C44" s="300">
        <v>1.8141277702244436</v>
      </c>
      <c r="D44" s="300">
        <v>0.54380163490996314</v>
      </c>
      <c r="E44" s="300">
        <f>SUM(B44:D44)</f>
        <v>9.6286905709566941</v>
      </c>
      <c r="F44" s="300"/>
      <c r="G44" s="300">
        <v>7.7739890219271048</v>
      </c>
      <c r="H44" s="300">
        <v>2.2619201544515533</v>
      </c>
      <c r="I44" s="300">
        <v>0.79217127400974274</v>
      </c>
      <c r="J44" s="300">
        <f>SUM(G44:I44)</f>
        <v>10.8280804503884</v>
      </c>
      <c r="K44" s="300"/>
      <c r="L44" s="300">
        <v>7.7683203810630541</v>
      </c>
      <c r="M44" s="300">
        <v>2.2679354550565747</v>
      </c>
      <c r="N44" s="300">
        <v>0.77843844590192302</v>
      </c>
      <c r="O44" s="300">
        <f>SUM(L44:N44)</f>
        <v>10.814694282021552</v>
      </c>
      <c r="P44" s="300"/>
      <c r="Q44" s="300">
        <v>7.5709919127821017</v>
      </c>
      <c r="R44" s="300">
        <v>2.151845756379271</v>
      </c>
      <c r="S44" s="300">
        <v>0.7054223892073217</v>
      </c>
      <c r="T44" s="300">
        <f>SUM(Q44:S44)</f>
        <v>10.428260058368693</v>
      </c>
      <c r="U44" s="300"/>
      <c r="V44" s="300">
        <v>6.9683060726424868</v>
      </c>
      <c r="W44" s="300">
        <v>1.9291745734081467</v>
      </c>
      <c r="X44" s="300">
        <v>0.61189301098539339</v>
      </c>
      <c r="Y44" s="300">
        <f>SUM(V44:X44)</f>
        <v>9.5093736570360274</v>
      </c>
    </row>
    <row r="45" spans="1:25" ht="12.5" x14ac:dyDescent="0.25">
      <c r="A45" s="260" t="s">
        <v>364</v>
      </c>
      <c r="B45" s="300">
        <v>40.037452829549132</v>
      </c>
      <c r="C45" s="300">
        <v>0.8308718977951689</v>
      </c>
      <c r="D45" s="300">
        <v>4.1899847016989273</v>
      </c>
      <c r="E45" s="300">
        <f t="shared" ref="E45:E46" si="59">SUM(B45:D45)</f>
        <v>45.058309429043227</v>
      </c>
      <c r="F45" s="300"/>
      <c r="G45" s="300">
        <v>40.250968992190906</v>
      </c>
      <c r="H45" s="300">
        <v>1.3256558529546754</v>
      </c>
      <c r="I45" s="300">
        <v>2.3712947044660644</v>
      </c>
      <c r="J45" s="300">
        <f t="shared" ref="J45:J46" si="60">SUM(G45:I45)</f>
        <v>43.947919549611647</v>
      </c>
      <c r="K45" s="300"/>
      <c r="L45" s="300">
        <v>35.294564240293795</v>
      </c>
      <c r="M45" s="300">
        <v>1.9821287341363611</v>
      </c>
      <c r="N45" s="300">
        <v>2.0756127435483269</v>
      </c>
      <c r="O45" s="300">
        <f t="shared" ref="O45:O46" si="61">SUM(L45:N45)</f>
        <v>39.352305717978481</v>
      </c>
      <c r="P45" s="300"/>
      <c r="Q45" s="300">
        <v>34.050686017811778</v>
      </c>
      <c r="R45" s="300">
        <v>1.8498669938508256</v>
      </c>
      <c r="S45" s="300">
        <v>1.9541869299686208</v>
      </c>
      <c r="T45" s="300">
        <f t="shared" ref="T45:T46" si="62">SUM(Q45:S45)</f>
        <v>37.854739941631223</v>
      </c>
      <c r="U45" s="300"/>
      <c r="V45" s="300">
        <v>30.57603702028053</v>
      </c>
      <c r="W45" s="300">
        <v>1.6822778829868315</v>
      </c>
      <c r="X45" s="300">
        <v>1.8423114396965974</v>
      </c>
      <c r="Y45" s="300">
        <f t="shared" ref="Y45:Y46" si="63">SUM(V45:X45)</f>
        <v>34.100626342963956</v>
      </c>
    </row>
    <row r="46" spans="1:25" ht="12.5" x14ac:dyDescent="0.25">
      <c r="A46" s="264" t="s">
        <v>363</v>
      </c>
      <c r="B46" s="301">
        <f>SUM(B44:B45)</f>
        <v>47.308213995371418</v>
      </c>
      <c r="C46" s="301">
        <f t="shared" ref="C46" si="64">SUM(C44:C45)</f>
        <v>2.6449996680196124</v>
      </c>
      <c r="D46" s="301">
        <f t="shared" ref="D46" si="65">SUM(D44:D45)</f>
        <v>4.7337863366088904</v>
      </c>
      <c r="E46" s="301">
        <f t="shared" si="59"/>
        <v>54.686999999999927</v>
      </c>
      <c r="F46" s="301"/>
      <c r="G46" s="301">
        <f>SUM(G44:G45)</f>
        <v>48.024958014118013</v>
      </c>
      <c r="H46" s="301">
        <f t="shared" ref="H46" si="66">SUM(H44:H45)</f>
        <v>3.5875760074062288</v>
      </c>
      <c r="I46" s="301">
        <f t="shared" ref="I46" si="67">SUM(I44:I45)</f>
        <v>3.163465978475807</v>
      </c>
      <c r="J46" s="301">
        <f t="shared" si="60"/>
        <v>54.776000000000046</v>
      </c>
      <c r="K46" s="301"/>
      <c r="L46" s="301">
        <f>SUM(L44:L45)</f>
        <v>43.062884621356851</v>
      </c>
      <c r="M46" s="301">
        <f t="shared" ref="M46" si="68">SUM(M44:M45)</f>
        <v>4.250064189192936</v>
      </c>
      <c r="N46" s="301">
        <f t="shared" ref="N46" si="69">SUM(N44:N45)</f>
        <v>2.8540511894502498</v>
      </c>
      <c r="O46" s="301">
        <f t="shared" si="61"/>
        <v>50.167000000000037</v>
      </c>
      <c r="P46" s="301"/>
      <c r="Q46" s="301">
        <f>SUM(Q44:Q45)</f>
        <v>41.621677930593876</v>
      </c>
      <c r="R46" s="301">
        <f t="shared" ref="R46" si="70">SUM(R44:R45)</f>
        <v>4.0017127502300962</v>
      </c>
      <c r="S46" s="301">
        <f t="shared" ref="S46" si="71">SUM(S44:S45)</f>
        <v>2.6596093191759422</v>
      </c>
      <c r="T46" s="301">
        <f t="shared" si="62"/>
        <v>48.282999999999916</v>
      </c>
      <c r="U46" s="301"/>
      <c r="V46" s="301">
        <f>SUM(V44:V45)</f>
        <v>37.544343092923015</v>
      </c>
      <c r="W46" s="301">
        <f t="shared" ref="W46" si="72">SUM(W44:W45)</f>
        <v>3.6114524563949781</v>
      </c>
      <c r="X46" s="301">
        <f t="shared" ref="X46" si="73">SUM(X44:X45)</f>
        <v>2.4542044506819907</v>
      </c>
      <c r="Y46" s="301">
        <f t="shared" si="63"/>
        <v>43.609999999999985</v>
      </c>
    </row>
    <row r="47" spans="1:25" ht="12.5" x14ac:dyDescent="0.25">
      <c r="C47" s="263"/>
    </row>
    <row r="48" spans="1:25" ht="12.5" x14ac:dyDescent="0.25">
      <c r="C48" s="263"/>
    </row>
    <row r="49" spans="1:25" ht="12.5" x14ac:dyDescent="0.25">
      <c r="C49" s="263"/>
    </row>
    <row r="50" spans="1:25" ht="14" x14ac:dyDescent="0.3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3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5" x14ac:dyDescent="0.25">
      <c r="A53" s="260" t="s">
        <v>365</v>
      </c>
      <c r="B53" s="300">
        <v>0.99943966840804299</v>
      </c>
      <c r="C53" s="300">
        <v>0.26229275407223623</v>
      </c>
      <c r="D53" s="300">
        <v>4.0105925699010226E-4</v>
      </c>
      <c r="E53" s="300">
        <f>SUM(B53:D53)</f>
        <v>1.2621334817372694</v>
      </c>
      <c r="F53" s="300"/>
      <c r="G53" s="300">
        <v>0.43716698637303331</v>
      </c>
      <c r="H53" s="300">
        <v>9.5235852676020041E-2</v>
      </c>
      <c r="I53" s="300">
        <v>1.6391713025369108E-4</v>
      </c>
      <c r="J53" s="300">
        <f>SUM(G53:I53)</f>
        <v>0.53256675617930704</v>
      </c>
      <c r="K53" s="300"/>
      <c r="L53" s="300">
        <v>0.48428232944971272</v>
      </c>
      <c r="M53" s="300">
        <v>0.1084546085749904</v>
      </c>
      <c r="N53" s="300">
        <v>0</v>
      </c>
      <c r="O53" s="300">
        <f>SUM(L53:N53)</f>
        <v>0.59273693802470317</v>
      </c>
      <c r="P53" s="300"/>
      <c r="Q53" s="300">
        <v>0.46117664154008359</v>
      </c>
      <c r="R53" s="300">
        <v>0.10231513940548481</v>
      </c>
      <c r="S53" s="300">
        <v>0</v>
      </c>
      <c r="T53" s="300">
        <f>SUM(Q53:S53)</f>
        <v>0.5634917809455684</v>
      </c>
      <c r="U53" s="300"/>
      <c r="V53" s="300">
        <v>0.46216929459895861</v>
      </c>
      <c r="W53" s="300">
        <v>0.10058091286159512</v>
      </c>
      <c r="X53" s="300">
        <v>0</v>
      </c>
      <c r="Y53" s="300">
        <f>SUM(V53:X53)</f>
        <v>0.56275020746055371</v>
      </c>
    </row>
    <row r="54" spans="1:25" ht="12.5" x14ac:dyDescent="0.25">
      <c r="A54" s="260" t="s">
        <v>364</v>
      </c>
      <c r="B54" s="300">
        <v>3.6079290758312874</v>
      </c>
      <c r="C54" s="300">
        <v>8.1816088425549841E-2</v>
      </c>
      <c r="D54" s="300">
        <v>0.27312135400588972</v>
      </c>
      <c r="E54" s="300">
        <f t="shared" ref="E54:E55" si="74">SUM(B54:D54)</f>
        <v>3.962866518262727</v>
      </c>
      <c r="F54" s="300"/>
      <c r="G54" s="300">
        <v>1.1485673316779144</v>
      </c>
      <c r="H54" s="300">
        <v>2.7865912142778868E-2</v>
      </c>
      <c r="I54" s="300">
        <v>0</v>
      </c>
      <c r="J54" s="300">
        <f t="shared" ref="J54:J55" si="75">SUM(G54:I54)</f>
        <v>1.1764332438206933</v>
      </c>
      <c r="K54" s="300"/>
      <c r="L54" s="300">
        <v>1.3551694150390701</v>
      </c>
      <c r="M54" s="300">
        <v>2.3093646936225728E-2</v>
      </c>
      <c r="N54" s="300">
        <v>0</v>
      </c>
      <c r="O54" s="300">
        <f t="shared" ref="O54:O55" si="76">SUM(L54:N54)</f>
        <v>1.3782630619752958</v>
      </c>
      <c r="P54" s="300"/>
      <c r="Q54" s="300">
        <v>1.2704270275189449</v>
      </c>
      <c r="R54" s="300">
        <v>2.2081191535488098E-2</v>
      </c>
      <c r="S54" s="300">
        <v>0</v>
      </c>
      <c r="T54" s="300">
        <f t="shared" ref="T54:T55" si="77">SUM(Q54:S54)</f>
        <v>1.292508219054433</v>
      </c>
      <c r="U54" s="300"/>
      <c r="V54" s="300">
        <v>1.2329543568547823</v>
      </c>
      <c r="W54" s="300">
        <v>2.2295435684664213E-2</v>
      </c>
      <c r="X54" s="300">
        <v>0</v>
      </c>
      <c r="Y54" s="300">
        <f t="shared" ref="Y54:Y55" si="78">SUM(V54:X54)</f>
        <v>1.2552497925394466</v>
      </c>
    </row>
    <row r="55" spans="1:25" ht="12.5" x14ac:dyDescent="0.25">
      <c r="A55" s="264" t="s">
        <v>363</v>
      </c>
      <c r="B55" s="301">
        <f>SUM(B53:B54)</f>
        <v>4.6073687442393307</v>
      </c>
      <c r="C55" s="301">
        <f t="shared" ref="C55" si="79">SUM(C53:C54)</f>
        <v>0.34410884249778606</v>
      </c>
      <c r="D55" s="301">
        <f t="shared" ref="D55" si="80">SUM(D53:D54)</f>
        <v>0.27352241326287979</v>
      </c>
      <c r="E55" s="301">
        <f t="shared" si="74"/>
        <v>5.2249999999999961</v>
      </c>
      <c r="F55" s="301"/>
      <c r="G55" s="301">
        <f>SUM(G53:G54)</f>
        <v>1.5857343180509478</v>
      </c>
      <c r="H55" s="301">
        <f t="shared" ref="H55" si="81">SUM(H53:H54)</f>
        <v>0.12310176481879891</v>
      </c>
      <c r="I55" s="301">
        <f t="shared" ref="I55" si="82">SUM(I53:I54)</f>
        <v>1.6391713025369108E-4</v>
      </c>
      <c r="J55" s="301">
        <f t="shared" si="75"/>
        <v>1.7090000000000003</v>
      </c>
      <c r="K55" s="301"/>
      <c r="L55" s="301">
        <f>SUM(L53:L54)</f>
        <v>1.8394517444887828</v>
      </c>
      <c r="M55" s="301">
        <f t="shared" ref="M55" si="83">SUM(M53:M54)</f>
        <v>0.13154825551121613</v>
      </c>
      <c r="N55" s="301">
        <f t="shared" ref="N55" si="84">SUM(N53:N54)</f>
        <v>0</v>
      </c>
      <c r="O55" s="301">
        <f t="shared" si="76"/>
        <v>1.970999999999999</v>
      </c>
      <c r="P55" s="301"/>
      <c r="Q55" s="301">
        <f>SUM(Q53:Q54)</f>
        <v>1.7316036690590284</v>
      </c>
      <c r="R55" s="301">
        <f t="shared" ref="R55" si="85">SUM(R53:R54)</f>
        <v>0.12439633094097291</v>
      </c>
      <c r="S55" s="301">
        <f t="shared" ref="S55" si="86">SUM(S53:S54)</f>
        <v>0</v>
      </c>
      <c r="T55" s="301">
        <f t="shared" si="77"/>
        <v>1.8560000000000012</v>
      </c>
      <c r="U55" s="301"/>
      <c r="V55" s="301">
        <f>SUM(V53:V54)</f>
        <v>1.6951236514537409</v>
      </c>
      <c r="W55" s="301">
        <f t="shared" ref="W55" si="87">SUM(W53:W54)</f>
        <v>0.12287634854625934</v>
      </c>
      <c r="X55" s="301">
        <f t="shared" ref="X55" si="88">SUM(X53:X54)</f>
        <v>0</v>
      </c>
      <c r="Y55" s="301">
        <f t="shared" si="78"/>
        <v>1.8180000000000003</v>
      </c>
    </row>
    <row r="56" spans="1:25" ht="12.5" x14ac:dyDescent="0.25">
      <c r="C56" s="263"/>
    </row>
    <row r="57" spans="1:25" ht="12.5" x14ac:dyDescent="0.25">
      <c r="C57" s="263"/>
    </row>
    <row r="58" spans="1:25" ht="12.5" x14ac:dyDescent="0.25">
      <c r="C58" s="263"/>
    </row>
    <row r="59" spans="1:25" ht="14" x14ac:dyDescent="0.3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3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3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ht="12.5" x14ac:dyDescent="0.25">
      <c r="A62" s="260" t="s">
        <v>365</v>
      </c>
      <c r="B62" s="300">
        <v>0.60156639380007004</v>
      </c>
      <c r="C62" s="300">
        <v>0.26521582275467864</v>
      </c>
      <c r="D62" s="300">
        <v>0.1308029998536471</v>
      </c>
      <c r="E62" s="300">
        <f>SUM(B62:D62)</f>
        <v>0.99758521640839581</v>
      </c>
      <c r="F62" s="300"/>
      <c r="G62" s="300">
        <v>0.81320227472466988</v>
      </c>
      <c r="H62" s="300">
        <v>0.33530334273732487</v>
      </c>
      <c r="I62" s="300">
        <v>0</v>
      </c>
      <c r="J62" s="300">
        <f>SUM(G62:I62)</f>
        <v>1.1485056174619948</v>
      </c>
      <c r="K62" s="300"/>
      <c r="L62" s="300">
        <v>0.65528554267560235</v>
      </c>
      <c r="M62" s="300">
        <v>0.34144766531212706</v>
      </c>
      <c r="N62" s="300">
        <v>1.5890525436288067E-2</v>
      </c>
      <c r="O62" s="300">
        <f>SUM(L62:N62)</f>
        <v>1.0126237334240173</v>
      </c>
      <c r="P62" s="300"/>
      <c r="Q62" s="300">
        <v>0.69752181865971596</v>
      </c>
      <c r="R62" s="300">
        <v>0.35402860045836643</v>
      </c>
      <c r="S62" s="300">
        <v>1.5902463805158428E-2</v>
      </c>
      <c r="T62" s="300">
        <f>SUM(Q62:S62)</f>
        <v>1.0674528829232408</v>
      </c>
      <c r="U62" s="300"/>
      <c r="V62" s="300">
        <v>0.7704616591535951</v>
      </c>
      <c r="W62" s="300">
        <v>0.37094096881798705</v>
      </c>
      <c r="X62" s="300">
        <v>1.6076093351754514E-2</v>
      </c>
      <c r="Y62" s="300">
        <f>SUM(V62:X62)</f>
        <v>1.1574787213233366</v>
      </c>
    </row>
    <row r="63" spans="1:25" ht="12.5" x14ac:dyDescent="0.25">
      <c r="A63" s="260" t="s">
        <v>364</v>
      </c>
      <c r="B63" s="300">
        <v>3.1560470565202161</v>
      </c>
      <c r="C63" s="300">
        <v>7.0922405765182064E-2</v>
      </c>
      <c r="D63" s="300">
        <v>0.10744532130619089</v>
      </c>
      <c r="E63" s="300">
        <f t="shared" ref="E63:E64" si="89">SUM(B63:D63)</f>
        <v>3.3344147835915892</v>
      </c>
      <c r="F63" s="300"/>
      <c r="G63" s="300">
        <v>2.8857273105481491</v>
      </c>
      <c r="H63" s="300">
        <v>0.22265282722322563</v>
      </c>
      <c r="I63" s="300">
        <v>0.14911424476662899</v>
      </c>
      <c r="J63" s="300">
        <f t="shared" ref="J63:J64" si="90">SUM(G63:I63)</f>
        <v>3.2574943825380038</v>
      </c>
      <c r="K63" s="300"/>
      <c r="L63" s="300">
        <v>2.1070836728256048</v>
      </c>
      <c r="M63" s="300">
        <v>0.6832925937503801</v>
      </c>
      <c r="N63" s="300">
        <v>0</v>
      </c>
      <c r="O63" s="300">
        <f t="shared" ref="O63:O64" si="91">SUM(L63:N63)</f>
        <v>2.790376266575985</v>
      </c>
      <c r="P63" s="300"/>
      <c r="Q63" s="300">
        <v>2.1428569977026553</v>
      </c>
      <c r="R63" s="300">
        <v>0.70269011937410608</v>
      </c>
      <c r="S63" s="300">
        <v>0</v>
      </c>
      <c r="T63" s="300">
        <f t="shared" ref="T63:T64" si="92">SUM(Q63:S63)</f>
        <v>2.8455471170767614</v>
      </c>
      <c r="U63" s="300"/>
      <c r="V63" s="300">
        <v>2.1682878995841279</v>
      </c>
      <c r="W63" s="300">
        <v>0.72223337909253493</v>
      </c>
      <c r="X63" s="300">
        <v>0</v>
      </c>
      <c r="Y63" s="300">
        <f t="shared" ref="Y63:Y64" si="93">SUM(V63:X63)</f>
        <v>2.8905212786766628</v>
      </c>
    </row>
    <row r="64" spans="1:25" ht="12.5" x14ac:dyDescent="0.25">
      <c r="A64" s="264" t="s">
        <v>363</v>
      </c>
      <c r="B64" s="301">
        <f>SUM(B62:B63)</f>
        <v>3.757613450320286</v>
      </c>
      <c r="C64" s="301">
        <f t="shared" ref="C64" si="94">SUM(C62:C63)</f>
        <v>0.33613822851986069</v>
      </c>
      <c r="D64" s="301">
        <f t="shared" ref="D64" si="95">SUM(D62:D63)</f>
        <v>0.23824832115983799</v>
      </c>
      <c r="E64" s="301">
        <f t="shared" si="89"/>
        <v>4.3319999999999848</v>
      </c>
      <c r="F64" s="301"/>
      <c r="G64" s="301">
        <f>SUM(G62:G63)</f>
        <v>3.6989295852728192</v>
      </c>
      <c r="H64" s="301">
        <f t="shared" ref="H64" si="96">SUM(H62:H63)</f>
        <v>0.55795616996055053</v>
      </c>
      <c r="I64" s="301">
        <f t="shared" ref="I64" si="97">SUM(I62:I63)</f>
        <v>0.14911424476662899</v>
      </c>
      <c r="J64" s="301">
        <f t="shared" si="90"/>
        <v>4.4059999999999988</v>
      </c>
      <c r="K64" s="301"/>
      <c r="L64" s="301">
        <f>SUM(L62:L63)</f>
        <v>2.7623692155012072</v>
      </c>
      <c r="M64" s="301">
        <f t="shared" ref="M64" si="98">SUM(M62:M63)</f>
        <v>1.0247402590625072</v>
      </c>
      <c r="N64" s="301">
        <f t="shared" ref="N64" si="99">SUM(N62:N63)</f>
        <v>1.5890525436288067E-2</v>
      </c>
      <c r="O64" s="301">
        <f t="shared" si="91"/>
        <v>3.8030000000000026</v>
      </c>
      <c r="P64" s="301"/>
      <c r="Q64" s="301">
        <f>SUM(Q62:Q63)</f>
        <v>2.8403788163623713</v>
      </c>
      <c r="R64" s="301">
        <f t="shared" ref="R64" si="100">SUM(R62:R63)</f>
        <v>1.0567187198324726</v>
      </c>
      <c r="S64" s="301">
        <f t="shared" ref="S64" si="101">SUM(S62:S63)</f>
        <v>1.5902463805158428E-2</v>
      </c>
      <c r="T64" s="301">
        <f t="shared" si="92"/>
        <v>3.913000000000002</v>
      </c>
      <c r="U64" s="301"/>
      <c r="V64" s="301">
        <f>SUM(V62:V63)</f>
        <v>2.9387495587377233</v>
      </c>
      <c r="W64" s="301">
        <f t="shared" ref="W64" si="102">SUM(W62:W63)</f>
        <v>1.093174347910522</v>
      </c>
      <c r="X64" s="301">
        <f t="shared" ref="X64" si="103">SUM(X62:X63)</f>
        <v>1.6076093351754514E-2</v>
      </c>
      <c r="Y64" s="301">
        <f t="shared" si="93"/>
        <v>4.048</v>
      </c>
    </row>
    <row r="68" spans="1:25" ht="14" x14ac:dyDescent="0.3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3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3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ht="12.5" x14ac:dyDescent="0.25">
      <c r="A71" s="260" t="s">
        <v>365</v>
      </c>
      <c r="B71" s="300">
        <v>2.3631256552432043</v>
      </c>
      <c r="C71" s="300">
        <v>1.8243644142948179</v>
      </c>
      <c r="D71" s="300">
        <v>0.81911695799947593</v>
      </c>
      <c r="E71" s="300">
        <f>SUM(B71:D71)</f>
        <v>5.0066070275374983</v>
      </c>
      <c r="F71" s="300"/>
      <c r="G71" s="300">
        <v>2.8214517433463571</v>
      </c>
      <c r="H71" s="300">
        <v>1.5916067893107297</v>
      </c>
      <c r="I71" s="300">
        <v>0.77037836608280275</v>
      </c>
      <c r="J71" s="300">
        <f>SUM(G71:I71)</f>
        <v>5.18343689873989</v>
      </c>
      <c r="K71" s="300"/>
      <c r="L71" s="300">
        <v>2.7273220967297749</v>
      </c>
      <c r="M71" s="300">
        <v>1.7042599367563167</v>
      </c>
      <c r="N71" s="300">
        <v>0.77791773711333934</v>
      </c>
      <c r="O71" s="300">
        <f>SUM(L71:N71)</f>
        <v>5.2094997705994315</v>
      </c>
      <c r="P71" s="300"/>
      <c r="Q71" s="300">
        <v>2.7289815059112392</v>
      </c>
      <c r="R71" s="300">
        <v>1.7165361995017976</v>
      </c>
      <c r="S71" s="300">
        <v>0.78194364005594308</v>
      </c>
      <c r="T71" s="300">
        <f>SUM(Q71:S71)</f>
        <v>5.2274613454689804</v>
      </c>
      <c r="U71" s="300"/>
      <c r="V71" s="300">
        <v>2.8040001813354229</v>
      </c>
      <c r="W71" s="300">
        <v>1.783324830314174</v>
      </c>
      <c r="X71" s="300">
        <v>0.82603991841662394</v>
      </c>
      <c r="Y71" s="300">
        <f>SUM(V71:X71)</f>
        <v>5.413364930066221</v>
      </c>
    </row>
    <row r="72" spans="1:25" ht="12.5" x14ac:dyDescent="0.25">
      <c r="A72" s="260" t="s">
        <v>364</v>
      </c>
      <c r="B72" s="300">
        <v>16.633249495910615</v>
      </c>
      <c r="C72" s="300">
        <v>1.221715619696524</v>
      </c>
      <c r="D72" s="300">
        <v>8.9014278568553351</v>
      </c>
      <c r="E72" s="300">
        <f t="shared" ref="E72:E73" si="104">SUM(B72:D72)</f>
        <v>26.756392972462475</v>
      </c>
      <c r="F72" s="300"/>
      <c r="G72" s="300">
        <v>16.249680589416947</v>
      </c>
      <c r="H72" s="300">
        <v>0.70845026073842099</v>
      </c>
      <c r="I72" s="300">
        <v>16.933432251104659</v>
      </c>
      <c r="J72" s="300">
        <f t="shared" ref="J72:J73" si="105">SUM(G72:I72)</f>
        <v>33.891563101260026</v>
      </c>
      <c r="K72" s="300"/>
      <c r="L72" s="300">
        <v>14.85690904853705</v>
      </c>
      <c r="M72" s="300">
        <v>0.94478226683438893</v>
      </c>
      <c r="N72" s="300">
        <v>16.003808914029179</v>
      </c>
      <c r="O72" s="300">
        <f t="shared" ref="O72:O73" si="106">SUM(L72:N72)</f>
        <v>31.805500229400618</v>
      </c>
      <c r="P72" s="300"/>
      <c r="Q72" s="300">
        <v>14.614740592673545</v>
      </c>
      <c r="R72" s="300">
        <v>0.95850575882714351</v>
      </c>
      <c r="S72" s="300">
        <v>16.103292303030319</v>
      </c>
      <c r="T72" s="300">
        <f t="shared" ref="T72:T73" si="107">SUM(Q72:S72)</f>
        <v>31.676538654531008</v>
      </c>
      <c r="U72" s="300"/>
      <c r="V72" s="300">
        <v>14.345881332458676</v>
      </c>
      <c r="W72" s="300">
        <v>1.0069258754650967</v>
      </c>
      <c r="X72" s="300">
        <v>16.683827862010002</v>
      </c>
      <c r="Y72" s="300">
        <f t="shared" ref="Y72:Y73" si="108">SUM(V72:X72)</f>
        <v>32.036635069933773</v>
      </c>
    </row>
    <row r="73" spans="1:25" ht="12.5" x14ac:dyDescent="0.25">
      <c r="A73" s="264" t="s">
        <v>363</v>
      </c>
      <c r="B73" s="301">
        <f>SUM(B71:B72)</f>
        <v>18.996375151153821</v>
      </c>
      <c r="C73" s="301">
        <f t="shared" ref="C73" si="109">SUM(C71:C72)</f>
        <v>3.0460800339913421</v>
      </c>
      <c r="D73" s="301">
        <f t="shared" ref="D73" si="110">SUM(D71:D72)</f>
        <v>9.7205448148548115</v>
      </c>
      <c r="E73" s="301">
        <f t="shared" si="104"/>
        <v>31.762999999999973</v>
      </c>
      <c r="F73" s="301"/>
      <c r="G73" s="301">
        <f>SUM(G71:G72)</f>
        <v>19.071132332763305</v>
      </c>
      <c r="H73" s="301">
        <f t="shared" ref="H73" si="111">SUM(H71:H72)</f>
        <v>2.3000570500491508</v>
      </c>
      <c r="I73" s="301">
        <f t="shared" ref="I73" si="112">SUM(I71:I72)</f>
        <v>17.703810617187461</v>
      </c>
      <c r="J73" s="301">
        <f t="shared" si="105"/>
        <v>39.074999999999918</v>
      </c>
      <c r="K73" s="301"/>
      <c r="L73" s="301">
        <f>SUM(L71:L72)</f>
        <v>17.584231145266823</v>
      </c>
      <c r="M73" s="301">
        <f t="shared" ref="M73" si="113">SUM(M71:M72)</f>
        <v>2.6490422035907057</v>
      </c>
      <c r="N73" s="301">
        <f t="shared" ref="N73" si="114">SUM(N71:N72)</f>
        <v>16.781726651142517</v>
      </c>
      <c r="O73" s="301">
        <f t="shared" si="106"/>
        <v>37.015000000000043</v>
      </c>
      <c r="P73" s="301"/>
      <c r="Q73" s="301">
        <f>SUM(Q71:Q72)</f>
        <v>17.343722098584784</v>
      </c>
      <c r="R73" s="301">
        <f t="shared" ref="R73" si="115">SUM(R71:R72)</f>
        <v>2.6750419583289409</v>
      </c>
      <c r="S73" s="301">
        <f t="shared" ref="S73" si="116">SUM(S71:S72)</f>
        <v>16.885235943086261</v>
      </c>
      <c r="T73" s="301">
        <f t="shared" si="107"/>
        <v>36.903999999999982</v>
      </c>
      <c r="U73" s="301"/>
      <c r="V73" s="301">
        <f>SUM(V71:V72)</f>
        <v>17.149881513794099</v>
      </c>
      <c r="W73" s="301">
        <f t="shared" ref="W73" si="117">SUM(W71:W72)</f>
        <v>2.7902507057792709</v>
      </c>
      <c r="X73" s="301">
        <f t="shared" ref="X73" si="118">SUM(X71:X72)</f>
        <v>17.509867780426625</v>
      </c>
      <c r="Y73" s="301">
        <f t="shared" si="108"/>
        <v>37.449999999999996</v>
      </c>
    </row>
    <row r="74" spans="1:25" ht="12.5" x14ac:dyDescent="0.25">
      <c r="C74" s="263"/>
    </row>
    <row r="75" spans="1:25" ht="12.5" x14ac:dyDescent="0.25">
      <c r="C75" s="263"/>
    </row>
    <row r="76" spans="1:25" ht="12.5" x14ac:dyDescent="0.25">
      <c r="C76" s="263"/>
    </row>
    <row r="77" spans="1:25" ht="14" x14ac:dyDescent="0.3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3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3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ht="12.5" x14ac:dyDescent="0.25">
      <c r="A80" s="260" t="s">
        <v>365</v>
      </c>
      <c r="B80" s="300">
        <v>16.151098216912526</v>
      </c>
      <c r="C80" s="300">
        <v>23.016901709327065</v>
      </c>
      <c r="D80" s="300">
        <v>1.1840362631283872</v>
      </c>
      <c r="E80" s="300">
        <f>SUM(B80:D80)</f>
        <v>40.352036189367972</v>
      </c>
      <c r="F80" s="300"/>
      <c r="G80" s="300">
        <v>16.189976853457807</v>
      </c>
      <c r="H80" s="300">
        <v>20.919719052181939</v>
      </c>
      <c r="I80" s="300">
        <v>1.2081075904138132</v>
      </c>
      <c r="J80" s="300">
        <f>SUM(G80:I80)</f>
        <v>38.317803496053557</v>
      </c>
      <c r="K80" s="300"/>
      <c r="L80" s="300">
        <v>16.015494159848281</v>
      </c>
      <c r="M80" s="300">
        <v>20.753541608628691</v>
      </c>
      <c r="N80" s="300">
        <v>2.4222768022837213</v>
      </c>
      <c r="O80" s="300">
        <f>SUM(L80:N80)</f>
        <v>39.191312570760687</v>
      </c>
      <c r="P80" s="300"/>
      <c r="Q80" s="300">
        <v>16.775514667859024</v>
      </c>
      <c r="R80" s="300">
        <v>20.052219250330062</v>
      </c>
      <c r="S80" s="300">
        <v>2.5031558045622337</v>
      </c>
      <c r="T80" s="300">
        <f>SUM(Q80:S80)</f>
        <v>39.330889722751316</v>
      </c>
      <c r="U80" s="300"/>
      <c r="V80" s="300">
        <v>18.147120919989131</v>
      </c>
      <c r="W80" s="300">
        <v>18.76754036532963</v>
      </c>
      <c r="X80" s="300">
        <v>2.680204118552445</v>
      </c>
      <c r="Y80" s="300">
        <f>SUM(V80:X80)</f>
        <v>39.594865403871204</v>
      </c>
    </row>
    <row r="81" spans="1:25" ht="12.5" x14ac:dyDescent="0.25">
      <c r="A81" s="260" t="s">
        <v>364</v>
      </c>
      <c r="B81" s="300">
        <v>35.951117009342425</v>
      </c>
      <c r="C81" s="300">
        <v>10.515326629909623</v>
      </c>
      <c r="D81" s="300">
        <v>5.2475201713799953</v>
      </c>
      <c r="E81" s="300">
        <f t="shared" ref="E81:E82" si="119">SUM(B81:D81)</f>
        <v>51.713963810632045</v>
      </c>
      <c r="F81" s="300"/>
      <c r="G81" s="300">
        <v>34.748064490162463</v>
      </c>
      <c r="H81" s="300">
        <v>9.7863979567608297</v>
      </c>
      <c r="I81" s="300">
        <v>5.707734057023039</v>
      </c>
      <c r="J81" s="300">
        <f t="shared" ref="J81:J82" si="120">SUM(G81:I81)</f>
        <v>50.242196503946332</v>
      </c>
      <c r="K81" s="300"/>
      <c r="L81" s="300">
        <v>33.177553672203388</v>
      </c>
      <c r="M81" s="300">
        <v>11.94424218717638</v>
      </c>
      <c r="N81" s="300">
        <v>2.7608915698595067</v>
      </c>
      <c r="O81" s="300">
        <f t="shared" ref="O81:O82" si="121">SUM(L81:N81)</f>
        <v>47.882687429239276</v>
      </c>
      <c r="P81" s="300"/>
      <c r="Q81" s="300">
        <v>33.745548599955981</v>
      </c>
      <c r="R81" s="300">
        <v>11.994829655200661</v>
      </c>
      <c r="S81" s="300">
        <v>2.8077320220920057</v>
      </c>
      <c r="T81" s="300">
        <f t="shared" ref="T81:T82" si="122">SUM(Q81:S81)</f>
        <v>48.548110277248647</v>
      </c>
      <c r="U81" s="300"/>
      <c r="V81" s="300">
        <v>34.233865728072189</v>
      </c>
      <c r="W81" s="300">
        <v>12.142044241108936</v>
      </c>
      <c r="X81" s="300">
        <v>2.8722246269476432</v>
      </c>
      <c r="Y81" s="300">
        <f t="shared" ref="Y81:Y82" si="123">SUM(V81:X81)</f>
        <v>49.248134596128764</v>
      </c>
    </row>
    <row r="82" spans="1:25" ht="12.5" x14ac:dyDescent="0.25">
      <c r="A82" s="264" t="s">
        <v>363</v>
      </c>
      <c r="B82" s="301">
        <f>SUM(B80:B81)</f>
        <v>52.102215226254955</v>
      </c>
      <c r="C82" s="301">
        <f t="shared" ref="C82" si="124">SUM(C80:C81)</f>
        <v>33.532228339236688</v>
      </c>
      <c r="D82" s="301">
        <f t="shared" ref="D82" si="125">SUM(D80:D81)</f>
        <v>6.4315564345083827</v>
      </c>
      <c r="E82" s="301">
        <f t="shared" si="119"/>
        <v>92.066000000000017</v>
      </c>
      <c r="F82" s="301"/>
      <c r="G82" s="301">
        <f>SUM(G80:G81)</f>
        <v>50.93804134362027</v>
      </c>
      <c r="H82" s="301">
        <f t="shared" ref="H82" si="126">SUM(H80:H81)</f>
        <v>30.706117008942769</v>
      </c>
      <c r="I82" s="301">
        <f t="shared" ref="I82" si="127">SUM(I80:I81)</f>
        <v>6.915841647436852</v>
      </c>
      <c r="J82" s="301">
        <f t="shared" si="120"/>
        <v>88.559999999999889</v>
      </c>
      <c r="K82" s="301"/>
      <c r="L82" s="301">
        <f>SUM(L80:L81)</f>
        <v>49.193047832051668</v>
      </c>
      <c r="M82" s="301">
        <f t="shared" ref="M82" si="128">SUM(M80:M81)</f>
        <v>32.697783795805073</v>
      </c>
      <c r="N82" s="301">
        <f t="shared" ref="N82" si="129">SUM(N80:N81)</f>
        <v>5.1831683721432285</v>
      </c>
      <c r="O82" s="301">
        <f t="shared" si="121"/>
        <v>87.07399999999997</v>
      </c>
      <c r="P82" s="301"/>
      <c r="Q82" s="301">
        <f>SUM(Q80:Q81)</f>
        <v>50.521063267815009</v>
      </c>
      <c r="R82" s="301">
        <f t="shared" ref="R82" si="130">SUM(R80:R81)</f>
        <v>32.047048905530723</v>
      </c>
      <c r="S82" s="301">
        <f t="shared" ref="S82" si="131">SUM(S80:S81)</f>
        <v>5.3108878266542394</v>
      </c>
      <c r="T82" s="301">
        <f t="shared" si="122"/>
        <v>87.878999999999962</v>
      </c>
      <c r="U82" s="301"/>
      <c r="V82" s="301">
        <f>SUM(V80:V81)</f>
        <v>52.380986648061324</v>
      </c>
      <c r="W82" s="301">
        <f t="shared" ref="W82" si="132">SUM(W80:W81)</f>
        <v>30.909584606438564</v>
      </c>
      <c r="X82" s="301">
        <f t="shared" ref="X82" si="133">SUM(X80:X81)</f>
        <v>5.5524287455000882</v>
      </c>
      <c r="Y82" s="301">
        <f t="shared" si="123"/>
        <v>88.842999999999989</v>
      </c>
    </row>
    <row r="83" spans="1:25" ht="12.5" x14ac:dyDescent="0.25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ht="12.5" x14ac:dyDescent="0.25">
      <c r="C84" s="263"/>
    </row>
    <row r="85" spans="1:25" x14ac:dyDescent="0.3">
      <c r="A85" s="261"/>
    </row>
    <row r="86" spans="1:25" ht="14" x14ac:dyDescent="0.3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3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3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ht="12.5" x14ac:dyDescent="0.25">
      <c r="A89" s="260" t="s">
        <v>365</v>
      </c>
      <c r="B89" s="300">
        <v>4.1780921891526885</v>
      </c>
      <c r="C89" s="300">
        <v>2.4006496128216614</v>
      </c>
      <c r="D89" s="300">
        <v>0.25789950348202795</v>
      </c>
      <c r="E89" s="300">
        <f>SUM(B89:D89)</f>
        <v>6.8366413054563777</v>
      </c>
      <c r="F89" s="300"/>
      <c r="G89" s="300">
        <v>4.6533165031464243</v>
      </c>
      <c r="H89" s="300">
        <v>2.8140744085341041</v>
      </c>
      <c r="I89" s="300">
        <v>0.53457391620426908</v>
      </c>
      <c r="J89" s="300">
        <f>SUM(G89:I89)</f>
        <v>8.0019648278847981</v>
      </c>
      <c r="K89" s="300"/>
      <c r="L89" s="300">
        <v>4.2303370113515406</v>
      </c>
      <c r="M89" s="300">
        <v>2.8419969283701789</v>
      </c>
      <c r="N89" s="300">
        <v>0.14140002396130999</v>
      </c>
      <c r="O89" s="300">
        <f>SUM(L89:N89)</f>
        <v>7.2137339636830298</v>
      </c>
      <c r="P89" s="300"/>
      <c r="Q89" s="300">
        <v>4.7529939653367101</v>
      </c>
      <c r="R89" s="300">
        <v>3.2394617806667965</v>
      </c>
      <c r="S89" s="300">
        <v>0.14837501797091718</v>
      </c>
      <c r="T89" s="300">
        <f>SUM(Q89:S89)</f>
        <v>8.1408307639744244</v>
      </c>
      <c r="U89" s="300"/>
      <c r="V89" s="300">
        <v>5.1604116179157735</v>
      </c>
      <c r="W89" s="300">
        <v>3.6542100321486566</v>
      </c>
      <c r="X89" s="300">
        <v>0.15022902973320656</v>
      </c>
      <c r="Y89" s="300">
        <f>SUM(V89:X89)</f>
        <v>8.9648506797976371</v>
      </c>
    </row>
    <row r="90" spans="1:25" ht="12.5" x14ac:dyDescent="0.25">
      <c r="A90" s="260" t="s">
        <v>364</v>
      </c>
      <c r="B90" s="300">
        <v>20.159445103910624</v>
      </c>
      <c r="C90" s="300">
        <v>1.8301446505659114</v>
      </c>
      <c r="D90" s="300">
        <v>4.6307689400670879</v>
      </c>
      <c r="E90" s="300">
        <f t="shared" ref="E90:E91" si="134">SUM(B90:D90)</f>
        <v>26.620358694543626</v>
      </c>
      <c r="F90" s="300"/>
      <c r="G90" s="300">
        <v>17.952341515588333</v>
      </c>
      <c r="H90" s="300">
        <v>2.0731517392720038</v>
      </c>
      <c r="I90" s="300">
        <v>6.1455419172548842</v>
      </c>
      <c r="J90" s="300">
        <f t="shared" ref="J90:J91" si="135">SUM(G90:I90)</f>
        <v>26.171035172115221</v>
      </c>
      <c r="K90" s="300"/>
      <c r="L90" s="300">
        <v>17.726323308590445</v>
      </c>
      <c r="M90" s="300">
        <v>3.2812700992077142</v>
      </c>
      <c r="N90" s="300">
        <v>4.7266726285187763</v>
      </c>
      <c r="O90" s="300">
        <f t="shared" ref="O90:O91" si="136">SUM(L90:N90)</f>
        <v>25.734266036316935</v>
      </c>
      <c r="P90" s="300"/>
      <c r="Q90" s="300">
        <v>19.136275605299534</v>
      </c>
      <c r="R90" s="300">
        <v>3.5654588152986113</v>
      </c>
      <c r="S90" s="300">
        <v>5.1214348154274898</v>
      </c>
      <c r="T90" s="300">
        <f t="shared" ref="T90:T91" si="137">SUM(Q90:S90)</f>
        <v>27.823169236025635</v>
      </c>
      <c r="U90" s="300"/>
      <c r="V90" s="300">
        <v>19.5027504188721</v>
      </c>
      <c r="W90" s="300">
        <v>3.8273734344991279</v>
      </c>
      <c r="X90" s="300">
        <v>5.466025466831125</v>
      </c>
      <c r="Y90" s="300">
        <f t="shared" ref="Y90:Y91" si="138">SUM(V90:X90)</f>
        <v>28.796149320202353</v>
      </c>
    </row>
    <row r="91" spans="1:25" ht="12.5" x14ac:dyDescent="0.25">
      <c r="A91" s="264" t="s">
        <v>363</v>
      </c>
      <c r="B91" s="301">
        <f>SUM(B89:B90)</f>
        <v>24.337537293063313</v>
      </c>
      <c r="C91" s="301">
        <f t="shared" ref="C91" si="139">SUM(C89:C90)</f>
        <v>4.2307942633875726</v>
      </c>
      <c r="D91" s="301">
        <f t="shared" ref="D91" si="140">SUM(D89:D90)</f>
        <v>4.8886684435491157</v>
      </c>
      <c r="E91" s="301">
        <f t="shared" si="134"/>
        <v>33.457000000000001</v>
      </c>
      <c r="F91" s="301"/>
      <c r="G91" s="301">
        <f>SUM(G89:G90)</f>
        <v>22.605658018734758</v>
      </c>
      <c r="H91" s="301">
        <f t="shared" ref="H91" si="141">SUM(H89:H90)</f>
        <v>4.8872261478061079</v>
      </c>
      <c r="I91" s="301">
        <f t="shared" ref="I91" si="142">SUM(I89:I90)</f>
        <v>6.6801158334591531</v>
      </c>
      <c r="J91" s="301">
        <f t="shared" si="135"/>
        <v>34.173000000000016</v>
      </c>
      <c r="K91" s="301"/>
      <c r="L91" s="301">
        <f>SUM(L89:L90)</f>
        <v>21.956660319941985</v>
      </c>
      <c r="M91" s="301">
        <f t="shared" ref="M91" si="143">SUM(M89:M90)</f>
        <v>6.1232670275778931</v>
      </c>
      <c r="N91" s="301">
        <f t="shared" ref="N91" si="144">SUM(N89:N90)</f>
        <v>4.8680726524800866</v>
      </c>
      <c r="O91" s="301">
        <f t="shared" si="136"/>
        <v>32.947999999999965</v>
      </c>
      <c r="P91" s="301"/>
      <c r="Q91" s="301">
        <f>SUM(Q89:Q90)</f>
        <v>23.889269570636245</v>
      </c>
      <c r="R91" s="301">
        <f t="shared" ref="R91" si="145">SUM(R89:R90)</f>
        <v>6.8049205959654078</v>
      </c>
      <c r="S91" s="301">
        <f t="shared" ref="S91" si="146">SUM(S89:S90)</f>
        <v>5.2698098333984067</v>
      </c>
      <c r="T91" s="301">
        <f t="shared" si="137"/>
        <v>35.964000000000055</v>
      </c>
      <c r="U91" s="301"/>
      <c r="V91" s="301">
        <f>SUM(V89:V90)</f>
        <v>24.663162036787874</v>
      </c>
      <c r="W91" s="301">
        <f t="shared" ref="W91" si="147">SUM(W89:W90)</f>
        <v>7.4815834666477841</v>
      </c>
      <c r="X91" s="301">
        <f t="shared" ref="X91" si="148">SUM(X89:X90)</f>
        <v>5.6162544965643315</v>
      </c>
      <c r="Y91" s="301">
        <f t="shared" si="138"/>
        <v>37.760999999999989</v>
      </c>
    </row>
    <row r="92" spans="1:25" ht="12.5" x14ac:dyDescent="0.25">
      <c r="C92" s="263"/>
    </row>
    <row r="93" spans="1:25" ht="12.5" x14ac:dyDescent="0.25">
      <c r="C93" s="263"/>
    </row>
    <row r="94" spans="1:25" ht="12.5" x14ac:dyDescent="0.25">
      <c r="C94" s="263"/>
    </row>
    <row r="95" spans="1:25" ht="14" x14ac:dyDescent="0.3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3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3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5" x14ac:dyDescent="0.25">
      <c r="A98" s="260" t="s">
        <v>365</v>
      </c>
      <c r="B98" s="300">
        <v>3.5975677146769689</v>
      </c>
      <c r="C98" s="300">
        <v>7.3190523871376261</v>
      </c>
      <c r="D98" s="300">
        <v>0.71514000327557314</v>
      </c>
      <c r="E98" s="300">
        <f>SUM(B98:D98)</f>
        <v>11.631760105090168</v>
      </c>
      <c r="F98" s="300"/>
      <c r="G98" s="300">
        <v>3.7956749314647786</v>
      </c>
      <c r="H98" s="300">
        <v>8.5974454266296352</v>
      </c>
      <c r="I98" s="300">
        <v>0.44333201548203199</v>
      </c>
      <c r="J98" s="300">
        <f>SUM(G98:I98)</f>
        <v>12.836452373576446</v>
      </c>
      <c r="K98" s="300"/>
      <c r="L98" s="300">
        <v>4.4010937642990493</v>
      </c>
      <c r="M98" s="300">
        <v>8.3459116396222637</v>
      </c>
      <c r="N98" s="300">
        <v>0.78432530947312851</v>
      </c>
      <c r="O98" s="300">
        <f>SUM(L98:N98)</f>
        <v>13.531330713394443</v>
      </c>
      <c r="P98" s="300"/>
      <c r="Q98" s="300">
        <v>4.6710070978807998</v>
      </c>
      <c r="R98" s="300">
        <v>8.8211657930300049</v>
      </c>
      <c r="S98" s="300">
        <v>0.81050662893072056</v>
      </c>
      <c r="T98" s="300">
        <f>SUM(Q98:S98)</f>
        <v>14.302679519841526</v>
      </c>
      <c r="U98" s="300"/>
      <c r="V98" s="300">
        <v>5.2799039235694476</v>
      </c>
      <c r="W98" s="300">
        <v>9.7977085071013086</v>
      </c>
      <c r="X98" s="300">
        <v>0.90016359102937726</v>
      </c>
      <c r="Y98" s="300">
        <f>SUM(V98:X98)</f>
        <v>15.977776021700134</v>
      </c>
    </row>
    <row r="99" spans="1:25" ht="12.5" x14ac:dyDescent="0.25">
      <c r="A99" s="260" t="s">
        <v>364</v>
      </c>
      <c r="B99" s="300">
        <v>4.7199770340915945</v>
      </c>
      <c r="C99" s="300">
        <v>4.8470747478745242</v>
      </c>
      <c r="D99" s="300">
        <v>0.70718811294368022</v>
      </c>
      <c r="E99" s="300">
        <f t="shared" ref="E99:E100" si="149">SUM(B99:D99)</f>
        <v>10.274239894909797</v>
      </c>
      <c r="F99" s="300"/>
      <c r="G99" s="300">
        <v>5.2627057976159994</v>
      </c>
      <c r="H99" s="300">
        <v>5.1570860749447025</v>
      </c>
      <c r="I99" s="300">
        <v>0.71875575386284118</v>
      </c>
      <c r="J99" s="300">
        <f t="shared" ref="J99:J100" si="150">SUM(G99:I99)</f>
        <v>11.138547626423541</v>
      </c>
      <c r="K99" s="300"/>
      <c r="L99" s="300">
        <v>5.1700480775447515</v>
      </c>
      <c r="M99" s="300">
        <v>5.5002548305944421</v>
      </c>
      <c r="N99" s="300">
        <v>0.50036637846638032</v>
      </c>
      <c r="O99" s="300">
        <f t="shared" ref="O99:O100" si="151">SUM(L99:N99)</f>
        <v>11.170669286605573</v>
      </c>
      <c r="P99" s="300"/>
      <c r="Q99" s="300">
        <v>5.4899620917056184</v>
      </c>
      <c r="R99" s="300">
        <v>5.8559238041465189</v>
      </c>
      <c r="S99" s="300">
        <v>0.51843458430631784</v>
      </c>
      <c r="T99" s="300">
        <f t="shared" ref="T99:T100" si="152">SUM(Q99:S99)</f>
        <v>11.864320480158456</v>
      </c>
      <c r="U99" s="300"/>
      <c r="V99" s="300">
        <v>6.2486526236470228</v>
      </c>
      <c r="W99" s="300">
        <v>6.5489200190104775</v>
      </c>
      <c r="X99" s="300">
        <v>0.57665133564238524</v>
      </c>
      <c r="Y99" s="300">
        <f t="shared" ref="Y99:Y100" si="153">SUM(V99:X99)</f>
        <v>13.374223978299884</v>
      </c>
    </row>
    <row r="100" spans="1:25" ht="12.5" x14ac:dyDescent="0.25">
      <c r="A100" s="264" t="s">
        <v>363</v>
      </c>
      <c r="B100" s="301">
        <f>SUM(B98:B99)</f>
        <v>8.3175447487685634</v>
      </c>
      <c r="C100" s="301">
        <f t="shared" ref="C100" si="154">SUM(C98:C99)</f>
        <v>12.16612713501215</v>
      </c>
      <c r="D100" s="301">
        <f t="shared" ref="D100" si="155">SUM(D98:D99)</f>
        <v>1.4223281162192534</v>
      </c>
      <c r="E100" s="301">
        <f t="shared" si="149"/>
        <v>21.90599999999997</v>
      </c>
      <c r="F100" s="301"/>
      <c r="G100" s="301">
        <f>SUM(G98:G99)</f>
        <v>9.0583807290807776</v>
      </c>
      <c r="H100" s="301">
        <f t="shared" ref="H100" si="156">SUM(H98:H99)</f>
        <v>13.754531501574338</v>
      </c>
      <c r="I100" s="301">
        <f t="shared" ref="I100" si="157">SUM(I98:I99)</f>
        <v>1.1620877693448732</v>
      </c>
      <c r="J100" s="301">
        <f t="shared" si="150"/>
        <v>23.974999999999987</v>
      </c>
      <c r="K100" s="301"/>
      <c r="L100" s="301">
        <f>SUM(L98:L99)</f>
        <v>9.5711418418438008</v>
      </c>
      <c r="M100" s="301">
        <f t="shared" ref="M100" si="158">SUM(M98:M99)</f>
        <v>13.846166470216705</v>
      </c>
      <c r="N100" s="301">
        <f t="shared" ref="N100" si="159">SUM(N98:N99)</f>
        <v>1.2846916879395089</v>
      </c>
      <c r="O100" s="301">
        <f t="shared" si="151"/>
        <v>24.702000000000016</v>
      </c>
      <c r="P100" s="301"/>
      <c r="Q100" s="301">
        <f>SUM(Q98:Q99)</f>
        <v>10.160969189586417</v>
      </c>
      <c r="R100" s="301">
        <f t="shared" ref="R100" si="160">SUM(R98:R99)</f>
        <v>14.677089597176524</v>
      </c>
      <c r="S100" s="301">
        <f t="shared" ref="S100" si="161">SUM(S98:S99)</f>
        <v>1.3289412132370384</v>
      </c>
      <c r="T100" s="301">
        <f t="shared" si="152"/>
        <v>26.16699999999998</v>
      </c>
      <c r="U100" s="301"/>
      <c r="V100" s="301">
        <f>SUM(V98:V99)</f>
        <v>11.528556547216471</v>
      </c>
      <c r="W100" s="301">
        <f t="shared" ref="W100" si="162">SUM(W98:W99)</f>
        <v>16.346628526111786</v>
      </c>
      <c r="X100" s="301">
        <f t="shared" ref="X100" si="163">SUM(X98:X99)</f>
        <v>1.4768149266717625</v>
      </c>
      <c r="Y100" s="301">
        <f t="shared" si="153"/>
        <v>29.352000000000018</v>
      </c>
    </row>
    <row r="101" spans="1:25" ht="12.5" x14ac:dyDescent="0.25">
      <c r="C101" s="263"/>
    </row>
    <row r="102" spans="1:25" ht="12.5" x14ac:dyDescent="0.25">
      <c r="C102" s="263"/>
    </row>
    <row r="103" spans="1:25" ht="12.5" x14ac:dyDescent="0.25">
      <c r="C103" s="263"/>
    </row>
    <row r="104" spans="1:25" ht="14" x14ac:dyDescent="0.3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3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3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ht="12.5" x14ac:dyDescent="0.25">
      <c r="A107" s="260" t="s">
        <v>365</v>
      </c>
      <c r="B107" s="300">
        <v>0.27209709220086581</v>
      </c>
      <c r="C107" s="300">
        <v>0.25907944660842774</v>
      </c>
      <c r="D107" s="300">
        <v>0.13413834810879652</v>
      </c>
      <c r="E107" s="300">
        <f>SUM(B107:D107)</f>
        <v>0.66531488691809004</v>
      </c>
      <c r="F107" s="300"/>
      <c r="G107" s="300">
        <v>0.20312040845900114</v>
      </c>
      <c r="H107" s="300">
        <v>0.23945415809166479</v>
      </c>
      <c r="I107" s="300">
        <v>0.22738759917976176</v>
      </c>
      <c r="J107" s="300">
        <f>SUM(G107:I107)</f>
        <v>0.66996216573042777</v>
      </c>
      <c r="K107" s="300"/>
      <c r="L107" s="300">
        <v>0.21410952915744799</v>
      </c>
      <c r="M107" s="300">
        <v>0.29369239414942688</v>
      </c>
      <c r="N107" s="300">
        <v>0.28973960283849154</v>
      </c>
      <c r="O107" s="300">
        <f>SUM(L107:N107)</f>
        <v>0.79754152614536644</v>
      </c>
      <c r="P107" s="300"/>
      <c r="Q107" s="300">
        <v>0.20931775166463032</v>
      </c>
      <c r="R107" s="300">
        <v>0.29140832009132656</v>
      </c>
      <c r="S107" s="300">
        <v>0.28045411240975904</v>
      </c>
      <c r="T107" s="300">
        <f>SUM(Q107:S107)</f>
        <v>0.78118018416571589</v>
      </c>
      <c r="U107" s="300"/>
      <c r="V107" s="300">
        <v>0.21304914342399142</v>
      </c>
      <c r="W107" s="300">
        <v>0.29495060646928833</v>
      </c>
      <c r="X107" s="300">
        <v>0.27098586969673188</v>
      </c>
      <c r="Y107" s="300">
        <f>SUM(V107:X107)</f>
        <v>0.77898561959001167</v>
      </c>
    </row>
    <row r="108" spans="1:25" ht="12.5" x14ac:dyDescent="0.25">
      <c r="A108" s="260" t="s">
        <v>364</v>
      </c>
      <c r="B108" s="300">
        <v>0.44939176538255593</v>
      </c>
      <c r="C108" s="300">
        <v>0.10230171485339823</v>
      </c>
      <c r="D108" s="300">
        <v>0.49099163284595365</v>
      </c>
      <c r="E108" s="300">
        <f t="shared" ref="E108:E109" si="164">SUM(B108:D108)</f>
        <v>1.0426851130819077</v>
      </c>
      <c r="F108" s="300"/>
      <c r="G108" s="300">
        <v>0.3447013664410698</v>
      </c>
      <c r="H108" s="300">
        <v>0.21974544519222169</v>
      </c>
      <c r="I108" s="300">
        <v>0.59059102263627916</v>
      </c>
      <c r="J108" s="300">
        <f t="shared" ref="J108:J109" si="165">SUM(G108:I108)</f>
        <v>1.1550378342695706</v>
      </c>
      <c r="K108" s="300"/>
      <c r="L108" s="300">
        <v>0.34929499188088309</v>
      </c>
      <c r="M108" s="300">
        <v>0.20383227175824442</v>
      </c>
      <c r="N108" s="300">
        <v>0.7593312102155082</v>
      </c>
      <c r="O108" s="300">
        <f t="shared" ref="O108:O109" si="166">SUM(L108:N108)</f>
        <v>1.3124584738546359</v>
      </c>
      <c r="P108" s="300"/>
      <c r="Q108" s="300">
        <v>0.33997637344638088</v>
      </c>
      <c r="R108" s="300">
        <v>0.20892181644198957</v>
      </c>
      <c r="S108" s="300">
        <v>0.74792162594591549</v>
      </c>
      <c r="T108" s="300">
        <f t="shared" ref="T108:T109" si="167">SUM(Q108:S108)</f>
        <v>1.2968198158342861</v>
      </c>
      <c r="U108" s="300"/>
      <c r="V108" s="300">
        <v>0.33958822058013172</v>
      </c>
      <c r="W108" s="300">
        <v>0.22503151181201289</v>
      </c>
      <c r="X108" s="300">
        <v>0.76239464801784262</v>
      </c>
      <c r="Y108" s="300">
        <f t="shared" ref="Y108:Y109" si="168">SUM(V108:X108)</f>
        <v>1.3270143804099872</v>
      </c>
    </row>
    <row r="109" spans="1:25" ht="12.5" x14ac:dyDescent="0.25">
      <c r="A109" s="264" t="s">
        <v>363</v>
      </c>
      <c r="B109" s="301">
        <f>SUM(B107:B108)</f>
        <v>0.72148885758342174</v>
      </c>
      <c r="C109" s="301">
        <f t="shared" ref="C109" si="169">SUM(C107:C108)</f>
        <v>0.36138116146182597</v>
      </c>
      <c r="D109" s="301">
        <f t="shared" ref="D109" si="170">SUM(D107:D108)</f>
        <v>0.62512998095475014</v>
      </c>
      <c r="E109" s="301">
        <f t="shared" si="164"/>
        <v>1.707999999999998</v>
      </c>
      <c r="F109" s="301"/>
      <c r="G109" s="301">
        <f>SUM(G107:G108)</f>
        <v>0.54782177490007089</v>
      </c>
      <c r="H109" s="301">
        <f t="shared" ref="H109" si="171">SUM(H107:H108)</f>
        <v>0.45919960328388648</v>
      </c>
      <c r="I109" s="301">
        <f t="shared" ref="I109" si="172">SUM(I107:I108)</f>
        <v>0.81797862181604097</v>
      </c>
      <c r="J109" s="301">
        <f t="shared" si="165"/>
        <v>1.8249999999999984</v>
      </c>
      <c r="K109" s="301"/>
      <c r="L109" s="301">
        <f>SUM(L107:L108)</f>
        <v>0.56340452103833105</v>
      </c>
      <c r="M109" s="301">
        <f t="shared" ref="M109" si="173">SUM(M107:M108)</f>
        <v>0.4975246659076713</v>
      </c>
      <c r="N109" s="301">
        <f t="shared" ref="N109" si="174">SUM(N107:N108)</f>
        <v>1.0490708130539996</v>
      </c>
      <c r="O109" s="301">
        <f t="shared" si="166"/>
        <v>2.1100000000000021</v>
      </c>
      <c r="P109" s="301"/>
      <c r="Q109" s="301">
        <f>SUM(Q107:Q108)</f>
        <v>0.54929412511101117</v>
      </c>
      <c r="R109" s="301">
        <f t="shared" ref="R109" si="175">SUM(R107:R108)</f>
        <v>0.50033013653331615</v>
      </c>
      <c r="S109" s="301">
        <f t="shared" ref="S109" si="176">SUM(S107:S108)</f>
        <v>1.0283757383556744</v>
      </c>
      <c r="T109" s="301">
        <f t="shared" si="167"/>
        <v>2.0780000000000016</v>
      </c>
      <c r="U109" s="301"/>
      <c r="V109" s="301">
        <f>SUM(V107:V108)</f>
        <v>0.55263736400412311</v>
      </c>
      <c r="W109" s="301">
        <f t="shared" ref="W109" si="177">SUM(W107:W108)</f>
        <v>0.51998211828130125</v>
      </c>
      <c r="X109" s="301">
        <f t="shared" ref="X109" si="178">SUM(X107:X108)</f>
        <v>1.0333805177145745</v>
      </c>
      <c r="Y109" s="301">
        <f t="shared" si="168"/>
        <v>2.105999999999999</v>
      </c>
    </row>
    <row r="110" spans="1:25" ht="12.5" x14ac:dyDescent="0.25">
      <c r="C110" s="263"/>
    </row>
    <row r="111" spans="1:25" ht="12.5" x14ac:dyDescent="0.25">
      <c r="C111" s="263"/>
    </row>
    <row r="112" spans="1:25" x14ac:dyDescent="0.3">
      <c r="A112" s="262"/>
    </row>
    <row r="113" spans="1:25" ht="14" x14ac:dyDescent="0.3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3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3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ht="12.5" x14ac:dyDescent="0.25">
      <c r="A116" s="260" t="s">
        <v>365</v>
      </c>
      <c r="B116" s="300">
        <v>1.2688373215038586</v>
      </c>
      <c r="C116" s="300">
        <v>0.61488912994586042</v>
      </c>
      <c r="D116" s="300">
        <v>0.10659207331073375</v>
      </c>
      <c r="E116" s="300">
        <f>SUM(B116:D116)</f>
        <v>1.9903185247604529</v>
      </c>
      <c r="F116" s="300"/>
      <c r="G116" s="300">
        <v>1.2490764873089708</v>
      </c>
      <c r="H116" s="300">
        <v>0.37292181943643099</v>
      </c>
      <c r="I116" s="300">
        <v>4.1042068806399171E-2</v>
      </c>
      <c r="J116" s="300">
        <f>SUM(G116:I116)</f>
        <v>1.6630403755518011</v>
      </c>
      <c r="K116" s="300"/>
      <c r="L116" s="300">
        <v>1.5035442654869027</v>
      </c>
      <c r="M116" s="300">
        <v>0.3188809085103948</v>
      </c>
      <c r="N116" s="300">
        <v>0.14856621896845162</v>
      </c>
      <c r="O116" s="300">
        <f>SUM(L116:N116)</f>
        <v>1.970991392965749</v>
      </c>
      <c r="P116" s="300"/>
      <c r="Q116" s="300">
        <v>1.5940175848434208</v>
      </c>
      <c r="R116" s="300">
        <v>0.32575085481220267</v>
      </c>
      <c r="S116" s="300">
        <v>0.15631510158511672</v>
      </c>
      <c r="T116" s="300">
        <f>SUM(Q116:S116)</f>
        <v>2.0760835412407399</v>
      </c>
      <c r="U116" s="300"/>
      <c r="V116" s="300">
        <v>1.7086609281126073</v>
      </c>
      <c r="W116" s="300">
        <v>0.32340469061452159</v>
      </c>
      <c r="X116" s="300">
        <v>0.16133358283249652</v>
      </c>
      <c r="Y116" s="300">
        <f>SUM(V116:X116)</f>
        <v>2.1933992015596253</v>
      </c>
    </row>
    <row r="117" spans="1:25" ht="12.5" x14ac:dyDescent="0.25">
      <c r="A117" s="260" t="s">
        <v>364</v>
      </c>
      <c r="B117" s="300">
        <v>3.8673763559078274</v>
      </c>
      <c r="C117" s="300">
        <v>0.1084973933885683</v>
      </c>
      <c r="D117" s="300">
        <v>0.57180772594315388</v>
      </c>
      <c r="E117" s="300">
        <f t="shared" ref="E117:E118" si="179">SUM(B117:D117)</f>
        <v>4.5476814752395498</v>
      </c>
      <c r="F117" s="300"/>
      <c r="G117" s="300">
        <v>4.0522399446167299</v>
      </c>
      <c r="H117" s="300">
        <v>0.19743498806741236</v>
      </c>
      <c r="I117" s="300">
        <v>0.4812846917640678</v>
      </c>
      <c r="J117" s="300">
        <f t="shared" ref="J117:J118" si="180">SUM(G117:I117)</f>
        <v>4.7309596244482099</v>
      </c>
      <c r="K117" s="300"/>
      <c r="L117" s="300">
        <v>3.7542693200460611</v>
      </c>
      <c r="M117" s="300">
        <v>0.19940931017218422</v>
      </c>
      <c r="N117" s="300">
        <v>0.94832997681598896</v>
      </c>
      <c r="O117" s="300">
        <f t="shared" ref="O117:O118" si="181">SUM(L117:N117)</f>
        <v>4.9020086070342339</v>
      </c>
      <c r="P117" s="300"/>
      <c r="Q117" s="300">
        <v>3.8608697374158565</v>
      </c>
      <c r="R117" s="300">
        <v>0.20804256273588556</v>
      </c>
      <c r="S117" s="300">
        <v>1.0050041586075211</v>
      </c>
      <c r="T117" s="300">
        <f t="shared" ref="T117:T118" si="182">SUM(Q117:S117)</f>
        <v>5.0739164587592631</v>
      </c>
      <c r="U117" s="300"/>
      <c r="V117" s="300">
        <v>3.9251999750680917</v>
      </c>
      <c r="W117" s="300">
        <v>0.21554166666374064</v>
      </c>
      <c r="X117" s="300">
        <v>1.0558591567085434</v>
      </c>
      <c r="Y117" s="300">
        <f t="shared" ref="Y117:Y118" si="183">SUM(V117:X117)</f>
        <v>5.1966007984403753</v>
      </c>
    </row>
    <row r="118" spans="1:25" ht="12.5" x14ac:dyDescent="0.25">
      <c r="A118" s="264" t="s">
        <v>363</v>
      </c>
      <c r="B118" s="301">
        <f>SUM(B116:B117)</f>
        <v>5.1362136774116856</v>
      </c>
      <c r="C118" s="301">
        <f t="shared" ref="C118" si="184">SUM(C116:C117)</f>
        <v>0.72338652333442877</v>
      </c>
      <c r="D118" s="301">
        <f t="shared" ref="D118" si="185">SUM(D116:D117)</f>
        <v>0.6783997992538876</v>
      </c>
      <c r="E118" s="301">
        <f t="shared" si="179"/>
        <v>6.538000000000002</v>
      </c>
      <c r="F118" s="301"/>
      <c r="G118" s="301">
        <f>SUM(G116:G117)</f>
        <v>5.3013164319257005</v>
      </c>
      <c r="H118" s="301">
        <f t="shared" ref="H118" si="186">SUM(H116:H117)</f>
        <v>0.57035680750384332</v>
      </c>
      <c r="I118" s="301">
        <f t="shared" ref="I118" si="187">SUM(I116:I117)</f>
        <v>0.52232676057046701</v>
      </c>
      <c r="J118" s="301">
        <f t="shared" si="180"/>
        <v>6.3940000000000108</v>
      </c>
      <c r="K118" s="301"/>
      <c r="L118" s="301">
        <f>SUM(L116:L117)</f>
        <v>5.257813585532964</v>
      </c>
      <c r="M118" s="301">
        <f t="shared" ref="M118" si="188">SUM(M116:M117)</f>
        <v>0.51829021868257907</v>
      </c>
      <c r="N118" s="301">
        <f t="shared" ref="N118" si="189">SUM(N116:N117)</f>
        <v>1.0968961957844405</v>
      </c>
      <c r="O118" s="301">
        <f t="shared" si="181"/>
        <v>6.8729999999999833</v>
      </c>
      <c r="P118" s="301"/>
      <c r="Q118" s="301">
        <f>SUM(Q116:Q117)</f>
        <v>5.4548873222592773</v>
      </c>
      <c r="R118" s="301">
        <f t="shared" ref="R118" si="190">SUM(R116:R117)</f>
        <v>0.53379341754808829</v>
      </c>
      <c r="S118" s="301">
        <f t="shared" ref="S118" si="191">SUM(S116:S117)</f>
        <v>1.1613192601926379</v>
      </c>
      <c r="T118" s="301">
        <f t="shared" si="182"/>
        <v>7.1500000000000039</v>
      </c>
      <c r="U118" s="301"/>
      <c r="V118" s="301">
        <f>SUM(V116:V117)</f>
        <v>5.6338609031806985</v>
      </c>
      <c r="W118" s="301">
        <f t="shared" ref="W118" si="192">SUM(W116:W117)</f>
        <v>0.53894635727826223</v>
      </c>
      <c r="X118" s="301">
        <f t="shared" ref="X118" si="193">SUM(X116:X117)</f>
        <v>1.2171927395410398</v>
      </c>
      <c r="Y118" s="301">
        <f t="shared" si="183"/>
        <v>7.3900000000000006</v>
      </c>
    </row>
    <row r="119" spans="1:25" x14ac:dyDescent="0.3">
      <c r="A119" s="262"/>
    </row>
    <row r="120" spans="1:25" x14ac:dyDescent="0.3">
      <c r="A120" s="261"/>
    </row>
    <row r="121" spans="1:25" ht="12.5" x14ac:dyDescent="0.25">
      <c r="C121" s="263"/>
    </row>
    <row r="122" spans="1:25" ht="14" x14ac:dyDescent="0.3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3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3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ht="12.5" x14ac:dyDescent="0.25">
      <c r="A125" s="260" t="s">
        <v>365</v>
      </c>
      <c r="B125" s="300">
        <v>3.3315549106231059</v>
      </c>
      <c r="C125" s="300">
        <v>1.2706948595045731</v>
      </c>
      <c r="D125" s="300">
        <v>0.51591239010255641</v>
      </c>
      <c r="E125" s="300">
        <f>SUM(B125:D125)</f>
        <v>5.1181621602302361</v>
      </c>
      <c r="F125" s="300"/>
      <c r="G125" s="300">
        <v>3.5896396059547104</v>
      </c>
      <c r="H125" s="300">
        <v>1.2997123739963889</v>
      </c>
      <c r="I125" s="300">
        <v>0.11399431410335277</v>
      </c>
      <c r="J125" s="300">
        <f>SUM(G125:I125)</f>
        <v>5.0033462940544524</v>
      </c>
      <c r="K125" s="300"/>
      <c r="L125" s="300">
        <v>3.4175384789248189</v>
      </c>
      <c r="M125" s="300">
        <v>1.5304397394029174</v>
      </c>
      <c r="N125" s="300">
        <v>0.14121448803011422</v>
      </c>
      <c r="O125" s="300">
        <f>SUM(L125:N125)</f>
        <v>5.0891927063578501</v>
      </c>
      <c r="P125" s="300"/>
      <c r="Q125" s="300">
        <v>3.4007523196025091</v>
      </c>
      <c r="R125" s="300">
        <v>1.5067561441762201</v>
      </c>
      <c r="S125" s="300">
        <v>0.14689946879692459</v>
      </c>
      <c r="T125" s="300">
        <f>SUM(Q125:S125)</f>
        <v>5.0544079325756535</v>
      </c>
      <c r="U125" s="300"/>
      <c r="V125" s="300">
        <v>3.2514925153159999</v>
      </c>
      <c r="W125" s="300">
        <v>1.4273978076206042</v>
      </c>
      <c r="X125" s="300">
        <v>0.14294716525096307</v>
      </c>
      <c r="Y125" s="300">
        <f>SUM(V125:X125)</f>
        <v>4.8218374881875672</v>
      </c>
    </row>
    <row r="126" spans="1:25" ht="12.5" x14ac:dyDescent="0.25">
      <c r="A126" s="260" t="s">
        <v>364</v>
      </c>
      <c r="B126" s="300">
        <v>4.1290609160132679</v>
      </c>
      <c r="C126" s="300">
        <v>0.15738704672211837</v>
      </c>
      <c r="D126" s="300">
        <v>0.81438987703441201</v>
      </c>
      <c r="E126" s="300">
        <f t="shared" ref="E126:E127" si="194">SUM(B126:D126)</f>
        <v>5.1008378397697989</v>
      </c>
      <c r="F126" s="300"/>
      <c r="G126" s="300">
        <v>4.3223336301208537</v>
      </c>
      <c r="H126" s="300">
        <v>0.11355133101610934</v>
      </c>
      <c r="I126" s="300">
        <v>0.84476874480859987</v>
      </c>
      <c r="J126" s="300">
        <f t="shared" ref="J126:J127" si="195">SUM(G126:I126)</f>
        <v>5.2806537059455625</v>
      </c>
      <c r="K126" s="300"/>
      <c r="L126" s="300">
        <v>4.271479493029017</v>
      </c>
      <c r="M126" s="300">
        <v>0.33477445120701649</v>
      </c>
      <c r="N126" s="300">
        <v>0.74555334940612727</v>
      </c>
      <c r="O126" s="300">
        <f t="shared" ref="O126:O127" si="196">SUM(L126:N126)</f>
        <v>5.3518072936421603</v>
      </c>
      <c r="P126" s="300"/>
      <c r="Q126" s="300">
        <v>4.268673475435012</v>
      </c>
      <c r="R126" s="300">
        <v>0.34829390182275249</v>
      </c>
      <c r="S126" s="300">
        <v>0.78262469016659142</v>
      </c>
      <c r="T126" s="300">
        <f t="shared" ref="T126:T127" si="197">SUM(Q126:S126)</f>
        <v>5.399592067424356</v>
      </c>
      <c r="U126" s="300"/>
      <c r="V126" s="300">
        <v>4.0945104608720948</v>
      </c>
      <c r="W126" s="300">
        <v>0.35684945190231632</v>
      </c>
      <c r="X126" s="300">
        <v>0.78080259903801785</v>
      </c>
      <c r="Y126" s="300">
        <f t="shared" ref="Y126:Y127" si="198">SUM(V126:X126)</f>
        <v>5.2321625118124286</v>
      </c>
    </row>
    <row r="127" spans="1:25" ht="12.5" x14ac:dyDescent="0.25">
      <c r="A127" s="264" t="s">
        <v>363</v>
      </c>
      <c r="B127" s="301">
        <f>SUM(B125:B126)</f>
        <v>7.4606158266363742</v>
      </c>
      <c r="C127" s="301">
        <f t="shared" ref="C127" si="199">SUM(C125:C126)</f>
        <v>1.4280819062266914</v>
      </c>
      <c r="D127" s="301">
        <f t="shared" ref="D127" si="200">SUM(D125:D126)</f>
        <v>1.3303022671369684</v>
      </c>
      <c r="E127" s="301">
        <f t="shared" si="194"/>
        <v>10.219000000000033</v>
      </c>
      <c r="F127" s="301"/>
      <c r="G127" s="301">
        <f>SUM(G125:G126)</f>
        <v>7.9119732360755641</v>
      </c>
      <c r="H127" s="301">
        <f t="shared" ref="H127" si="201">SUM(H125:H126)</f>
        <v>1.4132637050124983</v>
      </c>
      <c r="I127" s="301">
        <f t="shared" ref="I127" si="202">SUM(I125:I126)</f>
        <v>0.95876305891195268</v>
      </c>
      <c r="J127" s="301">
        <f t="shared" si="195"/>
        <v>10.284000000000015</v>
      </c>
      <c r="K127" s="301"/>
      <c r="L127" s="301">
        <f>SUM(L125:L126)</f>
        <v>7.6890179719538363</v>
      </c>
      <c r="M127" s="301">
        <f t="shared" ref="M127" si="203">SUM(M125:M126)</f>
        <v>1.865214190609934</v>
      </c>
      <c r="N127" s="301">
        <f t="shared" ref="N127" si="204">SUM(N125:N126)</f>
        <v>0.88676783743624155</v>
      </c>
      <c r="O127" s="301">
        <f t="shared" si="196"/>
        <v>10.441000000000013</v>
      </c>
      <c r="P127" s="301"/>
      <c r="Q127" s="301">
        <f>SUM(Q125:Q126)</f>
        <v>7.6694257950375206</v>
      </c>
      <c r="R127" s="301">
        <f t="shared" ref="R127" si="205">SUM(R125:R126)</f>
        <v>1.8550500459989725</v>
      </c>
      <c r="S127" s="301">
        <f t="shared" ref="S127" si="206">SUM(S125:S126)</f>
        <v>0.92952415896351603</v>
      </c>
      <c r="T127" s="301">
        <f t="shared" si="197"/>
        <v>10.45400000000001</v>
      </c>
      <c r="U127" s="301"/>
      <c r="V127" s="301">
        <f>SUM(V125:V126)</f>
        <v>7.3460029761880943</v>
      </c>
      <c r="W127" s="301">
        <f t="shared" ref="W127" si="207">SUM(W125:W126)</f>
        <v>1.7842472595229206</v>
      </c>
      <c r="X127" s="301">
        <f t="shared" ref="X127" si="208">SUM(X125:X126)</f>
        <v>0.92374976428898092</v>
      </c>
      <c r="Y127" s="301">
        <f t="shared" si="198"/>
        <v>10.053999999999997</v>
      </c>
    </row>
    <row r="131" spans="1:25" ht="14" x14ac:dyDescent="0.3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3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3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ht="12.5" x14ac:dyDescent="0.25">
      <c r="A134" s="260" t="s">
        <v>365</v>
      </c>
      <c r="B134" s="300">
        <v>2.6052823629935622</v>
      </c>
      <c r="C134" s="300">
        <v>1.6416895402965048</v>
      </c>
      <c r="D134" s="300">
        <v>0.33383223018922564</v>
      </c>
      <c r="E134" s="300">
        <f>SUM(B134:D134)</f>
        <v>4.580804133479293</v>
      </c>
      <c r="F134" s="300"/>
      <c r="G134" s="300">
        <v>3.2802163142025247</v>
      </c>
      <c r="H134" s="300">
        <v>1.9585218692349293</v>
      </c>
      <c r="I134" s="300">
        <v>0.86249241959399925</v>
      </c>
      <c r="J134" s="300">
        <f>SUM(G134:I134)</f>
        <v>6.1012306030314534</v>
      </c>
      <c r="K134" s="300"/>
      <c r="L134" s="300">
        <v>2.8005649650687894</v>
      </c>
      <c r="M134" s="300">
        <v>2.0747909904600923</v>
      </c>
      <c r="N134" s="300">
        <v>0.37265663419322242</v>
      </c>
      <c r="O134" s="300">
        <f>SUM(L134:N134)</f>
        <v>5.2480125897221042</v>
      </c>
      <c r="P134" s="300"/>
      <c r="Q134" s="300">
        <v>2.9048393310048888</v>
      </c>
      <c r="R134" s="300">
        <v>1.987532223466578</v>
      </c>
      <c r="S134" s="300">
        <v>0.37837662285522528</v>
      </c>
      <c r="T134" s="300">
        <f>SUM(Q134:S134)</f>
        <v>5.2707481773266922</v>
      </c>
      <c r="U134" s="300"/>
      <c r="V134" s="300">
        <v>3.350465669476705</v>
      </c>
      <c r="W134" s="300">
        <v>1.9597724109049375</v>
      </c>
      <c r="X134" s="300">
        <v>0.41051521760796811</v>
      </c>
      <c r="Y134" s="300">
        <f>SUM(V134:X134)</f>
        <v>5.720753297989611</v>
      </c>
    </row>
    <row r="135" spans="1:25" ht="12.5" x14ac:dyDescent="0.25">
      <c r="A135" s="260" t="s">
        <v>364</v>
      </c>
      <c r="B135" s="300">
        <v>2.1304407897538731</v>
      </c>
      <c r="C135" s="300">
        <v>0.29627610428144024</v>
      </c>
      <c r="D135" s="300">
        <v>0.71547897248539405</v>
      </c>
      <c r="E135" s="300">
        <f t="shared" ref="E135:E136" si="209">SUM(B135:D135)</f>
        <v>3.1421958665207073</v>
      </c>
      <c r="F135" s="300"/>
      <c r="G135" s="300">
        <v>3.0709009294929723</v>
      </c>
      <c r="H135" s="300">
        <v>0.74743960443812318</v>
      </c>
      <c r="I135" s="300">
        <v>0.26542886303744884</v>
      </c>
      <c r="J135" s="300">
        <f t="shared" ref="J135:J136" si="210">SUM(G135:I135)</f>
        <v>4.0837693969685445</v>
      </c>
      <c r="K135" s="300"/>
      <c r="L135" s="300">
        <v>3.1939695092269895</v>
      </c>
      <c r="M135" s="300">
        <v>1.0629778695863481</v>
      </c>
      <c r="N135" s="300">
        <v>0.73504003146456265</v>
      </c>
      <c r="O135" s="300">
        <f t="shared" ref="O135:O136" si="211">SUM(L135:N135)</f>
        <v>4.9919874102779005</v>
      </c>
      <c r="P135" s="300"/>
      <c r="Q135" s="300">
        <v>3.1964083590117021</v>
      </c>
      <c r="R135" s="300">
        <v>1.0666081328766366</v>
      </c>
      <c r="S135" s="300">
        <v>0.77423533078495932</v>
      </c>
      <c r="T135" s="300">
        <f t="shared" ref="T135:T136" si="212">SUM(Q135:S135)</f>
        <v>5.0372518226732979</v>
      </c>
      <c r="U135" s="300"/>
      <c r="V135" s="300">
        <v>3.4419074478292329</v>
      </c>
      <c r="W135" s="300">
        <v>1.1694819777880161</v>
      </c>
      <c r="X135" s="300">
        <v>0.90585727639313507</v>
      </c>
      <c r="Y135" s="300">
        <f t="shared" ref="Y135:Y136" si="213">SUM(V135:X135)</f>
        <v>5.5172467020103841</v>
      </c>
    </row>
    <row r="136" spans="1:25" ht="12.5" x14ac:dyDescent="0.25">
      <c r="A136" s="264" t="s">
        <v>363</v>
      </c>
      <c r="B136" s="301">
        <f>SUM(B134:B135)</f>
        <v>4.7357231527474353</v>
      </c>
      <c r="C136" s="301">
        <f t="shared" ref="C136" si="214">SUM(C134:C135)</f>
        <v>1.937965644577945</v>
      </c>
      <c r="D136" s="301">
        <f t="shared" ref="D136" si="215">SUM(D134:D135)</f>
        <v>1.0493112026746196</v>
      </c>
      <c r="E136" s="301">
        <f t="shared" si="209"/>
        <v>7.7229999999999999</v>
      </c>
      <c r="F136" s="301"/>
      <c r="G136" s="301">
        <f>SUM(G134:G135)</f>
        <v>6.351117243695497</v>
      </c>
      <c r="H136" s="301">
        <f t="shared" ref="H136" si="216">SUM(H134:H135)</f>
        <v>2.7059614736730526</v>
      </c>
      <c r="I136" s="301">
        <f t="shared" ref="I136" si="217">SUM(I134:I135)</f>
        <v>1.1279212826314482</v>
      </c>
      <c r="J136" s="301">
        <f t="shared" si="210"/>
        <v>10.184999999999997</v>
      </c>
      <c r="K136" s="301"/>
      <c r="L136" s="301">
        <f>SUM(L134:L135)</f>
        <v>5.9945344742957793</v>
      </c>
      <c r="M136" s="301">
        <f t="shared" ref="M136" si="218">SUM(M134:M135)</f>
        <v>3.1377688600464406</v>
      </c>
      <c r="N136" s="301">
        <f t="shared" ref="N136" si="219">SUM(N134:N135)</f>
        <v>1.1076966656577851</v>
      </c>
      <c r="O136" s="301">
        <f t="shared" si="211"/>
        <v>10.240000000000006</v>
      </c>
      <c r="P136" s="301"/>
      <c r="Q136" s="301">
        <f>SUM(Q134:Q135)</f>
        <v>6.1012476900165904</v>
      </c>
      <c r="R136" s="301">
        <f t="shared" ref="R136" si="220">SUM(R134:R135)</f>
        <v>3.0541403563432148</v>
      </c>
      <c r="S136" s="301">
        <f t="shared" ref="S136" si="221">SUM(S134:S135)</f>
        <v>1.1526119536401846</v>
      </c>
      <c r="T136" s="301">
        <f t="shared" si="212"/>
        <v>10.307999999999989</v>
      </c>
      <c r="U136" s="301"/>
      <c r="V136" s="301">
        <f>SUM(V134:V135)</f>
        <v>6.7923731173059378</v>
      </c>
      <c r="W136" s="301">
        <f t="shared" ref="W136" si="222">SUM(W134:W135)</f>
        <v>3.1292543886929538</v>
      </c>
      <c r="X136" s="301">
        <f t="shared" ref="X136" si="223">SUM(X134:X135)</f>
        <v>1.3163724940011032</v>
      </c>
      <c r="Y136" s="301">
        <f t="shared" si="213"/>
        <v>11.237999999999994</v>
      </c>
    </row>
    <row r="137" spans="1:25" ht="12.5" x14ac:dyDescent="0.25">
      <c r="C137" s="263"/>
    </row>
    <row r="138" spans="1:25" x14ac:dyDescent="0.3">
      <c r="A138" s="261"/>
    </row>
    <row r="139" spans="1:25" ht="12.5" x14ac:dyDescent="0.25">
      <c r="C139" s="263"/>
    </row>
    <row r="140" spans="1:25" ht="14" x14ac:dyDescent="0.3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3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5" x14ac:dyDescent="0.25">
      <c r="A143" s="260" t="s">
        <v>365</v>
      </c>
      <c r="B143" s="300">
        <v>6.2890337458827288</v>
      </c>
      <c r="C143" s="300">
        <v>4.1285515243502431</v>
      </c>
      <c r="D143" s="300">
        <v>2.409429554500083</v>
      </c>
      <c r="E143" s="300">
        <f>SUM(B143:D143)</f>
        <v>12.827014824733055</v>
      </c>
      <c r="F143" s="300"/>
      <c r="G143" s="300">
        <v>5.6407056361021075</v>
      </c>
      <c r="H143" s="300">
        <v>3.491975676684878</v>
      </c>
      <c r="I143" s="300">
        <v>2.0633875375836617</v>
      </c>
      <c r="J143" s="300">
        <f>SUM(G143:I143)</f>
        <v>11.196068850370647</v>
      </c>
      <c r="K143" s="300"/>
      <c r="L143" s="300">
        <v>4.9721707152387866</v>
      </c>
      <c r="M143" s="300">
        <v>3.5674229943910998</v>
      </c>
      <c r="N143" s="300">
        <v>1.1207554018322079</v>
      </c>
      <c r="O143" s="300">
        <f>SUM(L143:N143)</f>
        <v>9.6603491114620947</v>
      </c>
      <c r="P143" s="300"/>
      <c r="Q143" s="300">
        <v>5.1718270385374625</v>
      </c>
      <c r="R143" s="300">
        <v>3.736135494198519</v>
      </c>
      <c r="S143" s="300">
        <v>1.1863012775462602</v>
      </c>
      <c r="T143" s="300">
        <f>SUM(Q143:S143)</f>
        <v>10.094263810282241</v>
      </c>
      <c r="U143" s="300"/>
      <c r="V143" s="300">
        <v>5.4801240971920562</v>
      </c>
      <c r="W143" s="300">
        <v>3.9825863694815387</v>
      </c>
      <c r="X143" s="300">
        <v>1.3034273205468279</v>
      </c>
      <c r="Y143" s="300">
        <f>SUM(V143:X143)</f>
        <v>10.766137787220423</v>
      </c>
    </row>
    <row r="144" spans="1:25" ht="12.5" x14ac:dyDescent="0.25">
      <c r="A144" s="260" t="s">
        <v>364</v>
      </c>
      <c r="B144" s="300">
        <v>11.136859745108355</v>
      </c>
      <c r="C144" s="300">
        <v>1.6641268592125327</v>
      </c>
      <c r="D144" s="300">
        <v>2.9639985709460452</v>
      </c>
      <c r="E144" s="300">
        <f t="shared" ref="E144:E145" si="224">SUM(B144:D144)</f>
        <v>15.764985175266933</v>
      </c>
      <c r="F144" s="300"/>
      <c r="G144" s="300">
        <v>9.0544025108925901</v>
      </c>
      <c r="H144" s="300">
        <v>1.0227194978269685</v>
      </c>
      <c r="I144" s="300">
        <v>3.5208091409097935</v>
      </c>
      <c r="J144" s="300">
        <f t="shared" ref="J144:J145" si="225">SUM(G144:I144)</f>
        <v>13.597931149629353</v>
      </c>
      <c r="K144" s="300"/>
      <c r="L144" s="300">
        <v>9.3728990940113697</v>
      </c>
      <c r="M144" s="300">
        <v>1.4432434329243191</v>
      </c>
      <c r="N144" s="300">
        <v>4.252508361602235</v>
      </c>
      <c r="O144" s="300">
        <f t="shared" ref="O144:O145" si="226">SUM(L144:N144)</f>
        <v>15.068650888537924</v>
      </c>
      <c r="P144" s="300"/>
      <c r="Q144" s="300">
        <v>9.5411629236454871</v>
      </c>
      <c r="R144" s="300">
        <v>1.5299465641762298</v>
      </c>
      <c r="S144" s="300">
        <v>4.3906267018960587</v>
      </c>
      <c r="T144" s="300">
        <f t="shared" ref="T144:T145" si="227">SUM(Q144:S144)</f>
        <v>15.461736189717776</v>
      </c>
      <c r="U144" s="300"/>
      <c r="V144" s="300">
        <v>9.8154093056838523</v>
      </c>
      <c r="W144" s="300">
        <v>1.6792727369210581</v>
      </c>
      <c r="X144" s="300">
        <v>4.6321801701746752</v>
      </c>
      <c r="Y144" s="300">
        <f t="shared" ref="Y144:Y145" si="228">SUM(V144:X144)</f>
        <v>16.126862212779585</v>
      </c>
    </row>
    <row r="145" spans="1:25" ht="12.5" x14ac:dyDescent="0.25">
      <c r="A145" s="264" t="s">
        <v>363</v>
      </c>
      <c r="B145" s="301">
        <f>SUM(B143:B144)</f>
        <v>17.425893490991083</v>
      </c>
      <c r="C145" s="301">
        <f t="shared" ref="C145" si="229">SUM(C143:C144)</f>
        <v>5.7926783835627758</v>
      </c>
      <c r="D145" s="301">
        <f t="shared" ref="D145" si="230">SUM(D143:D144)</f>
        <v>5.3734281254461287</v>
      </c>
      <c r="E145" s="301">
        <f t="shared" si="224"/>
        <v>28.591999999999988</v>
      </c>
      <c r="F145" s="301"/>
      <c r="G145" s="301">
        <f>SUM(G143:G144)</f>
        <v>14.695108146994698</v>
      </c>
      <c r="H145" s="301">
        <f t="shared" ref="H145" si="231">SUM(H143:H144)</f>
        <v>4.5146951745118464</v>
      </c>
      <c r="I145" s="301">
        <f t="shared" ref="I145" si="232">SUM(I143:I144)</f>
        <v>5.5841966784934556</v>
      </c>
      <c r="J145" s="301">
        <f t="shared" si="225"/>
        <v>24.794</v>
      </c>
      <c r="K145" s="301"/>
      <c r="L145" s="301">
        <f>SUM(L143:L144)</f>
        <v>14.345069809250155</v>
      </c>
      <c r="M145" s="301">
        <f t="shared" ref="M145" si="233">SUM(M143:M144)</f>
        <v>5.0106664273154191</v>
      </c>
      <c r="N145" s="301">
        <f t="shared" ref="N145" si="234">SUM(N143:N144)</f>
        <v>5.3732637634344425</v>
      </c>
      <c r="O145" s="301">
        <f t="shared" si="226"/>
        <v>24.729000000000021</v>
      </c>
      <c r="P145" s="301"/>
      <c r="Q145" s="301">
        <f>SUM(Q143:Q144)</f>
        <v>14.712989962182949</v>
      </c>
      <c r="R145" s="301">
        <f t="shared" ref="R145" si="235">SUM(R143:R144)</f>
        <v>5.2660820583747485</v>
      </c>
      <c r="S145" s="301">
        <f t="shared" ref="S145" si="236">SUM(S143:S144)</f>
        <v>5.5769279794423188</v>
      </c>
      <c r="T145" s="301">
        <f t="shared" si="227"/>
        <v>25.556000000000019</v>
      </c>
      <c r="U145" s="301"/>
      <c r="V145" s="301">
        <f>SUM(V143:V144)</f>
        <v>15.295533402875908</v>
      </c>
      <c r="W145" s="301">
        <f t="shared" ref="W145" si="237">SUM(W143:W144)</f>
        <v>5.6618591064025967</v>
      </c>
      <c r="X145" s="301">
        <f t="shared" ref="X145" si="238">SUM(X143:X144)</f>
        <v>5.9356074907215035</v>
      </c>
      <c r="Y145" s="301">
        <f t="shared" si="228"/>
        <v>26.893000000000008</v>
      </c>
    </row>
    <row r="146" spans="1:25" ht="12.5" x14ac:dyDescent="0.25">
      <c r="C146" s="263"/>
    </row>
    <row r="147" spans="1:25" x14ac:dyDescent="0.3">
      <c r="A147" s="261"/>
    </row>
    <row r="148" spans="1:25" ht="12.5" x14ac:dyDescent="0.25">
      <c r="C148" s="263"/>
    </row>
    <row r="149" spans="1:25" ht="14" x14ac:dyDescent="0.3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3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3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ht="12.5" x14ac:dyDescent="0.25">
      <c r="A152" s="260" t="s">
        <v>365</v>
      </c>
      <c r="B152" s="300">
        <v>6.9352684578446464</v>
      </c>
      <c r="C152" s="300">
        <v>7.751934685718914</v>
      </c>
      <c r="D152" s="300">
        <v>1.459950744176248</v>
      </c>
      <c r="E152" s="300">
        <f>SUM(B152:D152)</f>
        <v>16.147153887739808</v>
      </c>
      <c r="F152" s="300"/>
      <c r="G152" s="300">
        <v>7.0444766632208351</v>
      </c>
      <c r="H152" s="300">
        <v>6.062908793043075</v>
      </c>
      <c r="I152" s="300">
        <v>1.7952394035554506</v>
      </c>
      <c r="J152" s="300">
        <f>SUM(G152:I152)</f>
        <v>14.90262485981936</v>
      </c>
      <c r="K152" s="300"/>
      <c r="L152" s="300">
        <v>6.4415799888398961</v>
      </c>
      <c r="M152" s="300">
        <v>6.0683825109232981</v>
      </c>
      <c r="N152" s="300">
        <v>1.4309449981890798</v>
      </c>
      <c r="O152" s="300">
        <f>SUM(L152:N152)</f>
        <v>13.940907497952274</v>
      </c>
      <c r="P152" s="300"/>
      <c r="Q152" s="300">
        <v>6.9122255603934075</v>
      </c>
      <c r="R152" s="300">
        <v>6.2763559647391247</v>
      </c>
      <c r="S152" s="300">
        <v>1.4831704279661673</v>
      </c>
      <c r="T152" s="300">
        <f>SUM(Q152:S152)</f>
        <v>14.671751953098699</v>
      </c>
      <c r="U152" s="300"/>
      <c r="V152" s="300">
        <v>7.4669569878093514</v>
      </c>
      <c r="W152" s="300">
        <v>6.4054109067690499</v>
      </c>
      <c r="X152" s="300">
        <v>1.5813358175831564</v>
      </c>
      <c r="Y152" s="300">
        <f>SUM(V152:X152)</f>
        <v>15.453703712161557</v>
      </c>
    </row>
    <row r="153" spans="1:25" ht="12.5" x14ac:dyDescent="0.25">
      <c r="A153" s="260" t="s">
        <v>364</v>
      </c>
      <c r="B153" s="300">
        <v>15.121479569344231</v>
      </c>
      <c r="C153" s="300">
        <v>6.3144559652943864</v>
      </c>
      <c r="D153" s="300">
        <v>2.657910577621593</v>
      </c>
      <c r="E153" s="300">
        <f t="shared" ref="E153:E154" si="239">SUM(B153:D153)</f>
        <v>24.093846112260209</v>
      </c>
      <c r="F153" s="300"/>
      <c r="G153" s="300">
        <v>13.010271503667118</v>
      </c>
      <c r="H153" s="300">
        <v>4.5691788827158746</v>
      </c>
      <c r="I153" s="300">
        <v>1.8119247537976373</v>
      </c>
      <c r="J153" s="300">
        <f t="shared" ref="J153:J154" si="240">SUM(G153:I153)</f>
        <v>19.391375140180632</v>
      </c>
      <c r="K153" s="300"/>
      <c r="L153" s="300">
        <v>12.581782399297323</v>
      </c>
      <c r="M153" s="300">
        <v>4.432351799548794</v>
      </c>
      <c r="N153" s="300">
        <v>1.2129583032015416</v>
      </c>
      <c r="O153" s="300">
        <f t="shared" ref="O153:O154" si="241">SUM(L153:N153)</f>
        <v>18.227092502047658</v>
      </c>
      <c r="P153" s="300"/>
      <c r="Q153" s="300">
        <v>13.262122824835618</v>
      </c>
      <c r="R153" s="300">
        <v>4.6625184058600428</v>
      </c>
      <c r="S153" s="300">
        <v>1.258606816205639</v>
      </c>
      <c r="T153" s="300">
        <f t="shared" ref="T153:T154" si="242">SUM(Q153:S153)</f>
        <v>19.183248046901301</v>
      </c>
      <c r="U153" s="300"/>
      <c r="V153" s="300">
        <v>14.013786057499376</v>
      </c>
      <c r="W153" s="300">
        <v>4.8816561977557633</v>
      </c>
      <c r="X153" s="300">
        <v>1.3338540325832751</v>
      </c>
      <c r="Y153" s="300">
        <f t="shared" ref="Y153:Y154" si="243">SUM(V153:X153)</f>
        <v>20.229296287838416</v>
      </c>
    </row>
    <row r="154" spans="1:25" ht="12.5" x14ac:dyDescent="0.25">
      <c r="A154" s="264" t="s">
        <v>363</v>
      </c>
      <c r="B154" s="301">
        <f>SUM(B152:B153)</f>
        <v>22.056748027188878</v>
      </c>
      <c r="C154" s="301">
        <f t="shared" ref="C154" si="244">SUM(C152:C153)</f>
        <v>14.0663906510133</v>
      </c>
      <c r="D154" s="301">
        <f t="shared" ref="D154" si="245">SUM(D152:D153)</f>
        <v>4.1178613217978413</v>
      </c>
      <c r="E154" s="301">
        <f t="shared" si="239"/>
        <v>40.241000000000021</v>
      </c>
      <c r="F154" s="301"/>
      <c r="G154" s="301">
        <f>SUM(G152:G153)</f>
        <v>20.054748166887954</v>
      </c>
      <c r="H154" s="301">
        <f t="shared" ref="H154" si="246">SUM(H152:H153)</f>
        <v>10.63208767575895</v>
      </c>
      <c r="I154" s="301">
        <f t="shared" ref="I154" si="247">SUM(I152:I153)</f>
        <v>3.6071641573530879</v>
      </c>
      <c r="J154" s="301">
        <f t="shared" si="240"/>
        <v>34.29399999999999</v>
      </c>
      <c r="K154" s="301"/>
      <c r="L154" s="301">
        <f>SUM(L152:L153)</f>
        <v>19.023362388137219</v>
      </c>
      <c r="M154" s="301">
        <f t="shared" ref="M154" si="248">SUM(M152:M153)</f>
        <v>10.500734310472092</v>
      </c>
      <c r="N154" s="301">
        <f t="shared" ref="N154" si="249">SUM(N152:N153)</f>
        <v>2.6439033013906217</v>
      </c>
      <c r="O154" s="301">
        <f t="shared" si="241"/>
        <v>32.167999999999935</v>
      </c>
      <c r="P154" s="301"/>
      <c r="Q154" s="301">
        <f>SUM(Q152:Q153)</f>
        <v>20.174348385229024</v>
      </c>
      <c r="R154" s="301">
        <f t="shared" ref="R154" si="250">SUM(R152:R153)</f>
        <v>10.938874370599168</v>
      </c>
      <c r="S154" s="301">
        <f t="shared" ref="S154" si="251">SUM(S152:S153)</f>
        <v>2.7417772441718062</v>
      </c>
      <c r="T154" s="301">
        <f t="shared" si="242"/>
        <v>33.854999999999997</v>
      </c>
      <c r="U154" s="301"/>
      <c r="V154" s="301">
        <f>SUM(V152:V153)</f>
        <v>21.480743045308728</v>
      </c>
      <c r="W154" s="301">
        <f t="shared" ref="W154" si="252">SUM(W152:W153)</f>
        <v>11.287067104524812</v>
      </c>
      <c r="X154" s="301">
        <f t="shared" ref="X154" si="253">SUM(X152:X153)</f>
        <v>2.9151898501664313</v>
      </c>
      <c r="Y154" s="301">
        <f t="shared" si="243"/>
        <v>35.682999999999964</v>
      </c>
    </row>
    <row r="155" spans="1:25" ht="12.5" x14ac:dyDescent="0.25">
      <c r="C155" s="263"/>
    </row>
    <row r="156" spans="1:25" x14ac:dyDescent="0.3">
      <c r="A156" s="261"/>
    </row>
    <row r="157" spans="1:25" ht="12.5" x14ac:dyDescent="0.25">
      <c r="C157" s="263"/>
    </row>
    <row r="158" spans="1:25" ht="14" x14ac:dyDescent="0.3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3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3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ht="12.5" x14ac:dyDescent="0.25">
      <c r="A161" s="260" t="s">
        <v>365</v>
      </c>
      <c r="B161" s="300">
        <v>4.4265813443400663</v>
      </c>
      <c r="C161" s="300">
        <v>4.4732739001469506</v>
      </c>
      <c r="D161" s="300">
        <v>0.46787846728438298</v>
      </c>
      <c r="E161" s="300">
        <f>SUM(B161:D161)</f>
        <v>9.3677337117714004</v>
      </c>
      <c r="F161" s="300"/>
      <c r="G161" s="300">
        <v>4.5152475228659847</v>
      </c>
      <c r="H161" s="300">
        <v>4.0412053651285884</v>
      </c>
      <c r="I161" s="300">
        <v>0.74338062956209172</v>
      </c>
      <c r="J161" s="300">
        <f>SUM(G161:I161)</f>
        <v>9.2998335175566655</v>
      </c>
      <c r="K161" s="300"/>
      <c r="L161" s="300">
        <v>4.7324412094097159</v>
      </c>
      <c r="M161" s="300">
        <v>4.133414377815062</v>
      </c>
      <c r="N161" s="300">
        <v>0.27721953695850915</v>
      </c>
      <c r="O161" s="300">
        <f>SUM(L161:N161)</f>
        <v>9.1430751241832873</v>
      </c>
      <c r="P161" s="300"/>
      <c r="Q161" s="300">
        <v>4.8356524541852703</v>
      </c>
      <c r="R161" s="300">
        <v>4.2321079553595533</v>
      </c>
      <c r="S161" s="300">
        <v>0.28361039782956099</v>
      </c>
      <c r="T161" s="300">
        <f>SUM(Q161:S161)</f>
        <v>9.3513708073743853</v>
      </c>
      <c r="U161" s="300"/>
      <c r="V161" s="300">
        <v>5.087027870440072</v>
      </c>
      <c r="W161" s="300">
        <v>4.4540460561602062</v>
      </c>
      <c r="X161" s="300">
        <v>0.30093618853194509</v>
      </c>
      <c r="Y161" s="300">
        <f>SUM(V161:X161)</f>
        <v>9.8420101151322239</v>
      </c>
    </row>
    <row r="162" spans="1:25" ht="12.5" x14ac:dyDescent="0.25">
      <c r="A162" s="260" t="s">
        <v>364</v>
      </c>
      <c r="B162" s="300">
        <v>5.1241109534276621</v>
      </c>
      <c r="C162" s="300">
        <v>0.81680209005092319</v>
      </c>
      <c r="D162" s="300">
        <v>0.69435324475000071</v>
      </c>
      <c r="E162" s="300">
        <f t="shared" ref="E162:E163" si="254">SUM(B162:D162)</f>
        <v>6.6352662882285856</v>
      </c>
      <c r="F162" s="300"/>
      <c r="G162" s="300">
        <v>5.1773914141178583</v>
      </c>
      <c r="H162" s="300">
        <v>0.74660430964909574</v>
      </c>
      <c r="I162" s="300">
        <v>0.23017075867638206</v>
      </c>
      <c r="J162" s="300">
        <f t="shared" ref="J162:J163" si="255">SUM(G162:I162)</f>
        <v>6.154166482443336</v>
      </c>
      <c r="K162" s="300"/>
      <c r="L162" s="300">
        <v>5.3783174965932981</v>
      </c>
      <c r="M162" s="300">
        <v>0.75960737922339294</v>
      </c>
      <c r="N162" s="300">
        <v>0</v>
      </c>
      <c r="O162" s="300">
        <f t="shared" ref="O162:O163" si="256">SUM(L162:N162)</f>
        <v>6.1379248758166911</v>
      </c>
      <c r="P162" s="300"/>
      <c r="Q162" s="300">
        <v>5.3846320888381705</v>
      </c>
      <c r="R162" s="300">
        <v>0.8179971037874475</v>
      </c>
      <c r="S162" s="300">
        <v>0</v>
      </c>
      <c r="T162" s="300">
        <f t="shared" ref="T162:T163" si="257">SUM(Q162:S162)</f>
        <v>6.2026291926256176</v>
      </c>
      <c r="U162" s="300"/>
      <c r="V162" s="300">
        <v>5.4336758850789835</v>
      </c>
      <c r="W162" s="300">
        <v>0.94931399978880981</v>
      </c>
      <c r="X162" s="300">
        <v>0</v>
      </c>
      <c r="Y162" s="300">
        <f t="shared" ref="Y162:Y163" si="258">SUM(V162:X162)</f>
        <v>6.3829898848677935</v>
      </c>
    </row>
    <row r="163" spans="1:25" ht="12.5" x14ac:dyDescent="0.25">
      <c r="A163" s="264" t="s">
        <v>363</v>
      </c>
      <c r="B163" s="301">
        <f>SUM(B161:B162)</f>
        <v>9.5506922977677284</v>
      </c>
      <c r="C163" s="301">
        <f t="shared" ref="C163" si="259">SUM(C161:C162)</f>
        <v>5.2900759901978738</v>
      </c>
      <c r="D163" s="301">
        <f t="shared" ref="D163" si="260">SUM(D161:D162)</f>
        <v>1.1622317120343837</v>
      </c>
      <c r="E163" s="301">
        <f t="shared" si="254"/>
        <v>16.002999999999986</v>
      </c>
      <c r="F163" s="301"/>
      <c r="G163" s="301">
        <f>SUM(G161:G162)</f>
        <v>9.6926389369838439</v>
      </c>
      <c r="H163" s="301">
        <f t="shared" ref="H163" si="261">SUM(H161:H162)</f>
        <v>4.7878096747776837</v>
      </c>
      <c r="I163" s="301">
        <f t="shared" ref="I163" si="262">SUM(I161:I162)</f>
        <v>0.97355138823847376</v>
      </c>
      <c r="J163" s="301">
        <f t="shared" si="255"/>
        <v>15.454000000000001</v>
      </c>
      <c r="K163" s="301"/>
      <c r="L163" s="301">
        <f>SUM(L161:L162)</f>
        <v>10.110758706003015</v>
      </c>
      <c r="M163" s="301">
        <f t="shared" ref="M163" si="263">SUM(M161:M162)</f>
        <v>4.8930217570384551</v>
      </c>
      <c r="N163" s="301">
        <f t="shared" ref="N163" si="264">SUM(N161:N162)</f>
        <v>0.27721953695850915</v>
      </c>
      <c r="O163" s="301">
        <f t="shared" si="256"/>
        <v>15.280999999999977</v>
      </c>
      <c r="P163" s="301"/>
      <c r="Q163" s="301">
        <f>SUM(Q161:Q162)</f>
        <v>10.220284543023441</v>
      </c>
      <c r="R163" s="301">
        <f t="shared" ref="R163" si="265">SUM(R161:R162)</f>
        <v>5.0501050591470005</v>
      </c>
      <c r="S163" s="301">
        <f t="shared" ref="S163" si="266">SUM(S161:S162)</f>
        <v>0.28361039782956099</v>
      </c>
      <c r="T163" s="301">
        <f t="shared" si="257"/>
        <v>15.554000000000002</v>
      </c>
      <c r="U163" s="301"/>
      <c r="V163" s="301">
        <f>SUM(V161:V162)</f>
        <v>10.520703755519055</v>
      </c>
      <c r="W163" s="301">
        <f t="shared" ref="W163" si="267">SUM(W161:W162)</f>
        <v>5.4033600559490162</v>
      </c>
      <c r="X163" s="301">
        <f t="shared" ref="X163" si="268">SUM(X161:X162)</f>
        <v>0.30093618853194509</v>
      </c>
      <c r="Y163" s="301">
        <f t="shared" si="258"/>
        <v>16.225000000000016</v>
      </c>
    </row>
    <row r="167" spans="1:25" ht="14" x14ac:dyDescent="0.3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3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3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ht="12.5" x14ac:dyDescent="0.25">
      <c r="A170" s="260" t="s">
        <v>365</v>
      </c>
      <c r="B170" s="300">
        <v>13.335318942186378</v>
      </c>
      <c r="C170" s="300">
        <v>17.449516651222556</v>
      </c>
      <c r="D170" s="300">
        <v>1.4233099034796186</v>
      </c>
      <c r="E170" s="300">
        <f>SUM(B170:D170)</f>
        <v>32.208145496888555</v>
      </c>
      <c r="F170" s="300"/>
      <c r="G170" s="300">
        <v>13.914945097508911</v>
      </c>
      <c r="H170" s="300">
        <v>16.361991655363049</v>
      </c>
      <c r="I170" s="300">
        <v>1.5858604407666652</v>
      </c>
      <c r="J170" s="300">
        <f>SUM(G170:I170)</f>
        <v>31.862797193638627</v>
      </c>
      <c r="K170" s="300"/>
      <c r="L170" s="300">
        <v>14.084943498690027</v>
      </c>
      <c r="M170" s="300">
        <v>16.52492069691613</v>
      </c>
      <c r="N170" s="300">
        <v>1.7573062026298587</v>
      </c>
      <c r="O170" s="300">
        <f>SUM(L170:N170)</f>
        <v>32.367170398236013</v>
      </c>
      <c r="P170" s="300"/>
      <c r="Q170" s="300">
        <v>14.811084439934213</v>
      </c>
      <c r="R170" s="300">
        <v>16.633172836547335</v>
      </c>
      <c r="S170" s="300">
        <v>1.8278889168387558</v>
      </c>
      <c r="T170" s="300">
        <f>SUM(Q170:S170)</f>
        <v>33.272146193320303</v>
      </c>
      <c r="U170" s="300"/>
      <c r="V170" s="300">
        <v>16.519711342405419</v>
      </c>
      <c r="W170" s="300">
        <v>16.958949990609078</v>
      </c>
      <c r="X170" s="300">
        <v>1.9510872311058476</v>
      </c>
      <c r="Y170" s="300">
        <f>SUM(V170:X170)</f>
        <v>35.429748564120345</v>
      </c>
    </row>
    <row r="171" spans="1:25" ht="12.5" x14ac:dyDescent="0.25">
      <c r="A171" s="260" t="s">
        <v>364</v>
      </c>
      <c r="B171" s="300">
        <v>8.3681863497217481</v>
      </c>
      <c r="C171" s="300">
        <v>2.7970448280110407</v>
      </c>
      <c r="D171" s="300">
        <v>1.4366233253787435</v>
      </c>
      <c r="E171" s="300">
        <f t="shared" ref="E171" si="269">SUM(B171:D171)</f>
        <v>12.601854503111532</v>
      </c>
      <c r="F171" s="300"/>
      <c r="G171" s="300">
        <v>8.4488457690811583</v>
      </c>
      <c r="H171" s="300">
        <v>2.7810647838755598</v>
      </c>
      <c r="I171" s="300">
        <v>1.3122922534047472</v>
      </c>
      <c r="J171" s="300">
        <f t="shared" ref="J171:J172" si="270">SUM(G171:I171)</f>
        <v>12.542202806361464</v>
      </c>
      <c r="K171" s="300"/>
      <c r="L171" s="300">
        <v>8.7368096280927414</v>
      </c>
      <c r="M171" s="300">
        <v>2.5570220676501796</v>
      </c>
      <c r="N171" s="300">
        <v>1.4019979060210681</v>
      </c>
      <c r="O171" s="300">
        <f t="shared" ref="O171:O172" si="271">SUM(L171:N171)</f>
        <v>12.695829601763988</v>
      </c>
      <c r="P171" s="300"/>
      <c r="Q171" s="300">
        <v>8.8700829291883636</v>
      </c>
      <c r="R171" s="300">
        <v>2.6657015481868869</v>
      </c>
      <c r="S171" s="300">
        <v>1.4700693293044289</v>
      </c>
      <c r="T171" s="300">
        <f t="shared" ref="T171:T172" si="272">SUM(Q171:S171)</f>
        <v>13.00585380667968</v>
      </c>
      <c r="U171" s="300"/>
      <c r="V171" s="300">
        <v>9.216058325753691</v>
      </c>
      <c r="W171" s="300">
        <v>2.9029517261729789</v>
      </c>
      <c r="X171" s="300">
        <v>1.615241383952879</v>
      </c>
      <c r="Y171" s="300">
        <f t="shared" ref="Y171:Y172" si="273">SUM(V171:X171)</f>
        <v>13.73425143587955</v>
      </c>
    </row>
    <row r="172" spans="1:25" ht="12.5" x14ac:dyDescent="0.25">
      <c r="A172" s="264" t="s">
        <v>363</v>
      </c>
      <c r="B172" s="301">
        <f>SUM(B170:B171)</f>
        <v>21.703505291908126</v>
      </c>
      <c r="C172" s="301">
        <f t="shared" ref="C172" si="274">SUM(C170:C171)</f>
        <v>20.246561479233598</v>
      </c>
      <c r="D172" s="301">
        <f t="shared" ref="D172" si="275">SUM(D170:D171)</f>
        <v>2.8599332288583623</v>
      </c>
      <c r="E172" s="301">
        <f>SUM(B172:D172)</f>
        <v>44.81000000000008</v>
      </c>
      <c r="F172" s="301"/>
      <c r="G172" s="301">
        <f>SUM(G170:G171)</f>
        <v>22.363790866590069</v>
      </c>
      <c r="H172" s="301">
        <f t="shared" ref="H172" si="276">SUM(H170:H171)</f>
        <v>19.14305643923861</v>
      </c>
      <c r="I172" s="301">
        <f t="shared" ref="I172" si="277">SUM(I170:I171)</f>
        <v>2.8981526941714124</v>
      </c>
      <c r="J172" s="301">
        <f t="shared" si="270"/>
        <v>44.405000000000094</v>
      </c>
      <c r="K172" s="301"/>
      <c r="L172" s="301">
        <f>SUM(L170:L171)</f>
        <v>22.821753126782767</v>
      </c>
      <c r="M172" s="301">
        <f t="shared" ref="M172" si="278">SUM(M170:M171)</f>
        <v>19.08194276456631</v>
      </c>
      <c r="N172" s="301">
        <f t="shared" ref="N172" si="279">SUM(N170:N171)</f>
        <v>3.159304108650927</v>
      </c>
      <c r="O172" s="301">
        <f t="shared" si="271"/>
        <v>45.063000000000002</v>
      </c>
      <c r="P172" s="301"/>
      <c r="Q172" s="301">
        <f>SUM(Q170:Q171)</f>
        <v>23.681167369122576</v>
      </c>
      <c r="R172" s="301">
        <f t="shared" ref="R172" si="280">SUM(R170:R171)</f>
        <v>19.298874384734223</v>
      </c>
      <c r="S172" s="301">
        <f t="shared" ref="S172" si="281">SUM(S170:S171)</f>
        <v>3.2979582461431844</v>
      </c>
      <c r="T172" s="301">
        <f t="shared" si="272"/>
        <v>46.277999999999977</v>
      </c>
      <c r="U172" s="301"/>
      <c r="V172" s="301">
        <f>SUM(V170:V171)</f>
        <v>25.735769668159108</v>
      </c>
      <c r="W172" s="301">
        <f t="shared" ref="W172" si="282">SUM(W170:W171)</f>
        <v>19.861901716782057</v>
      </c>
      <c r="X172" s="301">
        <f t="shared" ref="X172" si="283">SUM(X170:X171)</f>
        <v>3.5663286150587266</v>
      </c>
      <c r="Y172" s="301">
        <f t="shared" si="273"/>
        <v>49.163999999999895</v>
      </c>
    </row>
    <row r="176" spans="1:25" ht="14" x14ac:dyDescent="0.3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3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3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ht="12.5" x14ac:dyDescent="0.25">
      <c r="A179" s="260" t="s">
        <v>365</v>
      </c>
      <c r="B179" s="300">
        <v>23.251604993116352</v>
      </c>
      <c r="C179" s="300">
        <v>21.856362712129318</v>
      </c>
      <c r="D179" s="300">
        <v>3.0182524827200243</v>
      </c>
      <c r="E179" s="300">
        <f>SUM(B179:D179)</f>
        <v>48.126220187965693</v>
      </c>
      <c r="F179" s="300"/>
      <c r="G179" s="300">
        <v>28.449227888703607</v>
      </c>
      <c r="H179" s="300">
        <v>26.056347728169957</v>
      </c>
      <c r="I179" s="300">
        <v>3.318332507770906</v>
      </c>
      <c r="J179" s="300">
        <f>SUM(G179:I179)</f>
        <v>57.823908124644468</v>
      </c>
      <c r="K179" s="300"/>
      <c r="L179" s="300">
        <v>28.946679698172797</v>
      </c>
      <c r="M179" s="300">
        <v>25.353827852879729</v>
      </c>
      <c r="N179" s="300">
        <v>2.3276041055291445</v>
      </c>
      <c r="O179" s="300">
        <f>SUM(L179:N179)</f>
        <v>56.628111656581673</v>
      </c>
      <c r="P179" s="300"/>
      <c r="Q179" s="300">
        <v>31.67445014121526</v>
      </c>
      <c r="R179" s="300">
        <v>26.152575250761711</v>
      </c>
      <c r="S179" s="300">
        <v>2.6225915257408015</v>
      </c>
      <c r="T179" s="300">
        <f>SUM(Q179:S179)</f>
        <v>60.449616917717776</v>
      </c>
      <c r="U179" s="300"/>
      <c r="V179" s="300">
        <v>35.473221874252978</v>
      </c>
      <c r="W179" s="300">
        <v>25.785268196875119</v>
      </c>
      <c r="X179" s="300">
        <v>3.0157054248500792</v>
      </c>
      <c r="Y179" s="300">
        <f>SUM(V179:X179)</f>
        <v>64.274195495978176</v>
      </c>
    </row>
    <row r="180" spans="1:25" ht="12.5" x14ac:dyDescent="0.25">
      <c r="A180" s="260" t="s">
        <v>364</v>
      </c>
      <c r="B180" s="300">
        <v>9.3772259195502379</v>
      </c>
      <c r="C180" s="300">
        <v>2.3328900105314281</v>
      </c>
      <c r="D180" s="300">
        <v>1.0306638819527516</v>
      </c>
      <c r="E180" s="300">
        <f t="shared" ref="E180:E181" si="284">SUM(B180:D180)</f>
        <v>12.740779812034418</v>
      </c>
      <c r="F180" s="300"/>
      <c r="G180" s="300">
        <v>9.8602492956187273</v>
      </c>
      <c r="H180" s="300">
        <v>2.9537662786107854</v>
      </c>
      <c r="I180" s="300">
        <v>2.1920763011260318</v>
      </c>
      <c r="J180" s="300">
        <f t="shared" ref="J180:J181" si="285">SUM(G180:I180)</f>
        <v>15.006091875355544</v>
      </c>
      <c r="K180" s="300"/>
      <c r="L180" s="300">
        <v>9.6901075714771512</v>
      </c>
      <c r="M180" s="300">
        <v>2.9097972017956137</v>
      </c>
      <c r="N180" s="300">
        <v>2.5419835701456863</v>
      </c>
      <c r="O180" s="300">
        <f t="shared" ref="O180:O181" si="286">SUM(L180:N180)</f>
        <v>15.141888343418451</v>
      </c>
      <c r="P180" s="300"/>
      <c r="Q180" s="300">
        <v>10.320154540028442</v>
      </c>
      <c r="R180" s="300">
        <v>3.1742103354625546</v>
      </c>
      <c r="S180" s="300">
        <v>2.5710182067911505</v>
      </c>
      <c r="T180" s="300">
        <f t="shared" ref="T180:T181" si="287">SUM(Q180:S180)</f>
        <v>16.065383082282146</v>
      </c>
      <c r="U180" s="300"/>
      <c r="V180" s="300">
        <v>10.972786289781739</v>
      </c>
      <c r="W180" s="300">
        <v>3.503586564250579</v>
      </c>
      <c r="X180" s="300">
        <v>2.4524316499895829</v>
      </c>
      <c r="Y180" s="300">
        <f t="shared" ref="Y180:Y181" si="288">SUM(V180:X180)</f>
        <v>16.928804504021901</v>
      </c>
    </row>
    <row r="181" spans="1:25" ht="12.5" x14ac:dyDescent="0.25">
      <c r="A181" s="264" t="s">
        <v>363</v>
      </c>
      <c r="B181" s="301">
        <f>SUM(B179:B180)</f>
        <v>32.628830912666587</v>
      </c>
      <c r="C181" s="301">
        <f t="shared" ref="C181" si="289">SUM(C179:C180)</f>
        <v>24.189252722660747</v>
      </c>
      <c r="D181" s="301">
        <f t="shared" ref="D181" si="290">SUM(D179:D180)</f>
        <v>4.0489163646727757</v>
      </c>
      <c r="E181" s="301">
        <f t="shared" si="284"/>
        <v>60.867000000000111</v>
      </c>
      <c r="F181" s="301"/>
      <c r="G181" s="301">
        <f>SUM(G179:G180)</f>
        <v>38.309477184322333</v>
      </c>
      <c r="H181" s="301">
        <f t="shared" ref="H181" si="291">SUM(H179:H180)</f>
        <v>29.010114006780743</v>
      </c>
      <c r="I181" s="301">
        <f t="shared" ref="I181" si="292">SUM(I179:I180)</f>
        <v>5.5104088088969378</v>
      </c>
      <c r="J181" s="301">
        <f t="shared" si="285"/>
        <v>72.830000000000013</v>
      </c>
      <c r="K181" s="301"/>
      <c r="L181" s="301">
        <f>SUM(L179:L180)</f>
        <v>38.63678726964995</v>
      </c>
      <c r="M181" s="301">
        <f t="shared" ref="M181" si="293">SUM(M179:M180)</f>
        <v>28.263625054675341</v>
      </c>
      <c r="N181" s="301">
        <f t="shared" ref="N181" si="294">SUM(N179:N180)</f>
        <v>4.8695876756748309</v>
      </c>
      <c r="O181" s="301">
        <f t="shared" si="286"/>
        <v>71.770000000000124</v>
      </c>
      <c r="P181" s="301"/>
      <c r="Q181" s="301">
        <f>SUM(Q179:Q180)</f>
        <v>41.9946046812437</v>
      </c>
      <c r="R181" s="301">
        <f t="shared" ref="R181" si="295">SUM(R179:R180)</f>
        <v>29.326785586224265</v>
      </c>
      <c r="S181" s="301">
        <f t="shared" ref="S181" si="296">SUM(S179:S180)</f>
        <v>5.1936097325319519</v>
      </c>
      <c r="T181" s="301">
        <f t="shared" si="287"/>
        <v>76.514999999999915</v>
      </c>
      <c r="U181" s="301"/>
      <c r="V181" s="301">
        <f>SUM(V179:V180)</f>
        <v>46.446008164034716</v>
      </c>
      <c r="W181" s="301">
        <f t="shared" ref="W181" si="297">SUM(W179:W180)</f>
        <v>29.288854761125698</v>
      </c>
      <c r="X181" s="301">
        <f t="shared" ref="X181" si="298">SUM(X179:X180)</f>
        <v>5.468137074839662</v>
      </c>
      <c r="Y181" s="301">
        <f t="shared" si="288"/>
        <v>81.203000000000074</v>
      </c>
    </row>
    <row r="182" spans="1:25" ht="12.5" x14ac:dyDescent="0.25">
      <c r="C182" s="263"/>
    </row>
    <row r="183" spans="1:25" x14ac:dyDescent="0.3">
      <c r="A183" s="261"/>
    </row>
    <row r="184" spans="1:25" ht="12.5" x14ac:dyDescent="0.25">
      <c r="C184" s="263"/>
    </row>
    <row r="185" spans="1:25" ht="14" x14ac:dyDescent="0.3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3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3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ht="12.5" x14ac:dyDescent="0.25">
      <c r="A188" s="260" t="s">
        <v>365</v>
      </c>
      <c r="B188" s="300">
        <v>1.7110716905871908</v>
      </c>
      <c r="C188" s="300">
        <v>2.8972691837371425</v>
      </c>
      <c r="D188" s="300">
        <v>1.1349532762697327</v>
      </c>
      <c r="E188" s="300">
        <f>SUM(B188:D188)</f>
        <v>5.7432941505940658</v>
      </c>
      <c r="F188" s="300"/>
      <c r="G188" s="300">
        <v>1.6460411057065463</v>
      </c>
      <c r="H188" s="300">
        <v>2.5995871477004995</v>
      </c>
      <c r="I188" s="300">
        <v>1.1900991102194349</v>
      </c>
      <c r="J188" s="300">
        <f>SUM(G188:I188)</f>
        <v>5.43572736362648</v>
      </c>
      <c r="K188" s="300"/>
      <c r="L188" s="300">
        <v>2.000515866125776</v>
      </c>
      <c r="M188" s="300">
        <v>2.9623938372733467</v>
      </c>
      <c r="N188" s="300">
        <v>0.96171937625956505</v>
      </c>
      <c r="O188" s="300">
        <f>SUM(L188:N188)</f>
        <v>5.924629079658688</v>
      </c>
      <c r="P188" s="300"/>
      <c r="Q188" s="300">
        <v>1.8383701763967031</v>
      </c>
      <c r="R188" s="300">
        <v>2.9088604577481845</v>
      </c>
      <c r="S188" s="300">
        <v>0.80669261616870913</v>
      </c>
      <c r="T188" s="300">
        <f>SUM(Q188:S188)</f>
        <v>5.5539232503135967</v>
      </c>
      <c r="U188" s="300"/>
      <c r="V188" s="300">
        <v>1.8279029542436764</v>
      </c>
      <c r="W188" s="300">
        <v>3.0715796955656147</v>
      </c>
      <c r="X188" s="300">
        <v>0.87953355781289178</v>
      </c>
      <c r="Y188" s="300">
        <f>SUM(V188:X188)</f>
        <v>5.7790162076221829</v>
      </c>
    </row>
    <row r="189" spans="1:25" ht="12.5" x14ac:dyDescent="0.25">
      <c r="A189" s="260" t="s">
        <v>364</v>
      </c>
      <c r="B189" s="300">
        <v>2.1229963568507899</v>
      </c>
      <c r="C189" s="300">
        <v>2.0740262916492038</v>
      </c>
      <c r="D189" s="300">
        <v>1.9616832009059602</v>
      </c>
      <c r="E189" s="300">
        <f t="shared" ref="E189:E190" si="299">SUM(B189:D189)</f>
        <v>6.1587058494059539</v>
      </c>
      <c r="F189" s="300"/>
      <c r="G189" s="300">
        <v>2.5763375387773708</v>
      </c>
      <c r="H189" s="300">
        <v>1.5688024719607527</v>
      </c>
      <c r="I189" s="300">
        <v>2.5891326256354024</v>
      </c>
      <c r="J189" s="300">
        <f t="shared" ref="J189:J190" si="300">SUM(G189:I189)</f>
        <v>6.7342726363735261</v>
      </c>
      <c r="K189" s="300"/>
      <c r="L189" s="300">
        <v>2.2125572259802304</v>
      </c>
      <c r="M189" s="300">
        <v>1.6953793093971292</v>
      </c>
      <c r="N189" s="300">
        <v>2.0774343849639476</v>
      </c>
      <c r="O189" s="300">
        <f t="shared" ref="O189:O190" si="301">SUM(L189:N189)</f>
        <v>5.9853709203413068</v>
      </c>
      <c r="P189" s="300"/>
      <c r="Q189" s="300">
        <v>2.1752839222157525</v>
      </c>
      <c r="R189" s="300">
        <v>1.7217709640940291</v>
      </c>
      <c r="S189" s="300">
        <v>1.8340218633766254</v>
      </c>
      <c r="T189" s="300">
        <f t="shared" ref="T189:T190" si="302">SUM(Q189:S189)</f>
        <v>5.731076749686407</v>
      </c>
      <c r="U189" s="300"/>
      <c r="V189" s="300">
        <v>2.3226904904902117</v>
      </c>
      <c r="W189" s="300">
        <v>1.9021689982383385</v>
      </c>
      <c r="X189" s="300">
        <v>1.9491243036492603</v>
      </c>
      <c r="Y189" s="300">
        <f t="shared" ref="Y189:Y190" si="303">SUM(V189:X189)</f>
        <v>6.1739837923778111</v>
      </c>
    </row>
    <row r="190" spans="1:25" ht="12.5" x14ac:dyDescent="0.25">
      <c r="A190" s="264" t="s">
        <v>363</v>
      </c>
      <c r="B190" s="301">
        <f>SUM(B188:B189)</f>
        <v>3.8340680474379809</v>
      </c>
      <c r="C190" s="301">
        <f t="shared" ref="C190" si="304">SUM(C188:C189)</f>
        <v>4.9712954753863468</v>
      </c>
      <c r="D190" s="301">
        <f t="shared" ref="D190" si="305">SUM(D188:D189)</f>
        <v>3.0966364771756929</v>
      </c>
      <c r="E190" s="301">
        <f t="shared" si="299"/>
        <v>11.902000000000021</v>
      </c>
      <c r="F190" s="301"/>
      <c r="G190" s="301">
        <f>SUM(G188:G189)</f>
        <v>4.2223786444839169</v>
      </c>
      <c r="H190" s="301">
        <f t="shared" ref="H190" si="306">SUM(H188:H189)</f>
        <v>4.1683896196612524</v>
      </c>
      <c r="I190" s="301">
        <f t="shared" ref="I190" si="307">SUM(I188:I189)</f>
        <v>3.7792317358548373</v>
      </c>
      <c r="J190" s="301">
        <f t="shared" si="300"/>
        <v>12.170000000000007</v>
      </c>
      <c r="K190" s="301"/>
      <c r="L190" s="301">
        <f>SUM(L188:L189)</f>
        <v>4.213073092106006</v>
      </c>
      <c r="M190" s="301">
        <f t="shared" ref="M190" si="308">SUM(M188:M189)</f>
        <v>4.6577731466704755</v>
      </c>
      <c r="N190" s="301">
        <f t="shared" ref="N190" si="309">SUM(N188:N189)</f>
        <v>3.0391537612235124</v>
      </c>
      <c r="O190" s="301">
        <f t="shared" si="301"/>
        <v>11.909999999999993</v>
      </c>
      <c r="P190" s="301"/>
      <c r="Q190" s="301">
        <f>SUM(Q188:Q189)</f>
        <v>4.0136540986124558</v>
      </c>
      <c r="R190" s="301">
        <f t="shared" ref="R190" si="310">SUM(R188:R189)</f>
        <v>4.6306314218422138</v>
      </c>
      <c r="S190" s="301">
        <f t="shared" ref="S190" si="311">SUM(S188:S189)</f>
        <v>2.6407144795453346</v>
      </c>
      <c r="T190" s="301">
        <f t="shared" si="302"/>
        <v>11.285000000000004</v>
      </c>
      <c r="U190" s="301"/>
      <c r="V190" s="301">
        <f>SUM(V188:V189)</f>
        <v>4.1505934447338877</v>
      </c>
      <c r="W190" s="301">
        <f t="shared" ref="W190" si="312">SUM(W188:W189)</f>
        <v>4.9737486938039535</v>
      </c>
      <c r="X190" s="301">
        <f t="shared" ref="X190" si="313">SUM(X188:X189)</f>
        <v>2.828657861462152</v>
      </c>
      <c r="Y190" s="301">
        <f t="shared" si="303"/>
        <v>11.952999999999992</v>
      </c>
    </row>
    <row r="194" spans="1:25" ht="14" x14ac:dyDescent="0.3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3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3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ht="12.5" x14ac:dyDescent="0.25">
      <c r="A197" s="260" t="s">
        <v>365</v>
      </c>
      <c r="B197" s="300">
        <v>3.6503110279571631</v>
      </c>
      <c r="C197" s="300">
        <v>3.3462304248895163</v>
      </c>
      <c r="D197" s="300">
        <v>3.1198977032706838</v>
      </c>
      <c r="E197" s="300">
        <f>SUM(B197:D197)</f>
        <v>10.116439156117364</v>
      </c>
      <c r="F197" s="300"/>
      <c r="G197" s="300">
        <v>2.922620674335255</v>
      </c>
      <c r="H197" s="300">
        <v>2.8441587988900712</v>
      </c>
      <c r="I197" s="300">
        <v>3.0660745754896501</v>
      </c>
      <c r="J197" s="300">
        <f>SUM(G197:I197)</f>
        <v>8.8328540487149763</v>
      </c>
      <c r="K197" s="300"/>
      <c r="L197" s="300">
        <v>2.9862109679913931</v>
      </c>
      <c r="M197" s="300">
        <v>2.5062274032079466</v>
      </c>
      <c r="N197" s="300">
        <v>2.9975953008678862</v>
      </c>
      <c r="O197" s="300">
        <f>SUM(L197:N197)</f>
        <v>8.4900336720672254</v>
      </c>
      <c r="P197" s="300"/>
      <c r="Q197" s="300">
        <v>2.8196894166485924</v>
      </c>
      <c r="R197" s="300">
        <v>2.407952291304603</v>
      </c>
      <c r="S197" s="300">
        <v>2.9307665721232836</v>
      </c>
      <c r="T197" s="300">
        <f>SUM(Q197:S197)</f>
        <v>8.158408280076479</v>
      </c>
      <c r="U197" s="300"/>
      <c r="V197" s="300">
        <v>2.709162357789642</v>
      </c>
      <c r="W197" s="300">
        <v>2.3461372735906867</v>
      </c>
      <c r="X197" s="300">
        <v>2.9038667038025587</v>
      </c>
      <c r="Y197" s="300">
        <f>SUM(V197:X197)</f>
        <v>7.9591663351828874</v>
      </c>
    </row>
    <row r="198" spans="1:25" ht="12.5" x14ac:dyDescent="0.25">
      <c r="A198" s="260" t="s">
        <v>364</v>
      </c>
      <c r="B198" s="300">
        <v>3.7812346209645034</v>
      </c>
      <c r="C198" s="300">
        <v>1.0875104903243229</v>
      </c>
      <c r="D198" s="300">
        <v>1.4388157325938022</v>
      </c>
      <c r="E198" s="300">
        <f t="shared" ref="E198:E199" si="314">SUM(B198:D198)</f>
        <v>6.3075608438826283</v>
      </c>
      <c r="F198" s="300"/>
      <c r="G198" s="300">
        <v>2.5804864878317959</v>
      </c>
      <c r="H198" s="300">
        <v>1.3111215111856296</v>
      </c>
      <c r="I198" s="300">
        <v>0.95753795226759353</v>
      </c>
      <c r="J198" s="300">
        <f t="shared" ref="J198:J199" si="315">SUM(G198:I198)</f>
        <v>4.8491459512850188</v>
      </c>
      <c r="K198" s="300"/>
      <c r="L198" s="300">
        <v>2.6398258980860918</v>
      </c>
      <c r="M198" s="300">
        <v>1.138433289367657</v>
      </c>
      <c r="N198" s="300">
        <v>0.67870714047902192</v>
      </c>
      <c r="O198" s="300">
        <f t="shared" ref="O198:O199" si="316">SUM(L198:N198)</f>
        <v>4.4569663279327703</v>
      </c>
      <c r="P198" s="300"/>
      <c r="Q198" s="300">
        <v>2.6575000662695145</v>
      </c>
      <c r="R198" s="300">
        <v>1.1055935222083684</v>
      </c>
      <c r="S198" s="300">
        <v>0.68249813144564131</v>
      </c>
      <c r="T198" s="300">
        <f t="shared" ref="T198:T199" si="317">SUM(Q198:S198)</f>
        <v>4.4455917199235238</v>
      </c>
      <c r="U198" s="300"/>
      <c r="V198" s="300">
        <v>2.8025068941834972</v>
      </c>
      <c r="W198" s="300">
        <v>1.1164607694886066</v>
      </c>
      <c r="X198" s="300">
        <v>0.71686600114500554</v>
      </c>
      <c r="Y198" s="300">
        <f t="shared" ref="Y198:Y199" si="318">SUM(V198:X198)</f>
        <v>4.6358336648171097</v>
      </c>
    </row>
    <row r="199" spans="1:25" ht="12.5" x14ac:dyDescent="0.25">
      <c r="A199" s="264" t="s">
        <v>363</v>
      </c>
      <c r="B199" s="301">
        <f>SUM(B197:B198)</f>
        <v>7.4315456489216665</v>
      </c>
      <c r="C199" s="301">
        <f t="shared" ref="C199" si="319">SUM(C197:C198)</f>
        <v>4.4337409152138392</v>
      </c>
      <c r="D199" s="301">
        <f t="shared" ref="D199" si="320">SUM(D197:D198)</f>
        <v>4.5587134358644859</v>
      </c>
      <c r="E199" s="301">
        <f t="shared" si="314"/>
        <v>16.423999999999992</v>
      </c>
      <c r="F199" s="301"/>
      <c r="G199" s="301">
        <f>SUM(G197:G198)</f>
        <v>5.5031071621670513</v>
      </c>
      <c r="H199" s="301">
        <f t="shared" ref="H199" si="321">SUM(H197:H198)</f>
        <v>4.1552803100757005</v>
      </c>
      <c r="I199" s="301">
        <f t="shared" ref="I199" si="322">SUM(I197:I198)</f>
        <v>4.0236125277572441</v>
      </c>
      <c r="J199" s="301">
        <f t="shared" si="315"/>
        <v>13.681999999999995</v>
      </c>
      <c r="K199" s="301"/>
      <c r="L199" s="301">
        <f>SUM(L197:L198)</f>
        <v>5.6260368660774844</v>
      </c>
      <c r="M199" s="301">
        <f t="shared" ref="M199" si="323">SUM(M197:M198)</f>
        <v>3.6446606925756035</v>
      </c>
      <c r="N199" s="301">
        <f t="shared" ref="N199" si="324">SUM(N197:N198)</f>
        <v>3.6763024413469081</v>
      </c>
      <c r="O199" s="301">
        <f t="shared" si="316"/>
        <v>12.946999999999996</v>
      </c>
      <c r="P199" s="301"/>
      <c r="Q199" s="301">
        <f>SUM(Q197:Q198)</f>
        <v>5.4771894829181065</v>
      </c>
      <c r="R199" s="301">
        <f t="shared" ref="R199" si="325">SUM(R197:R198)</f>
        <v>3.5135458135129713</v>
      </c>
      <c r="S199" s="301">
        <f t="shared" ref="S199" si="326">SUM(S197:S198)</f>
        <v>3.6132647035689249</v>
      </c>
      <c r="T199" s="301">
        <f t="shared" si="317"/>
        <v>12.604000000000003</v>
      </c>
      <c r="U199" s="301"/>
      <c r="V199" s="301">
        <f>SUM(V197:V198)</f>
        <v>5.5116692519731387</v>
      </c>
      <c r="W199" s="301">
        <f t="shared" ref="W199" si="327">SUM(W197:W198)</f>
        <v>3.4625980430792933</v>
      </c>
      <c r="X199" s="301">
        <f t="shared" ref="X199" si="328">SUM(X197:X198)</f>
        <v>3.6207327049475642</v>
      </c>
      <c r="Y199" s="301">
        <f t="shared" si="318"/>
        <v>12.594999999999995</v>
      </c>
    </row>
    <row r="211" spans="1:3" x14ac:dyDescent="0.3">
      <c r="A211" s="261"/>
    </row>
    <row r="212" spans="1:3" ht="12.5" x14ac:dyDescent="0.25">
      <c r="C212" s="263"/>
    </row>
    <row r="213" spans="1:3" ht="12.5" x14ac:dyDescent="0.25">
      <c r="C213" s="263"/>
    </row>
    <row r="214" spans="1:3" ht="12.5" x14ac:dyDescent="0.25">
      <c r="C214" s="263"/>
    </row>
    <row r="215" spans="1:3" ht="12.5" x14ac:dyDescent="0.25">
      <c r="C215" s="263"/>
    </row>
    <row r="220" spans="1:3" ht="12.5" x14ac:dyDescent="0.25">
      <c r="C220" s="263"/>
    </row>
    <row r="221" spans="1:3" x14ac:dyDescent="0.3">
      <c r="A221" s="262"/>
    </row>
    <row r="222" spans="1:3" x14ac:dyDescent="0.3">
      <c r="A222" s="261"/>
    </row>
    <row r="225" spans="1:3" ht="12.5" x14ac:dyDescent="0.25">
      <c r="C225" s="263"/>
    </row>
    <row r="226" spans="1:3" x14ac:dyDescent="0.3">
      <c r="A226" s="261"/>
    </row>
    <row r="227" spans="1:3" ht="12.5" x14ac:dyDescent="0.25">
      <c r="C227" s="263"/>
    </row>
    <row r="228" spans="1:3" ht="12.5" x14ac:dyDescent="0.25">
      <c r="C228" s="263"/>
    </row>
    <row r="229" spans="1:3" ht="12.5" x14ac:dyDescent="0.25">
      <c r="C229" s="263"/>
    </row>
    <row r="231" spans="1:3" x14ac:dyDescent="0.3">
      <c r="A231" s="261"/>
    </row>
    <row r="232" spans="1:3" ht="12.5" x14ac:dyDescent="0.25">
      <c r="C232" s="263"/>
    </row>
    <row r="233" spans="1:3" ht="12.5" x14ac:dyDescent="0.25">
      <c r="C233" s="263"/>
    </row>
    <row r="234" spans="1:3" ht="12.5" x14ac:dyDescent="0.25">
      <c r="C234" s="263"/>
    </row>
    <row r="235" spans="1:3" ht="12.5" x14ac:dyDescent="0.25">
      <c r="C235" s="263"/>
    </row>
    <row r="236" spans="1:3" ht="12.5" x14ac:dyDescent="0.25">
      <c r="C236" s="263"/>
    </row>
    <row r="237" spans="1:3" ht="12.5" x14ac:dyDescent="0.25">
      <c r="C237" s="263"/>
    </row>
    <row r="238" spans="1:3" ht="12.5" x14ac:dyDescent="0.25">
      <c r="C238" s="263"/>
    </row>
    <row r="239" spans="1:3" ht="12.5" x14ac:dyDescent="0.25">
      <c r="C239" s="263"/>
    </row>
    <row r="240" spans="1:3" x14ac:dyDescent="0.3">
      <c r="A240" s="261"/>
    </row>
    <row r="241" spans="1:3" ht="12.5" x14ac:dyDescent="0.25">
      <c r="C241" s="263"/>
    </row>
    <row r="242" spans="1:3" ht="12.5" x14ac:dyDescent="0.25">
      <c r="C242" s="263"/>
    </row>
    <row r="243" spans="1:3" x14ac:dyDescent="0.3">
      <c r="A243" s="261"/>
    </row>
    <row r="244" spans="1:3" ht="12.5" x14ac:dyDescent="0.25">
      <c r="C244" s="263"/>
    </row>
    <row r="245" spans="1:3" ht="12.5" x14ac:dyDescent="0.25">
      <c r="C245" s="263"/>
    </row>
    <row r="246" spans="1:3" ht="12.5" x14ac:dyDescent="0.25">
      <c r="C246" s="263"/>
    </row>
    <row r="271" spans="1:3" x14ac:dyDescent="0.3">
      <c r="A271" s="261"/>
    </row>
    <row r="272" spans="1:3" ht="12.5" x14ac:dyDescent="0.25">
      <c r="C272" s="263"/>
    </row>
    <row r="273" spans="1:3" ht="12.5" x14ac:dyDescent="0.25">
      <c r="C273" s="263"/>
    </row>
    <row r="274" spans="1:3" ht="12.5" x14ac:dyDescent="0.25">
      <c r="C274" s="263"/>
    </row>
    <row r="276" spans="1:3" x14ac:dyDescent="0.3">
      <c r="A276" s="261"/>
    </row>
    <row r="277" spans="1:3" ht="12.5" x14ac:dyDescent="0.25">
      <c r="C277" s="263"/>
    </row>
    <row r="278" spans="1:3" ht="12.5" x14ac:dyDescent="0.25">
      <c r="C278" s="263"/>
    </row>
    <row r="279" spans="1:3" ht="12.5" x14ac:dyDescent="0.25">
      <c r="C279" s="263"/>
    </row>
    <row r="280" spans="1:3" ht="12.5" x14ac:dyDescent="0.25">
      <c r="C280" s="263"/>
    </row>
    <row r="281" spans="1:3" x14ac:dyDescent="0.3">
      <c r="A281" s="261"/>
    </row>
    <row r="282" spans="1:3" ht="12.5" x14ac:dyDescent="0.25">
      <c r="C282" s="263"/>
    </row>
    <row r="283" spans="1:3" ht="12.5" x14ac:dyDescent="0.25">
      <c r="C283" s="263"/>
    </row>
    <row r="284" spans="1:3" ht="12.5" x14ac:dyDescent="0.25">
      <c r="C284" s="263"/>
    </row>
    <row r="285" spans="1:3" x14ac:dyDescent="0.3">
      <c r="A285" s="262"/>
    </row>
    <row r="286" spans="1:3" x14ac:dyDescent="0.3">
      <c r="A286" s="261"/>
    </row>
    <row r="287" spans="1:3" ht="12.5" x14ac:dyDescent="0.25">
      <c r="C287" s="263"/>
    </row>
    <row r="288" spans="1:3" ht="12.5" x14ac:dyDescent="0.25">
      <c r="C288" s="263"/>
    </row>
    <row r="289" spans="1:3" ht="12.5" x14ac:dyDescent="0.25">
      <c r="C289" s="263"/>
    </row>
    <row r="291" spans="1:3" x14ac:dyDescent="0.3">
      <c r="A291" s="261"/>
    </row>
    <row r="292" spans="1:3" ht="12.5" x14ac:dyDescent="0.25">
      <c r="C292" s="263"/>
    </row>
    <row r="293" spans="1:3" ht="12.5" x14ac:dyDescent="0.25">
      <c r="C293" s="263"/>
    </row>
    <row r="294" spans="1:3" ht="12.5" x14ac:dyDescent="0.25">
      <c r="C294" s="263"/>
    </row>
    <row r="295" spans="1:3" ht="12.5" x14ac:dyDescent="0.25">
      <c r="C295" s="263"/>
    </row>
    <row r="296" spans="1:3" x14ac:dyDescent="0.3">
      <c r="A296" s="261"/>
    </row>
    <row r="297" spans="1:3" ht="12.5" x14ac:dyDescent="0.25">
      <c r="C297" s="263"/>
    </row>
    <row r="298" spans="1:3" ht="12.5" x14ac:dyDescent="0.25">
      <c r="C298" s="263"/>
    </row>
    <row r="299" spans="1:3" x14ac:dyDescent="0.3">
      <c r="A299" s="261"/>
    </row>
    <row r="300" spans="1:3" ht="12.5" x14ac:dyDescent="0.25">
      <c r="C300" s="263"/>
    </row>
    <row r="301" spans="1:3" ht="12.5" x14ac:dyDescent="0.25">
      <c r="C301" s="263"/>
    </row>
    <row r="302" spans="1:3" ht="12.5" x14ac:dyDescent="0.25">
      <c r="C302" s="263"/>
    </row>
    <row r="303" spans="1:3" ht="12.5" x14ac:dyDescent="0.25">
      <c r="C303" s="263"/>
    </row>
    <row r="304" spans="1:3" ht="12.5" x14ac:dyDescent="0.25">
      <c r="C304" s="263"/>
    </row>
    <row r="305" spans="1:3" ht="12.5" x14ac:dyDescent="0.25">
      <c r="C305" s="263"/>
    </row>
    <row r="306" spans="1:3" x14ac:dyDescent="0.3">
      <c r="A306" s="261"/>
      <c r="C306" s="263"/>
    </row>
    <row r="307" spans="1:3" ht="12.5" x14ac:dyDescent="0.25">
      <c r="C307" s="263"/>
    </row>
    <row r="308" spans="1:3" ht="12.5" x14ac:dyDescent="0.25">
      <c r="C308" s="263"/>
    </row>
    <row r="309" spans="1:3" ht="12.5" x14ac:dyDescent="0.25">
      <c r="C309" s="263"/>
    </row>
    <row r="310" spans="1:3" x14ac:dyDescent="0.3">
      <c r="A310" s="262"/>
    </row>
    <row r="311" spans="1:3" x14ac:dyDescent="0.3">
      <c r="A311" s="261"/>
    </row>
    <row r="312" spans="1:3" ht="12.5" x14ac:dyDescent="0.25">
      <c r="C312" s="263"/>
    </row>
    <row r="313" spans="1:3" ht="12.5" x14ac:dyDescent="0.25">
      <c r="C313" s="263"/>
    </row>
    <row r="314" spans="1:3" ht="12.5" x14ac:dyDescent="0.25">
      <c r="C314" s="263"/>
    </row>
    <row r="316" spans="1:3" x14ac:dyDescent="0.3">
      <c r="A316" s="261"/>
    </row>
    <row r="317" spans="1:3" ht="12.5" x14ac:dyDescent="0.25">
      <c r="C317" s="263"/>
    </row>
    <row r="318" spans="1:3" ht="12.5" x14ac:dyDescent="0.25">
      <c r="C318" s="263"/>
    </row>
    <row r="319" spans="1:3" ht="12.5" x14ac:dyDescent="0.25">
      <c r="C319" s="263"/>
    </row>
    <row r="320" spans="1:3" x14ac:dyDescent="0.3">
      <c r="A320" s="262"/>
    </row>
    <row r="321" spans="1:3" x14ac:dyDescent="0.3">
      <c r="A321" s="261"/>
    </row>
    <row r="322" spans="1:3" ht="12.5" x14ac:dyDescent="0.25">
      <c r="C322" s="263"/>
    </row>
    <row r="323" spans="1:3" ht="12.5" x14ac:dyDescent="0.25">
      <c r="C323" s="263"/>
    </row>
    <row r="324" spans="1:3" ht="12.5" x14ac:dyDescent="0.25">
      <c r="C324" s="263"/>
    </row>
    <row r="326" spans="1:3" x14ac:dyDescent="0.3">
      <c r="A326" s="261"/>
    </row>
    <row r="327" spans="1:3" x14ac:dyDescent="0.3">
      <c r="A327" s="261"/>
    </row>
    <row r="328" spans="1:3" ht="12.5" x14ac:dyDescent="0.25">
      <c r="C328" s="263"/>
    </row>
    <row r="329" spans="1:3" ht="12.5" x14ac:dyDescent="0.25">
      <c r="C329" s="263"/>
    </row>
    <row r="330" spans="1:3" ht="12.5" x14ac:dyDescent="0.25">
      <c r="C330" s="263"/>
    </row>
    <row r="332" spans="1:3" x14ac:dyDescent="0.3">
      <c r="A332" s="261"/>
    </row>
    <row r="333" spans="1:3" ht="12.5" x14ac:dyDescent="0.25">
      <c r="C333" s="263"/>
    </row>
    <row r="334" spans="1:3" ht="12.5" x14ac:dyDescent="0.25">
      <c r="C334" s="263"/>
    </row>
    <row r="335" spans="1:3" ht="12.5" x14ac:dyDescent="0.25">
      <c r="C335" s="263"/>
    </row>
    <row r="336" spans="1:3" ht="12.5" x14ac:dyDescent="0.25">
      <c r="C336" s="263"/>
    </row>
    <row r="337" spans="1:3" x14ac:dyDescent="0.3">
      <c r="A337" s="261"/>
    </row>
    <row r="338" spans="1:3" ht="12.5" x14ac:dyDescent="0.25">
      <c r="C338" s="263"/>
    </row>
    <row r="339" spans="1:3" ht="12.5" x14ac:dyDescent="0.25">
      <c r="C339" s="263"/>
    </row>
    <row r="340" spans="1:3" ht="12.5" x14ac:dyDescent="0.25">
      <c r="C340" s="263"/>
    </row>
    <row r="341" spans="1:3" x14ac:dyDescent="0.3">
      <c r="A341" s="262"/>
    </row>
    <row r="342" spans="1:3" x14ac:dyDescent="0.3">
      <c r="A342" s="261"/>
    </row>
    <row r="343" spans="1:3" ht="12.5" x14ac:dyDescent="0.25">
      <c r="C343" s="263"/>
    </row>
    <row r="344" spans="1:3" ht="12.5" x14ac:dyDescent="0.25">
      <c r="C344" s="263"/>
    </row>
    <row r="345" spans="1:3" ht="12.5" x14ac:dyDescent="0.25">
      <c r="C345" s="263"/>
    </row>
    <row r="347" spans="1:3" x14ac:dyDescent="0.3">
      <c r="A347" s="261"/>
    </row>
    <row r="348" spans="1:3" ht="12.5" x14ac:dyDescent="0.25">
      <c r="C348" s="263"/>
    </row>
    <row r="349" spans="1:3" ht="12.5" x14ac:dyDescent="0.25">
      <c r="C349" s="263"/>
    </row>
    <row r="350" spans="1:3" ht="12.5" x14ac:dyDescent="0.25">
      <c r="C350" s="263"/>
    </row>
    <row r="351" spans="1:3" ht="12.5" x14ac:dyDescent="0.25">
      <c r="C351" s="263"/>
    </row>
    <row r="352" spans="1:3" x14ac:dyDescent="0.3">
      <c r="A352" s="261"/>
    </row>
    <row r="353" spans="1:3" ht="12.5" x14ac:dyDescent="0.25">
      <c r="C353" s="263"/>
    </row>
    <row r="354" spans="1:3" ht="12.5" x14ac:dyDescent="0.25">
      <c r="C354" s="263"/>
    </row>
    <row r="355" spans="1:3" x14ac:dyDescent="0.3">
      <c r="A355" s="261"/>
    </row>
    <row r="356" spans="1:3" ht="12.5" x14ac:dyDescent="0.25">
      <c r="C356" s="263"/>
    </row>
    <row r="357" spans="1:3" ht="12.5" x14ac:dyDescent="0.25">
      <c r="C357" s="263"/>
    </row>
    <row r="358" spans="1:3" ht="12.5" x14ac:dyDescent="0.25">
      <c r="C358" s="263"/>
    </row>
    <row r="359" spans="1:3" ht="12.5" x14ac:dyDescent="0.25">
      <c r="C359" s="263"/>
    </row>
    <row r="361" spans="1:3" x14ac:dyDescent="0.3">
      <c r="A361" s="261"/>
    </row>
    <row r="362" spans="1:3" ht="12.5" x14ac:dyDescent="0.25">
      <c r="C362" s="263"/>
    </row>
    <row r="363" spans="1:3" ht="12.5" x14ac:dyDescent="0.25">
      <c r="C363" s="263"/>
    </row>
    <row r="364" spans="1:3" ht="12.5" x14ac:dyDescent="0.25">
      <c r="C364" s="263"/>
    </row>
    <row r="365" spans="1:3" x14ac:dyDescent="0.3">
      <c r="A365" s="262"/>
    </row>
    <row r="366" spans="1:3" x14ac:dyDescent="0.3">
      <c r="A366" s="261"/>
    </row>
    <row r="367" spans="1:3" ht="12.5" x14ac:dyDescent="0.25">
      <c r="C367" s="263"/>
    </row>
    <row r="368" spans="1:3" ht="12.5" x14ac:dyDescent="0.25">
      <c r="C368" s="263"/>
    </row>
    <row r="369" spans="1:3" ht="12.5" x14ac:dyDescent="0.25">
      <c r="C369" s="263"/>
    </row>
    <row r="371" spans="1:3" x14ac:dyDescent="0.3">
      <c r="A371" s="261"/>
    </row>
    <row r="372" spans="1:3" ht="12.5" x14ac:dyDescent="0.25">
      <c r="C372" s="263"/>
    </row>
    <row r="373" spans="1:3" ht="12.5" x14ac:dyDescent="0.25">
      <c r="C373" s="263"/>
    </row>
    <row r="374" spans="1:3" ht="12.5" x14ac:dyDescent="0.25">
      <c r="C374" s="263"/>
    </row>
    <row r="376" spans="1:3" x14ac:dyDescent="0.3">
      <c r="A376" s="261"/>
    </row>
    <row r="377" spans="1:3" ht="12.5" x14ac:dyDescent="0.25">
      <c r="C377" s="263"/>
    </row>
    <row r="378" spans="1:3" ht="12.5" x14ac:dyDescent="0.25">
      <c r="C378" s="263"/>
    </row>
    <row r="379" spans="1:3" ht="12.5" x14ac:dyDescent="0.25">
      <c r="C379" s="263"/>
    </row>
    <row r="380" spans="1:3" ht="12.5" x14ac:dyDescent="0.25">
      <c r="C380" s="263"/>
    </row>
    <row r="381" spans="1:3" x14ac:dyDescent="0.3">
      <c r="A381" s="261"/>
    </row>
    <row r="382" spans="1:3" ht="12.5" x14ac:dyDescent="0.25">
      <c r="C382" s="263"/>
    </row>
    <row r="383" spans="1:3" x14ac:dyDescent="0.3">
      <c r="A383" s="261"/>
    </row>
    <row r="384" spans="1:3" ht="12.5" x14ac:dyDescent="0.25">
      <c r="C384" s="263"/>
    </row>
    <row r="385" spans="1:3" ht="12.5" x14ac:dyDescent="0.25">
      <c r="C385" s="263"/>
    </row>
    <row r="386" spans="1:3" ht="12.5" x14ac:dyDescent="0.25">
      <c r="C386" s="263"/>
    </row>
    <row r="388" spans="1:3" x14ac:dyDescent="0.3">
      <c r="A388" s="261"/>
    </row>
    <row r="389" spans="1:3" ht="12.5" x14ac:dyDescent="0.25">
      <c r="C389" s="263"/>
    </row>
    <row r="390" spans="1:3" ht="12.5" x14ac:dyDescent="0.25">
      <c r="C390" s="263"/>
    </row>
    <row r="391" spans="1:3" ht="12.5" x14ac:dyDescent="0.25">
      <c r="C391" s="263"/>
    </row>
    <row r="392" spans="1:3" ht="12.5" x14ac:dyDescent="0.25">
      <c r="C392" s="263"/>
    </row>
    <row r="393" spans="1:3" x14ac:dyDescent="0.3">
      <c r="A393" s="261"/>
    </row>
    <row r="394" spans="1:3" ht="12.5" x14ac:dyDescent="0.25">
      <c r="C394" s="263"/>
    </row>
    <row r="395" spans="1:3" ht="12.5" x14ac:dyDescent="0.25">
      <c r="C395" s="263"/>
    </row>
    <row r="396" spans="1:3" ht="12.5" x14ac:dyDescent="0.25">
      <c r="C396" s="263"/>
    </row>
    <row r="397" spans="1:3" x14ac:dyDescent="0.3">
      <c r="A397" s="262"/>
    </row>
    <row r="398" spans="1:3" x14ac:dyDescent="0.3">
      <c r="A398" s="261"/>
    </row>
    <row r="399" spans="1:3" ht="12.5" x14ac:dyDescent="0.25">
      <c r="C399" s="263"/>
    </row>
    <row r="400" spans="1:3" ht="12.5" x14ac:dyDescent="0.25">
      <c r="C400" s="263"/>
    </row>
    <row r="401" spans="1:3" ht="12.5" x14ac:dyDescent="0.25">
      <c r="C401" s="263"/>
    </row>
    <row r="403" spans="1:3" x14ac:dyDescent="0.3">
      <c r="A403" s="261"/>
    </row>
    <row r="404" spans="1:3" ht="12.5" x14ac:dyDescent="0.25">
      <c r="C404" s="263"/>
    </row>
    <row r="405" spans="1:3" ht="12.5" x14ac:dyDescent="0.25">
      <c r="C405" s="263"/>
    </row>
    <row r="406" spans="1:3" ht="12.5" x14ac:dyDescent="0.25">
      <c r="C406" s="263"/>
    </row>
    <row r="407" spans="1:3" ht="12.5" x14ac:dyDescent="0.25">
      <c r="C407" s="263"/>
    </row>
    <row r="408" spans="1:3" x14ac:dyDescent="0.3">
      <c r="A408" s="261"/>
    </row>
    <row r="409" spans="1:3" ht="12.5" x14ac:dyDescent="0.25">
      <c r="C409" s="263"/>
    </row>
    <row r="410" spans="1:3" ht="12.5" x14ac:dyDescent="0.25">
      <c r="C410" s="263"/>
    </row>
    <row r="411" spans="1:3" x14ac:dyDescent="0.3">
      <c r="A411" s="261"/>
    </row>
    <row r="412" spans="1:3" ht="12.5" x14ac:dyDescent="0.25">
      <c r="C412" s="263"/>
    </row>
    <row r="413" spans="1:3" ht="12.5" x14ac:dyDescent="0.25">
      <c r="C413" s="263"/>
    </row>
    <row r="414" spans="1:3" ht="12.5" x14ac:dyDescent="0.25">
      <c r="C414" s="263"/>
    </row>
    <row r="415" spans="1:3" ht="12.5" x14ac:dyDescent="0.25">
      <c r="C415" s="263"/>
    </row>
    <row r="416" spans="1:3" ht="12.5" x14ac:dyDescent="0.25">
      <c r="C416" s="263"/>
    </row>
    <row r="417" spans="1:3" ht="12.5" x14ac:dyDescent="0.25">
      <c r="C417" s="263"/>
    </row>
    <row r="418" spans="1:3" x14ac:dyDescent="0.3">
      <c r="A418" s="261"/>
      <c r="C418" s="263"/>
    </row>
    <row r="419" spans="1:3" ht="12.5" x14ac:dyDescent="0.25">
      <c r="C419" s="263"/>
    </row>
    <row r="420" spans="1:3" ht="12.5" x14ac:dyDescent="0.25">
      <c r="C420" s="263"/>
    </row>
    <row r="421" spans="1:3" ht="12.5" x14ac:dyDescent="0.25">
      <c r="C421" s="263"/>
    </row>
    <row r="422" spans="1:3" x14ac:dyDescent="0.3">
      <c r="A422" s="262"/>
    </row>
    <row r="423" spans="1:3" x14ac:dyDescent="0.3">
      <c r="A423" s="261"/>
    </row>
    <row r="424" spans="1:3" ht="12.5" x14ac:dyDescent="0.25">
      <c r="C424" s="263"/>
    </row>
    <row r="425" spans="1:3" ht="12.5" x14ac:dyDescent="0.25">
      <c r="C425" s="263"/>
    </row>
    <row r="426" spans="1:3" ht="12.5" x14ac:dyDescent="0.25">
      <c r="C426" s="263"/>
    </row>
    <row r="428" spans="1:3" x14ac:dyDescent="0.3">
      <c r="A428" s="261"/>
    </row>
    <row r="429" spans="1:3" ht="12.5" x14ac:dyDescent="0.25">
      <c r="C429" s="263"/>
    </row>
    <row r="430" spans="1:3" ht="12.5" x14ac:dyDescent="0.25">
      <c r="C430" s="263"/>
    </row>
    <row r="431" spans="1:3" ht="12.5" x14ac:dyDescent="0.25">
      <c r="C431" s="263"/>
    </row>
    <row r="432" spans="1:3" x14ac:dyDescent="0.3">
      <c r="A432" s="262"/>
    </row>
    <row r="433" spans="1:3" x14ac:dyDescent="0.3">
      <c r="A433" s="261"/>
    </row>
    <row r="434" spans="1:3" ht="12.5" x14ac:dyDescent="0.25">
      <c r="C434" s="263"/>
    </row>
    <row r="435" spans="1:3" ht="12.5" x14ac:dyDescent="0.25">
      <c r="C435" s="263"/>
    </row>
    <row r="436" spans="1:3" ht="12.5" x14ac:dyDescent="0.25">
      <c r="C436" s="263"/>
    </row>
    <row r="438" spans="1:3" x14ac:dyDescent="0.3">
      <c r="A438" s="261"/>
    </row>
    <row r="439" spans="1:3" x14ac:dyDescent="0.3">
      <c r="A439" s="261"/>
    </row>
    <row r="440" spans="1:3" ht="12.5" x14ac:dyDescent="0.25">
      <c r="C440" s="263"/>
    </row>
    <row r="441" spans="1:3" ht="12.5" x14ac:dyDescent="0.25">
      <c r="C441" s="263"/>
    </row>
    <row r="442" spans="1:3" ht="12.5" x14ac:dyDescent="0.25">
      <c r="C442" s="263"/>
    </row>
    <row r="444" spans="1:3" x14ac:dyDescent="0.3">
      <c r="A444" s="261"/>
    </row>
    <row r="445" spans="1:3" ht="12.5" x14ac:dyDescent="0.25">
      <c r="C445" s="263"/>
    </row>
    <row r="446" spans="1:3" ht="12.5" x14ac:dyDescent="0.25">
      <c r="C446" s="263"/>
    </row>
    <row r="447" spans="1:3" ht="12.5" x14ac:dyDescent="0.25">
      <c r="C447" s="263"/>
    </row>
    <row r="448" spans="1:3" ht="12.5" x14ac:dyDescent="0.25">
      <c r="C448" s="263"/>
    </row>
    <row r="449" spans="1:3" x14ac:dyDescent="0.3">
      <c r="A449" s="261"/>
    </row>
    <row r="450" spans="1:3" ht="12.5" x14ac:dyDescent="0.25">
      <c r="C450" s="263"/>
    </row>
    <row r="451" spans="1:3" ht="12.5" x14ac:dyDescent="0.25">
      <c r="C451" s="263"/>
    </row>
    <row r="452" spans="1:3" ht="12.5" x14ac:dyDescent="0.25">
      <c r="C452" s="263"/>
    </row>
    <row r="453" spans="1:3" x14ac:dyDescent="0.3">
      <c r="A453" s="262"/>
    </row>
    <row r="454" spans="1:3" x14ac:dyDescent="0.3">
      <c r="A454" s="261"/>
    </row>
    <row r="455" spans="1:3" ht="12.5" x14ac:dyDescent="0.25">
      <c r="C455" s="263"/>
    </row>
    <row r="456" spans="1:3" ht="12.5" x14ac:dyDescent="0.25">
      <c r="C456" s="263"/>
    </row>
    <row r="457" spans="1:3" ht="12.5" x14ac:dyDescent="0.25">
      <c r="C457" s="263"/>
    </row>
    <row r="459" spans="1:3" x14ac:dyDescent="0.3">
      <c r="A459" s="261"/>
    </row>
    <row r="460" spans="1:3" ht="12.5" x14ac:dyDescent="0.25">
      <c r="C460" s="263"/>
    </row>
    <row r="461" spans="1:3" ht="12.5" x14ac:dyDescent="0.25">
      <c r="C461" s="263"/>
    </row>
    <row r="462" spans="1:3" ht="12.5" x14ac:dyDescent="0.25">
      <c r="C462" s="263"/>
    </row>
    <row r="463" spans="1:3" ht="12.5" x14ac:dyDescent="0.25">
      <c r="C463" s="263"/>
    </row>
    <row r="464" spans="1:3" x14ac:dyDescent="0.3">
      <c r="A464" s="261"/>
    </row>
    <row r="465" spans="1:25" ht="12.5" x14ac:dyDescent="0.25">
      <c r="C465" s="263"/>
    </row>
    <row r="466" spans="1:25" ht="12.5" x14ac:dyDescent="0.25">
      <c r="C466" s="263"/>
    </row>
    <row r="467" spans="1:25" x14ac:dyDescent="0.3">
      <c r="A467" s="261"/>
    </row>
    <row r="468" spans="1:25" ht="12.5" x14ac:dyDescent="0.25">
      <c r="C468" s="263"/>
    </row>
    <row r="469" spans="1:25" ht="12.5" x14ac:dyDescent="0.25">
      <c r="C469" s="263"/>
    </row>
    <row r="470" spans="1:25" ht="12.5" x14ac:dyDescent="0.25">
      <c r="C470" s="263"/>
    </row>
    <row r="471" spans="1:25" x14ac:dyDescent="0.3">
      <c r="A471" s="261"/>
    </row>
    <row r="472" spans="1:25" ht="12.5" x14ac:dyDescent="0.25">
      <c r="C472" s="263"/>
    </row>
    <row r="473" spans="1:25" ht="12.5" x14ac:dyDescent="0.25">
      <c r="C473" s="263"/>
    </row>
    <row r="474" spans="1:25" ht="12.5" x14ac:dyDescent="0.25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3">
      <c r="A475" s="262"/>
    </row>
    <row r="476" spans="1:25" x14ac:dyDescent="0.3">
      <c r="A476" s="261"/>
    </row>
    <row r="477" spans="1:25" ht="12.5" x14ac:dyDescent="0.25">
      <c r="C477" s="263"/>
    </row>
    <row r="478" spans="1:25" ht="12.5" x14ac:dyDescent="0.25">
      <c r="C478" s="263"/>
    </row>
    <row r="479" spans="1:25" ht="12.5" x14ac:dyDescent="0.25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3">
      <c r="A480" s="262"/>
    </row>
    <row r="481" spans="1:3" x14ac:dyDescent="0.3">
      <c r="A481" s="261"/>
    </row>
    <row r="482" spans="1:3" ht="12.5" x14ac:dyDescent="0.25">
      <c r="C482" s="263"/>
    </row>
    <row r="483" spans="1:3" ht="12.5" x14ac:dyDescent="0.25">
      <c r="C483" s="263"/>
    </row>
    <row r="484" spans="1:3" ht="12.5" x14ac:dyDescent="0.25">
      <c r="C484" s="263"/>
    </row>
    <row r="486" spans="1:3" x14ac:dyDescent="0.3">
      <c r="A486" s="261"/>
    </row>
    <row r="487" spans="1:3" ht="12.5" x14ac:dyDescent="0.25">
      <c r="C487" s="263"/>
    </row>
    <row r="488" spans="1:3" ht="12.5" x14ac:dyDescent="0.25">
      <c r="C488" s="263"/>
    </row>
    <row r="489" spans="1:3" ht="12.5" x14ac:dyDescent="0.25">
      <c r="C489" s="263"/>
    </row>
    <row r="490" spans="1:3" ht="12.5" x14ac:dyDescent="0.25">
      <c r="C490" s="263"/>
    </row>
    <row r="491" spans="1:3" x14ac:dyDescent="0.3">
      <c r="A491" s="261"/>
    </row>
    <row r="492" spans="1:3" ht="12.5" x14ac:dyDescent="0.25">
      <c r="C492" s="263"/>
    </row>
    <row r="493" spans="1:3" ht="12.5" x14ac:dyDescent="0.25">
      <c r="C493" s="263"/>
    </row>
    <row r="494" spans="1:3" ht="12.5" x14ac:dyDescent="0.25">
      <c r="C494" s="263"/>
    </row>
    <row r="495" spans="1:3" x14ac:dyDescent="0.3">
      <c r="A495" s="261"/>
    </row>
    <row r="496" spans="1:3" ht="12.5" x14ac:dyDescent="0.25">
      <c r="C496" s="263"/>
    </row>
    <row r="497" spans="1:3" ht="12.5" x14ac:dyDescent="0.25">
      <c r="C497" s="263"/>
    </row>
    <row r="498" spans="1:3" ht="12.5" x14ac:dyDescent="0.25">
      <c r="C498" s="263"/>
    </row>
    <row r="500" spans="1:3" x14ac:dyDescent="0.3">
      <c r="A500" s="261"/>
    </row>
    <row r="501" spans="1:3" ht="12.5" x14ac:dyDescent="0.25">
      <c r="C501" s="263"/>
    </row>
    <row r="502" spans="1:3" ht="12.5" x14ac:dyDescent="0.25">
      <c r="C502" s="263"/>
    </row>
    <row r="503" spans="1:3" ht="12.5" x14ac:dyDescent="0.25">
      <c r="C503" s="263"/>
    </row>
    <row r="504" spans="1:3" ht="12.5" x14ac:dyDescent="0.25">
      <c r="C504" s="263"/>
    </row>
    <row r="505" spans="1:3" x14ac:dyDescent="0.3">
      <c r="A505" s="261"/>
    </row>
    <row r="506" spans="1:3" ht="12.5" x14ac:dyDescent="0.25">
      <c r="C506" s="263"/>
    </row>
    <row r="507" spans="1:3" ht="12.5" x14ac:dyDescent="0.25">
      <c r="C507" s="263"/>
    </row>
    <row r="508" spans="1:3" ht="12.5" x14ac:dyDescent="0.25">
      <c r="C508" s="263"/>
    </row>
    <row r="509" spans="1:3" x14ac:dyDescent="0.3">
      <c r="A509" s="262"/>
    </row>
    <row r="510" spans="1:3" x14ac:dyDescent="0.3">
      <c r="A510" s="261"/>
    </row>
    <row r="511" spans="1:3" ht="12.5" x14ac:dyDescent="0.25">
      <c r="C511" s="263"/>
    </row>
    <row r="512" spans="1:3" ht="12.5" x14ac:dyDescent="0.25">
      <c r="C512" s="263"/>
    </row>
    <row r="513" spans="1:3" ht="12.5" x14ac:dyDescent="0.25">
      <c r="C513" s="263"/>
    </row>
    <row r="515" spans="1:3" x14ac:dyDescent="0.3">
      <c r="A515" s="261"/>
    </row>
    <row r="516" spans="1:3" ht="12.5" x14ac:dyDescent="0.25">
      <c r="C516" s="263"/>
    </row>
    <row r="517" spans="1:3" ht="12.5" x14ac:dyDescent="0.25">
      <c r="C517" s="263"/>
    </row>
    <row r="518" spans="1:3" ht="12.5" x14ac:dyDescent="0.25">
      <c r="C518" s="263"/>
    </row>
    <row r="519" spans="1:3" ht="12.5" x14ac:dyDescent="0.25">
      <c r="C519" s="263"/>
    </row>
    <row r="520" spans="1:3" x14ac:dyDescent="0.3">
      <c r="A520" s="261"/>
    </row>
    <row r="521" spans="1:3" ht="12.5" x14ac:dyDescent="0.25">
      <c r="C521" s="263"/>
    </row>
    <row r="522" spans="1:3" ht="12.5" x14ac:dyDescent="0.25">
      <c r="C522" s="263"/>
    </row>
    <row r="523" spans="1:3" x14ac:dyDescent="0.3">
      <c r="A523" s="261"/>
    </row>
    <row r="524" spans="1:3" ht="12.5" x14ac:dyDescent="0.25">
      <c r="C524" s="263"/>
    </row>
    <row r="525" spans="1:3" ht="12.5" x14ac:dyDescent="0.25">
      <c r="C525" s="263"/>
    </row>
    <row r="526" spans="1:3" ht="12.5" x14ac:dyDescent="0.25">
      <c r="C526" s="263"/>
    </row>
    <row r="527" spans="1:3" ht="12.5" x14ac:dyDescent="0.25">
      <c r="C527" s="263"/>
    </row>
    <row r="528" spans="1:3" ht="12.5" x14ac:dyDescent="0.25">
      <c r="C528" s="263"/>
    </row>
    <row r="529" spans="1:3" ht="12.5" x14ac:dyDescent="0.25">
      <c r="C529" s="263"/>
    </row>
    <row r="530" spans="1:3" x14ac:dyDescent="0.3">
      <c r="A530" s="261"/>
      <c r="C530" s="263"/>
    </row>
    <row r="531" spans="1:3" ht="12.5" x14ac:dyDescent="0.25">
      <c r="C531" s="263"/>
    </row>
    <row r="532" spans="1:3" ht="12.5" x14ac:dyDescent="0.25">
      <c r="C532" s="263"/>
    </row>
    <row r="533" spans="1:3" ht="12.5" x14ac:dyDescent="0.25">
      <c r="C533" s="263"/>
    </row>
    <row r="534" spans="1:3" x14ac:dyDescent="0.3">
      <c r="A534" s="262"/>
    </row>
    <row r="535" spans="1:3" x14ac:dyDescent="0.3">
      <c r="A535" s="261"/>
    </row>
    <row r="536" spans="1:3" ht="12.5" x14ac:dyDescent="0.25">
      <c r="C536" s="263"/>
    </row>
    <row r="537" spans="1:3" ht="12.5" x14ac:dyDescent="0.25">
      <c r="C537" s="263"/>
    </row>
    <row r="538" spans="1:3" ht="12.5" x14ac:dyDescent="0.25">
      <c r="C538" s="263"/>
    </row>
    <row r="540" spans="1:3" x14ac:dyDescent="0.3">
      <c r="A540" s="261"/>
    </row>
    <row r="541" spans="1:3" ht="12.5" x14ac:dyDescent="0.25">
      <c r="C541" s="263"/>
    </row>
    <row r="542" spans="1:3" ht="12.5" x14ac:dyDescent="0.25">
      <c r="C542" s="263"/>
    </row>
    <row r="543" spans="1:3" ht="12.5" x14ac:dyDescent="0.25">
      <c r="C543" s="263"/>
    </row>
    <row r="544" spans="1:3" x14ac:dyDescent="0.3">
      <c r="A544" s="262"/>
    </row>
    <row r="545" spans="1:3" x14ac:dyDescent="0.3">
      <c r="A545" s="261"/>
    </row>
    <row r="546" spans="1:3" ht="12.5" x14ac:dyDescent="0.25">
      <c r="C546" s="263"/>
    </row>
    <row r="547" spans="1:3" ht="12.5" x14ac:dyDescent="0.25">
      <c r="C547" s="263"/>
    </row>
    <row r="548" spans="1:3" ht="12.5" x14ac:dyDescent="0.25">
      <c r="C548" s="263"/>
    </row>
    <row r="550" spans="1:3" x14ac:dyDescent="0.3">
      <c r="A550" s="261"/>
    </row>
    <row r="551" spans="1:3" x14ac:dyDescent="0.3">
      <c r="A551" s="261"/>
    </row>
    <row r="552" spans="1:3" ht="12.5" x14ac:dyDescent="0.25">
      <c r="C552" s="263"/>
    </row>
    <row r="553" spans="1:3" ht="12.5" x14ac:dyDescent="0.25">
      <c r="C553" s="263"/>
    </row>
    <row r="554" spans="1:3" ht="12.5" x14ac:dyDescent="0.25">
      <c r="C554" s="263"/>
    </row>
    <row r="556" spans="1:3" x14ac:dyDescent="0.3">
      <c r="A556" s="261"/>
    </row>
    <row r="557" spans="1:3" ht="12.5" x14ac:dyDescent="0.25">
      <c r="C557" s="263"/>
    </row>
    <row r="558" spans="1:3" ht="12.5" x14ac:dyDescent="0.25">
      <c r="C558" s="263"/>
    </row>
    <row r="559" spans="1:3" ht="12.5" x14ac:dyDescent="0.25">
      <c r="C559" s="263"/>
    </row>
    <row r="560" spans="1:3" ht="12.5" x14ac:dyDescent="0.25">
      <c r="C560" s="263"/>
    </row>
    <row r="561" spans="1:3" x14ac:dyDescent="0.3">
      <c r="A561" s="261"/>
    </row>
    <row r="562" spans="1:3" ht="12.5" x14ac:dyDescent="0.25">
      <c r="C562" s="263"/>
    </row>
    <row r="563" spans="1:3" ht="12.5" x14ac:dyDescent="0.25">
      <c r="C563" s="263"/>
    </row>
    <row r="564" spans="1:3" ht="12.5" x14ac:dyDescent="0.25">
      <c r="C564" s="263"/>
    </row>
    <row r="565" spans="1:3" x14ac:dyDescent="0.3">
      <c r="A565" s="262"/>
    </row>
    <row r="566" spans="1:3" x14ac:dyDescent="0.3">
      <c r="A566" s="261"/>
    </row>
    <row r="567" spans="1:3" ht="12.5" x14ac:dyDescent="0.25">
      <c r="C567" s="263"/>
    </row>
    <row r="568" spans="1:3" ht="12.5" x14ac:dyDescent="0.25">
      <c r="C568" s="263"/>
    </row>
    <row r="569" spans="1:3" ht="12.5" x14ac:dyDescent="0.25">
      <c r="C569" s="263"/>
    </row>
    <row r="571" spans="1:3" x14ac:dyDescent="0.3">
      <c r="A571" s="261"/>
    </row>
    <row r="572" spans="1:3" ht="12.5" x14ac:dyDescent="0.25">
      <c r="C572" s="263"/>
    </row>
    <row r="573" spans="1:3" ht="12.5" x14ac:dyDescent="0.25">
      <c r="C573" s="263"/>
    </row>
    <row r="574" spans="1:3" ht="12.5" x14ac:dyDescent="0.25">
      <c r="C574" s="263"/>
    </row>
    <row r="575" spans="1:3" ht="12.5" x14ac:dyDescent="0.25">
      <c r="C575" s="263"/>
    </row>
    <row r="576" spans="1:3" x14ac:dyDescent="0.3">
      <c r="A576" s="261"/>
    </row>
    <row r="577" spans="1:3" ht="12.5" x14ac:dyDescent="0.25">
      <c r="C577" s="263"/>
    </row>
    <row r="578" spans="1:3" ht="12.5" x14ac:dyDescent="0.25">
      <c r="C578" s="263"/>
    </row>
    <row r="579" spans="1:3" x14ac:dyDescent="0.3">
      <c r="A579" s="261"/>
    </row>
    <row r="580" spans="1:3" ht="12.5" x14ac:dyDescent="0.25">
      <c r="C580" s="263"/>
    </row>
    <row r="581" spans="1:3" ht="12.5" x14ac:dyDescent="0.25">
      <c r="C581" s="263"/>
    </row>
    <row r="582" spans="1:3" ht="12.5" x14ac:dyDescent="0.25">
      <c r="C582" s="263"/>
    </row>
    <row r="583" spans="1:3" ht="12.5" x14ac:dyDescent="0.25">
      <c r="C583" s="263"/>
    </row>
    <row r="585" spans="1:3" x14ac:dyDescent="0.3">
      <c r="A585" s="261"/>
    </row>
    <row r="586" spans="1:3" ht="12.5" x14ac:dyDescent="0.25">
      <c r="C586" s="263"/>
    </row>
    <row r="587" spans="1:3" ht="12.5" x14ac:dyDescent="0.25">
      <c r="C587" s="263"/>
    </row>
    <row r="588" spans="1:3" ht="12.5" x14ac:dyDescent="0.25">
      <c r="C588" s="263"/>
    </row>
    <row r="589" spans="1:3" x14ac:dyDescent="0.3">
      <c r="A589" s="262"/>
    </row>
    <row r="590" spans="1:3" x14ac:dyDescent="0.3">
      <c r="A590" s="261"/>
    </row>
    <row r="591" spans="1:3" ht="12.5" x14ac:dyDescent="0.25">
      <c r="C591" s="263"/>
    </row>
    <row r="592" spans="1:3" ht="12.5" x14ac:dyDescent="0.25">
      <c r="C592" s="263"/>
    </row>
    <row r="593" spans="1:3" ht="12.5" x14ac:dyDescent="0.25">
      <c r="C593" s="263"/>
    </row>
    <row r="595" spans="1:3" x14ac:dyDescent="0.3">
      <c r="A595" s="261"/>
    </row>
    <row r="596" spans="1:3" ht="12.5" x14ac:dyDescent="0.25">
      <c r="C596" s="263"/>
    </row>
    <row r="597" spans="1:3" ht="12.5" x14ac:dyDescent="0.25">
      <c r="C597" s="263"/>
    </row>
    <row r="598" spans="1:3" ht="12.5" x14ac:dyDescent="0.25">
      <c r="C598" s="263"/>
    </row>
    <row r="600" spans="1:3" x14ac:dyDescent="0.3">
      <c r="A600" s="261"/>
    </row>
    <row r="601" spans="1:3" ht="12.5" x14ac:dyDescent="0.25">
      <c r="C601" s="263"/>
    </row>
    <row r="602" spans="1:3" ht="12.5" x14ac:dyDescent="0.25">
      <c r="C602" s="263"/>
    </row>
    <row r="603" spans="1:3" ht="12.5" x14ac:dyDescent="0.25">
      <c r="C603" s="263"/>
    </row>
    <row r="604" spans="1:3" ht="12.5" x14ac:dyDescent="0.25">
      <c r="C604" s="263"/>
    </row>
    <row r="605" spans="1:3" x14ac:dyDescent="0.3">
      <c r="A605" s="261"/>
    </row>
    <row r="606" spans="1:3" ht="12.5" x14ac:dyDescent="0.25">
      <c r="C606" s="263"/>
    </row>
    <row r="607" spans="1:3" x14ac:dyDescent="0.3">
      <c r="A607" s="261"/>
    </row>
    <row r="608" spans="1:3" ht="12.5" x14ac:dyDescent="0.25">
      <c r="C608" s="263"/>
    </row>
    <row r="609" spans="1:3" ht="12.5" x14ac:dyDescent="0.25">
      <c r="C609" s="263"/>
    </row>
    <row r="610" spans="1:3" ht="12.5" x14ac:dyDescent="0.25">
      <c r="C610" s="263"/>
    </row>
    <row r="612" spans="1:3" x14ac:dyDescent="0.3">
      <c r="A612" s="261"/>
    </row>
    <row r="613" spans="1:3" ht="12.5" x14ac:dyDescent="0.25">
      <c r="C613" s="263"/>
    </row>
    <row r="614" spans="1:3" ht="12.5" x14ac:dyDescent="0.25">
      <c r="C614" s="263"/>
    </row>
    <row r="615" spans="1:3" ht="12.5" x14ac:dyDescent="0.25">
      <c r="C615" s="263"/>
    </row>
    <row r="616" spans="1:3" ht="12.5" x14ac:dyDescent="0.25">
      <c r="C616" s="263"/>
    </row>
    <row r="617" spans="1:3" x14ac:dyDescent="0.3">
      <c r="A617" s="261"/>
    </row>
    <row r="618" spans="1:3" ht="12.5" x14ac:dyDescent="0.25">
      <c r="C618" s="263"/>
    </row>
    <row r="619" spans="1:3" ht="12.5" x14ac:dyDescent="0.25">
      <c r="C619" s="263"/>
    </row>
    <row r="620" spans="1:3" ht="12.5" x14ac:dyDescent="0.25">
      <c r="C620" s="263"/>
    </row>
    <row r="621" spans="1:3" x14ac:dyDescent="0.3">
      <c r="A621" s="262"/>
    </row>
    <row r="622" spans="1:3" x14ac:dyDescent="0.3">
      <c r="A622" s="261"/>
    </row>
    <row r="623" spans="1:3" ht="12.5" x14ac:dyDescent="0.25">
      <c r="C623" s="263"/>
    </row>
    <row r="624" spans="1:3" ht="12.5" x14ac:dyDescent="0.25">
      <c r="C624" s="263"/>
    </row>
    <row r="625" spans="1:3" ht="12.5" x14ac:dyDescent="0.25">
      <c r="C625" s="263"/>
    </row>
    <row r="627" spans="1:3" x14ac:dyDescent="0.3">
      <c r="A627" s="261"/>
    </row>
    <row r="628" spans="1:3" ht="12.5" x14ac:dyDescent="0.25">
      <c r="C628" s="263"/>
    </row>
    <row r="629" spans="1:3" ht="12.5" x14ac:dyDescent="0.25">
      <c r="C629" s="263"/>
    </row>
    <row r="630" spans="1:3" ht="12.5" x14ac:dyDescent="0.25">
      <c r="C630" s="263"/>
    </row>
    <row r="631" spans="1:3" ht="12.5" x14ac:dyDescent="0.25">
      <c r="C631" s="263"/>
    </row>
    <row r="632" spans="1:3" x14ac:dyDescent="0.3">
      <c r="A632" s="261"/>
    </row>
    <row r="633" spans="1:3" ht="12.5" x14ac:dyDescent="0.25">
      <c r="C633" s="263"/>
    </row>
    <row r="634" spans="1:3" ht="12.5" x14ac:dyDescent="0.25">
      <c r="C634" s="263"/>
    </row>
    <row r="635" spans="1:3" x14ac:dyDescent="0.3">
      <c r="A635" s="261"/>
    </row>
    <row r="636" spans="1:3" ht="12.5" x14ac:dyDescent="0.25">
      <c r="C636" s="263"/>
    </row>
    <row r="637" spans="1:3" ht="12.5" x14ac:dyDescent="0.25">
      <c r="C637" s="263"/>
    </row>
    <row r="638" spans="1:3" ht="12.5" x14ac:dyDescent="0.25">
      <c r="C638" s="263"/>
    </row>
    <row r="639" spans="1:3" ht="12.5" x14ac:dyDescent="0.25">
      <c r="C639" s="263"/>
    </row>
    <row r="640" spans="1:3" ht="12.5" x14ac:dyDescent="0.25">
      <c r="C640" s="263"/>
    </row>
    <row r="641" spans="1:3" ht="12.5" x14ac:dyDescent="0.25">
      <c r="C641" s="263"/>
    </row>
    <row r="642" spans="1:3" x14ac:dyDescent="0.3">
      <c r="A642" s="261"/>
      <c r="C642" s="263"/>
    </row>
    <row r="643" spans="1:3" ht="12.5" x14ac:dyDescent="0.25">
      <c r="C643" s="263"/>
    </row>
    <row r="644" spans="1:3" ht="12.5" x14ac:dyDescent="0.25">
      <c r="C644" s="263"/>
    </row>
    <row r="645" spans="1:3" ht="12.5" x14ac:dyDescent="0.25">
      <c r="C645" s="263"/>
    </row>
    <row r="646" spans="1:3" x14ac:dyDescent="0.3">
      <c r="A646" s="262"/>
    </row>
    <row r="647" spans="1:3" x14ac:dyDescent="0.3">
      <c r="A647" s="261"/>
    </row>
    <row r="648" spans="1:3" ht="12.5" x14ac:dyDescent="0.25">
      <c r="C648" s="263"/>
    </row>
    <row r="649" spans="1:3" ht="12.5" x14ac:dyDescent="0.25">
      <c r="C649" s="263"/>
    </row>
    <row r="650" spans="1:3" ht="12.5" x14ac:dyDescent="0.25">
      <c r="C650" s="263"/>
    </row>
    <row r="652" spans="1:3" x14ac:dyDescent="0.3">
      <c r="A652" s="261"/>
    </row>
    <row r="653" spans="1:3" ht="12.5" x14ac:dyDescent="0.25">
      <c r="C653" s="263"/>
    </row>
    <row r="654" spans="1:3" ht="12.5" x14ac:dyDescent="0.25">
      <c r="C654" s="263"/>
    </row>
    <row r="655" spans="1:3" ht="12.5" x14ac:dyDescent="0.25">
      <c r="C655" s="263"/>
    </row>
    <row r="656" spans="1:3" x14ac:dyDescent="0.3">
      <c r="A656" s="262"/>
    </row>
    <row r="657" spans="1:3" x14ac:dyDescent="0.3">
      <c r="A657" s="261"/>
    </row>
    <row r="658" spans="1:3" ht="12.5" x14ac:dyDescent="0.25">
      <c r="C658" s="263"/>
    </row>
    <row r="659" spans="1:3" ht="12.5" x14ac:dyDescent="0.25">
      <c r="C659" s="263"/>
    </row>
    <row r="660" spans="1:3" ht="12.5" x14ac:dyDescent="0.25">
      <c r="C660" s="263"/>
    </row>
    <row r="662" spans="1:3" x14ac:dyDescent="0.3">
      <c r="A662" s="261"/>
    </row>
    <row r="663" spans="1:3" x14ac:dyDescent="0.3">
      <c r="A663" s="261"/>
    </row>
    <row r="664" spans="1:3" ht="12.5" x14ac:dyDescent="0.25">
      <c r="C664" s="263"/>
    </row>
    <row r="665" spans="1:3" ht="12.5" x14ac:dyDescent="0.25">
      <c r="C665" s="263"/>
    </row>
    <row r="666" spans="1:3" ht="12.5" x14ac:dyDescent="0.25">
      <c r="C666" s="263"/>
    </row>
    <row r="668" spans="1:3" x14ac:dyDescent="0.3">
      <c r="A668" s="261"/>
    </row>
    <row r="669" spans="1:3" ht="12.5" x14ac:dyDescent="0.25">
      <c r="C669" s="263"/>
    </row>
    <row r="670" spans="1:3" ht="12.5" x14ac:dyDescent="0.25">
      <c r="C670" s="263"/>
    </row>
    <row r="671" spans="1:3" ht="12.5" x14ac:dyDescent="0.25">
      <c r="C671" s="263"/>
    </row>
    <row r="672" spans="1:3" ht="12.5" x14ac:dyDescent="0.25">
      <c r="C672" s="263"/>
    </row>
    <row r="673" spans="1:3" x14ac:dyDescent="0.3">
      <c r="A673" s="261"/>
    </row>
    <row r="674" spans="1:3" ht="12.5" x14ac:dyDescent="0.25">
      <c r="C674" s="263"/>
    </row>
    <row r="675" spans="1:3" ht="12.5" x14ac:dyDescent="0.25">
      <c r="C675" s="263"/>
    </row>
    <row r="676" spans="1:3" ht="12.5" x14ac:dyDescent="0.25">
      <c r="C676" s="263"/>
    </row>
    <row r="677" spans="1:3" x14ac:dyDescent="0.3">
      <c r="A677" s="262"/>
    </row>
    <row r="678" spans="1:3" x14ac:dyDescent="0.3">
      <c r="A678" s="261"/>
    </row>
    <row r="679" spans="1:3" ht="12.5" x14ac:dyDescent="0.25">
      <c r="C679" s="263"/>
    </row>
    <row r="680" spans="1:3" ht="12.5" x14ac:dyDescent="0.25">
      <c r="C680" s="263"/>
    </row>
    <row r="681" spans="1:3" ht="12.5" x14ac:dyDescent="0.25">
      <c r="C681" s="263"/>
    </row>
    <row r="683" spans="1:3" x14ac:dyDescent="0.3">
      <c r="A683" s="261"/>
    </row>
    <row r="684" spans="1:3" ht="12.5" x14ac:dyDescent="0.25">
      <c r="C684" s="263"/>
    </row>
    <row r="685" spans="1:3" ht="12.5" x14ac:dyDescent="0.25">
      <c r="C685" s="263"/>
    </row>
    <row r="686" spans="1:3" ht="12.5" x14ac:dyDescent="0.25">
      <c r="C686" s="263"/>
    </row>
    <row r="687" spans="1:3" ht="12.5" x14ac:dyDescent="0.25">
      <c r="C687" s="263"/>
    </row>
    <row r="688" spans="1:3" x14ac:dyDescent="0.3">
      <c r="A688" s="261"/>
    </row>
    <row r="689" spans="1:3" ht="12.5" x14ac:dyDescent="0.25">
      <c r="C689" s="263"/>
    </row>
    <row r="690" spans="1:3" ht="12.5" x14ac:dyDescent="0.25">
      <c r="C690" s="263"/>
    </row>
    <row r="691" spans="1:3" x14ac:dyDescent="0.3">
      <c r="A691" s="261"/>
    </row>
    <row r="692" spans="1:3" ht="12.5" x14ac:dyDescent="0.25">
      <c r="C692" s="263"/>
    </row>
    <row r="693" spans="1:3" ht="12.5" x14ac:dyDescent="0.25">
      <c r="C693" s="263"/>
    </row>
    <row r="694" spans="1:3" ht="12.5" x14ac:dyDescent="0.25">
      <c r="C694" s="263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81" bestFit="1" customWidth="1"/>
    <col min="2" max="9" width="9.1796875" style="81"/>
    <col min="10" max="10" width="17.54296875" style="81" customWidth="1"/>
    <col min="11" max="11" width="8.26953125" style="81" customWidth="1"/>
    <col min="12" max="12" width="28.1796875" customWidth="1"/>
    <col min="13" max="14" width="10.1796875" customWidth="1"/>
  </cols>
  <sheetData>
    <row r="1" spans="1:16" ht="15.5" x14ac:dyDescent="0.35">
      <c r="A1" s="80" t="str">
        <f>CONCATENATE("Industry Figure 1  Growth in Employment by Industry Group (SIC 2007), ",M6," and ",N6,", ",Info!B5)</f>
        <v>Industry Figure 1  Growth in Employment by Industry Group (SIC 2007), 2015-2020 and 2020-2035, Black Country</v>
      </c>
    </row>
    <row r="2" spans="1:16" ht="13" x14ac:dyDescent="0.3">
      <c r="A2" s="182" t="s">
        <v>519</v>
      </c>
    </row>
    <row r="3" spans="1:16" ht="13" x14ac:dyDescent="0.3">
      <c r="L3" s="46" t="s">
        <v>442</v>
      </c>
    </row>
    <row r="5" spans="1:16" ht="13" x14ac:dyDescent="0.3">
      <c r="L5" s="30" t="s">
        <v>406</v>
      </c>
    </row>
    <row r="6" spans="1:16" x14ac:dyDescent="0.25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-0.37337526450476055</v>
      </c>
      <c r="N7">
        <f>'Ind T4'!C122</f>
        <v>0.33785827979151417</v>
      </c>
    </row>
    <row r="8" spans="1:16" x14ac:dyDescent="0.25">
      <c r="L8" s="13"/>
    </row>
    <row r="9" spans="1:16" x14ac:dyDescent="0.25">
      <c r="L9" s="13" t="str">
        <f>'Ind T4'!A81</f>
        <v>Health and social work</v>
      </c>
      <c r="M9">
        <f>'Ind T4'!B120</f>
        <v>3.3504114333352764</v>
      </c>
      <c r="N9">
        <f>'Ind T4'!C120</f>
        <v>0.82663545718055786</v>
      </c>
    </row>
    <row r="10" spans="1:16" x14ac:dyDescent="0.25">
      <c r="L10" s="13" t="str">
        <f>'Ind T4'!A80</f>
        <v>Education</v>
      </c>
      <c r="M10">
        <f>'Ind T4'!B119</f>
        <v>0.11266705941839206</v>
      </c>
      <c r="N10">
        <f>'Ind T4'!C119</f>
        <v>0.58235672652706683</v>
      </c>
    </row>
    <row r="11" spans="1:16" x14ac:dyDescent="0.25">
      <c r="L11" s="13" t="str">
        <f>'Ind T4'!A79</f>
        <v>Public admin. and defence</v>
      </c>
      <c r="M11">
        <f>'Ind T4'!B118</f>
        <v>-0.91907005465534652</v>
      </c>
      <c r="N11">
        <f>'Ind T4'!C118</f>
        <v>0.40041978615537044</v>
      </c>
    </row>
    <row r="12" spans="1:16" ht="13" x14ac:dyDescent="0.3">
      <c r="L12" s="1" t="str">
        <f>CONCATENATE("[",'Ind T4'!A78,"]")</f>
        <v>[Non-marketed services]</v>
      </c>
      <c r="M12">
        <f>'Ind T4'!B117</f>
        <v>1.6590222007271782</v>
      </c>
      <c r="N12">
        <f>'Ind T4'!C117</f>
        <v>0.69566210813678531</v>
      </c>
    </row>
    <row r="13" spans="1:16" x14ac:dyDescent="0.25">
      <c r="L13" s="13"/>
    </row>
    <row r="14" spans="1:16" x14ac:dyDescent="0.25">
      <c r="L14" s="13" t="str">
        <f>'Ind T4'!A76</f>
        <v>Other services</v>
      </c>
      <c r="M14" s="13">
        <f>'Ind T4'!B115</f>
        <v>-4.6461918152840065</v>
      </c>
      <c r="N14" s="13">
        <f>'Ind T4'!C115</f>
        <v>-0.18359253748900795</v>
      </c>
    </row>
    <row r="15" spans="1:16" x14ac:dyDescent="0.25">
      <c r="L15" s="13" t="str">
        <f>'Ind T4'!A75</f>
        <v>Arts and entertainment</v>
      </c>
      <c r="M15" s="13">
        <f>'Ind T4'!B114</f>
        <v>1.3439505911638783E-2</v>
      </c>
      <c r="N15" s="13">
        <f>'Ind T4'!C114</f>
        <v>2.4028950014032269E-2</v>
      </c>
    </row>
    <row r="16" spans="1:16" x14ac:dyDescent="0.25">
      <c r="L16" s="13" t="str">
        <f>'Ind T4'!A74</f>
        <v>Support services</v>
      </c>
      <c r="M16" s="13">
        <f>'Ind T4'!B113</f>
        <v>-4.3794892507493248</v>
      </c>
      <c r="N16" s="13">
        <f>'Ind T4'!C113</f>
        <v>0.69374342982508885</v>
      </c>
    </row>
    <row r="17" spans="12:14" x14ac:dyDescent="0.25">
      <c r="L17" s="13" t="str">
        <f>'Ind T4'!A73</f>
        <v>Professional services</v>
      </c>
      <c r="M17" s="13">
        <f>'Ind T4'!B112</f>
        <v>-2.8612738674500982</v>
      </c>
      <c r="N17" s="13">
        <f>'Ind T4'!C112</f>
        <v>0.56082936389389992</v>
      </c>
    </row>
    <row r="18" spans="12:14" x14ac:dyDescent="0.25">
      <c r="L18" s="13" t="str">
        <f>'Ind T4'!A72</f>
        <v>Real estate</v>
      </c>
      <c r="M18" s="13">
        <f>'Ind T4'!B111</f>
        <v>5.8041699319459461</v>
      </c>
      <c r="N18" s="13">
        <f>'Ind T4'!C111</f>
        <v>0.62192110201613193</v>
      </c>
    </row>
    <row r="19" spans="12:14" x14ac:dyDescent="0.25">
      <c r="L19" t="str">
        <f>'Ind T4'!A71</f>
        <v>Finance and insurance</v>
      </c>
      <c r="M19">
        <f>'Ind T4'!B110</f>
        <v>0.43075771892968628</v>
      </c>
      <c r="N19">
        <f>'Ind T4'!C110</f>
        <v>-0.25148190668480286</v>
      </c>
    </row>
    <row r="20" spans="12:14" x14ac:dyDescent="0.25">
      <c r="L20" t="str">
        <f>'Ind T4'!A70</f>
        <v>Information technology</v>
      </c>
      <c r="M20">
        <f>'Ind T4'!B109</f>
        <v>1.0043982331081835</v>
      </c>
      <c r="N20">
        <f>'Ind T4'!C109</f>
        <v>0.48468443215556878</v>
      </c>
    </row>
    <row r="21" spans="12:14" x14ac:dyDescent="0.25">
      <c r="L21" t="str">
        <f>'Ind T4'!A69</f>
        <v>Media</v>
      </c>
      <c r="M21">
        <f>'Ind T4'!B108</f>
        <v>4.317919695720529</v>
      </c>
      <c r="N21">
        <f>'Ind T4'!C108</f>
        <v>-1.2649425067379205E-2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-2.0137012202789295</v>
      </c>
      <c r="N22">
        <f>'Ind T4'!C107</f>
        <v>0.37837864603122995</v>
      </c>
    </row>
    <row r="23" spans="12:14" x14ac:dyDescent="0.25">
      <c r="L23" s="13"/>
    </row>
    <row r="24" spans="12:14" x14ac:dyDescent="0.25">
      <c r="L24" s="13" t="str">
        <f>'Ind T4'!A66</f>
        <v>Accommodation and food</v>
      </c>
      <c r="M24">
        <f>'Ind T4'!B105</f>
        <v>2.4315646878177999</v>
      </c>
      <c r="N24">
        <f>'Ind T4'!C105</f>
        <v>1.1564792740077046</v>
      </c>
    </row>
    <row r="25" spans="12:14" x14ac:dyDescent="0.25">
      <c r="L25" s="13" t="str">
        <f>'Ind T4'!A65</f>
        <v>Transport and storage</v>
      </c>
      <c r="M25">
        <f>'Ind T4'!B104</f>
        <v>-0.30613985664943444</v>
      </c>
      <c r="N25">
        <f>'Ind T4'!C104</f>
        <v>0.91311881014866092</v>
      </c>
    </row>
    <row r="26" spans="12:14" x14ac:dyDescent="0.25">
      <c r="L26" s="13" t="str">
        <f>'Ind T4'!A64</f>
        <v>Wholesale and retail trade</v>
      </c>
      <c r="M26">
        <f>'Ind T4'!B103</f>
        <v>-1.1087550815141123</v>
      </c>
      <c r="N26">
        <f>'Ind T4'!C103</f>
        <v>0.13417283261345503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-0.36967947018972103</v>
      </c>
      <c r="N27">
        <f>'Ind T4'!C102</f>
        <v>0.49954649968433351</v>
      </c>
    </row>
    <row r="28" spans="12:14" x14ac:dyDescent="0.25">
      <c r="L28" s="13"/>
    </row>
    <row r="29" spans="12:14" ht="13" x14ac:dyDescent="0.3">
      <c r="L29" s="1" t="str">
        <f>CONCATENATE("[",'Ind T4'!A61,"]")</f>
        <v>[Construction]</v>
      </c>
      <c r="M29">
        <f>'Ind T4'!B100</f>
        <v>3.1077352720811469</v>
      </c>
      <c r="N29">
        <f>'Ind T4'!C100</f>
        <v>7.7920169124201522E-2</v>
      </c>
    </row>
    <row r="30" spans="12:14" x14ac:dyDescent="0.25">
      <c r="L30" s="13"/>
    </row>
    <row r="31" spans="12:14" x14ac:dyDescent="0.25">
      <c r="L31" s="13" t="str">
        <f>'Ind T4'!A59</f>
        <v>Rest of manufacturing</v>
      </c>
      <c r="M31">
        <f>'Ind T4'!B98</f>
        <v>-1.7105723243751592</v>
      </c>
      <c r="N31">
        <f>'Ind T4'!C98</f>
        <v>-0.92945995550864913</v>
      </c>
    </row>
    <row r="32" spans="12:14" x14ac:dyDescent="0.25">
      <c r="L32" s="13" t="str">
        <f>'Ind T4'!A58</f>
        <v>Engineering</v>
      </c>
      <c r="M32">
        <f>'Ind T4'!B97</f>
        <v>1.2745642296063897</v>
      </c>
      <c r="N32">
        <f>'Ind T4'!C97</f>
        <v>-0.29741418690564236</v>
      </c>
    </row>
    <row r="33" spans="12:14" x14ac:dyDescent="0.25">
      <c r="L33" s="13" t="str">
        <f>'Ind T4'!A57</f>
        <v>Food drink and tobacco</v>
      </c>
      <c r="M33">
        <f>'Ind T4'!B96</f>
        <v>-2.128023882976382</v>
      </c>
      <c r="N33">
        <f>'Ind T4'!C96</f>
        <v>-0.11526556315361036</v>
      </c>
    </row>
    <row r="34" spans="12:14" ht="13" x14ac:dyDescent="0.3">
      <c r="L34" s="1" t="str">
        <f>CONCATENATE("[",'Ind T4'!A56,"]")</f>
        <v>[Manufacturing]</v>
      </c>
      <c r="M34">
        <f>'Ind T4'!B95</f>
        <v>-1.4328664326009766</v>
      </c>
      <c r="N34">
        <f>'Ind T4'!C95</f>
        <v>-0.76949802181702776</v>
      </c>
    </row>
    <row r="35" spans="12:14" x14ac:dyDescent="0.25">
      <c r="L35" s="13"/>
    </row>
    <row r="36" spans="12:14" x14ac:dyDescent="0.25">
      <c r="L36" s="13" t="str">
        <f>'Ind T4'!A54</f>
        <v>Water and sewerage</v>
      </c>
      <c r="M36">
        <f>'Ind T4'!B93</f>
        <v>-2.5711502018754384</v>
      </c>
      <c r="N36">
        <f>'Ind T4'!C93</f>
        <v>0.41708541045613057</v>
      </c>
    </row>
    <row r="37" spans="12:14" x14ac:dyDescent="0.25">
      <c r="L37" s="13" t="str">
        <f>'Ind T4'!A53</f>
        <v>Electricity and gas</v>
      </c>
      <c r="M37">
        <f>'Ind T4'!B92</f>
        <v>-17.715115116248825</v>
      </c>
      <c r="N37">
        <f>'Ind T4'!C92</f>
        <v>-0.53724519762728962</v>
      </c>
    </row>
    <row r="38" spans="12:14" x14ac:dyDescent="0.25">
      <c r="L38" s="13" t="str">
        <f>'Ind T4'!A52</f>
        <v>Mining and quarrying</v>
      </c>
      <c r="M38">
        <f>'Ind T4'!B91</f>
        <v>-0.8795336388493058</v>
      </c>
      <c r="N38">
        <f>'Ind T4'!C91</f>
        <v>-5.8253698205931848</v>
      </c>
    </row>
    <row r="39" spans="12:14" x14ac:dyDescent="0.25">
      <c r="L39" s="45" t="str">
        <f>'Ind T4'!A51</f>
        <v>Agriculture</v>
      </c>
      <c r="M39">
        <f>'Ind T4'!B90</f>
        <v>-17.766261616063083</v>
      </c>
      <c r="N39">
        <f>'Ind T4'!C90</f>
        <v>0.57424028723909171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-11.097776560099071</v>
      </c>
      <c r="N40">
        <f>'Ind T4'!C89</f>
        <v>9.402185913227612E-2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81" customWidth="1"/>
    <col min="2" max="10" width="9.1796875" style="81"/>
    <col min="11" max="11" width="24.54296875" style="81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80" t="str">
        <f>CONCATENATE("Industry Figure 2  Employment by Industry (SIC 2007), ",$M$2,"-",$O$2,", ",Info!B5)</f>
        <v>Industry Figure 2  Employment by Industry (SIC 2007), 2010-2035, Black Country</v>
      </c>
      <c r="L1" s="46"/>
    </row>
    <row r="2" spans="1:96" ht="13" x14ac:dyDescent="0.3">
      <c r="A2" s="182" t="s">
        <v>519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5">
      <c r="L3" s="16"/>
      <c r="M3" s="16"/>
      <c r="N3" s="47"/>
      <c r="O3" s="16"/>
    </row>
    <row r="4" spans="1:96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ht="13" x14ac:dyDescent="0.3">
      <c r="L5" s="1" t="str">
        <f>'Ind T4'!A7</f>
        <v>Primary sector and utilities</v>
      </c>
      <c r="M5" s="11">
        <f>SUM(M6:M9)</f>
        <v>13.651999999999997</v>
      </c>
      <c r="N5" s="11">
        <f t="shared" ref="N5:AL5" si="1">SUM(N6:N9)</f>
        <v>11.888999999999992</v>
      </c>
      <c r="O5" s="11">
        <f t="shared" si="1"/>
        <v>12.679000000000009</v>
      </c>
      <c r="P5" s="11">
        <f t="shared" si="1"/>
        <v>9.8110000000000035</v>
      </c>
      <c r="Q5" s="11">
        <f t="shared" si="1"/>
        <v>11.135999999999996</v>
      </c>
      <c r="R5" s="11">
        <f t="shared" si="1"/>
        <v>12.683999999999983</v>
      </c>
      <c r="S5" s="11">
        <f t="shared" si="1"/>
        <v>11.487999999999989</v>
      </c>
      <c r="T5" s="11">
        <f t="shared" si="1"/>
        <v>11.597000000000007</v>
      </c>
      <c r="U5" s="11">
        <f t="shared" si="1"/>
        <v>9.9199999999999946</v>
      </c>
      <c r="V5" s="11">
        <f t="shared" si="1"/>
        <v>8.5460000000000012</v>
      </c>
      <c r="W5" s="11">
        <f t="shared" si="1"/>
        <v>7.0440000000000094</v>
      </c>
      <c r="X5" s="11">
        <f t="shared" si="1"/>
        <v>6.91</v>
      </c>
      <c r="Y5" s="11">
        <f t="shared" si="1"/>
        <v>6.839000000000004</v>
      </c>
      <c r="Z5" s="11">
        <f t="shared" si="1"/>
        <v>6.8739999999999961</v>
      </c>
      <c r="AA5" s="11">
        <f t="shared" si="1"/>
        <v>7.0259999999999998</v>
      </c>
      <c r="AB5" s="11">
        <f t="shared" si="1"/>
        <v>7.0900000000000025</v>
      </c>
      <c r="AC5" s="11">
        <f t="shared" si="1"/>
        <v>7.1320000000000103</v>
      </c>
      <c r="AD5" s="11">
        <f t="shared" si="1"/>
        <v>7.1539999999999964</v>
      </c>
      <c r="AE5" s="11">
        <f t="shared" si="1"/>
        <v>7.1630000000000162</v>
      </c>
      <c r="AF5" s="11">
        <f t="shared" si="1"/>
        <v>7.1640000000000033</v>
      </c>
      <c r="AG5" s="11">
        <f t="shared" si="1"/>
        <v>7.1640000000000015</v>
      </c>
      <c r="AH5" s="11">
        <f t="shared" si="1"/>
        <v>7.1630000000000011</v>
      </c>
      <c r="AI5" s="11">
        <f t="shared" si="1"/>
        <v>7.1599999999999975</v>
      </c>
      <c r="AJ5" s="11">
        <f t="shared" si="1"/>
        <v>7.1549999999999949</v>
      </c>
      <c r="AK5" s="11">
        <f t="shared" si="1"/>
        <v>7.15</v>
      </c>
      <c r="AL5" s="11">
        <f t="shared" si="1"/>
        <v>7.1439999999999957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83" t="str">
        <f>'Ind T4'!A8</f>
        <v>Agriculture</v>
      </c>
      <c r="M6" s="11">
        <v>3.7519999999999905</v>
      </c>
      <c r="N6" s="11">
        <v>2.9549999999999992</v>
      </c>
      <c r="O6" s="11">
        <v>3.4950000000000006</v>
      </c>
      <c r="P6" s="11">
        <v>1.8159999999999974</v>
      </c>
      <c r="Q6" s="11">
        <v>2.2370000000000001</v>
      </c>
      <c r="R6" s="11">
        <v>2.9649999999999994</v>
      </c>
      <c r="S6" s="11">
        <v>2.1349999999999989</v>
      </c>
      <c r="T6" s="11">
        <v>1.865999999999997</v>
      </c>
      <c r="U6" s="11">
        <v>3.278999999999999</v>
      </c>
      <c r="V6" s="11">
        <v>2.2860000000000018</v>
      </c>
      <c r="W6" s="11">
        <v>1.1150000000000002</v>
      </c>
      <c r="X6" s="11">
        <v>1.1380000000000019</v>
      </c>
      <c r="Y6" s="11">
        <v>1.160000000000001</v>
      </c>
      <c r="Z6" s="11">
        <v>1.1910000000000005</v>
      </c>
      <c r="AA6" s="11">
        <v>1.2129999999999992</v>
      </c>
      <c r="AB6" s="11">
        <v>1.2120000000000011</v>
      </c>
      <c r="AC6" s="11">
        <v>1.213000000000003</v>
      </c>
      <c r="AD6" s="11">
        <v>1.2119999999999991</v>
      </c>
      <c r="AE6" s="11">
        <v>1.212000000000002</v>
      </c>
      <c r="AF6" s="11">
        <v>1.2099999999999966</v>
      </c>
      <c r="AG6" s="11">
        <v>1.2119999999999991</v>
      </c>
      <c r="AH6" s="11">
        <v>1.2130000000000003</v>
      </c>
      <c r="AI6" s="11">
        <v>1.214</v>
      </c>
      <c r="AJ6" s="11">
        <v>1.2149999999999963</v>
      </c>
      <c r="AK6" s="172">
        <v>1.2150000000000012</v>
      </c>
      <c r="AL6" s="11">
        <v>1.2149999999999985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83" t="str">
        <f>'Ind T4'!A9</f>
        <v>Mining and quarrying</v>
      </c>
      <c r="M7" s="11">
        <v>5.7999999999999996E-2</v>
      </c>
      <c r="N7" s="11">
        <v>2.199999999999994E-2</v>
      </c>
      <c r="O7" s="11">
        <v>0.37600000000000044</v>
      </c>
      <c r="P7" s="11">
        <v>0</v>
      </c>
      <c r="Q7" s="11">
        <v>1.0000000000000004E-2</v>
      </c>
      <c r="R7" s="11">
        <v>0.16200000000000017</v>
      </c>
      <c r="S7" s="11">
        <v>0</v>
      </c>
      <c r="T7" s="11">
        <v>2.3999999999999959E-2</v>
      </c>
      <c r="U7" s="11">
        <v>0.23599999999999999</v>
      </c>
      <c r="V7" s="11">
        <v>0.14499999999999999</v>
      </c>
      <c r="W7" s="11">
        <v>0.1549999999999995</v>
      </c>
      <c r="X7" s="11">
        <v>0.14200000000000026</v>
      </c>
      <c r="Y7" s="11">
        <v>0.13600000000000012</v>
      </c>
      <c r="Z7" s="11">
        <v>0.12600000000000014</v>
      </c>
      <c r="AA7" s="11">
        <v>0.1170000000000003</v>
      </c>
      <c r="AB7" s="11">
        <v>0.10899999999999994</v>
      </c>
      <c r="AC7" s="11">
        <v>0.10200000000000022</v>
      </c>
      <c r="AD7" s="11">
        <v>9.6000000000000085E-2</v>
      </c>
      <c r="AE7" s="11">
        <v>9.09999999999999E-2</v>
      </c>
      <c r="AF7" s="11">
        <v>8.600000000000009E-2</v>
      </c>
      <c r="AG7" s="11">
        <v>8.1000000000000044E-2</v>
      </c>
      <c r="AH7" s="11">
        <v>7.7000000000000013E-2</v>
      </c>
      <c r="AI7" s="11">
        <v>7.2999999999999843E-2</v>
      </c>
      <c r="AJ7" s="11">
        <v>6.9000000000000075E-2</v>
      </c>
      <c r="AK7" s="172">
        <v>6.5999999999999823E-2</v>
      </c>
      <c r="AL7" s="11">
        <v>6.2999999999999987E-2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83" t="str">
        <f>'Ind T4'!A10</f>
        <v>Electricity and gas</v>
      </c>
      <c r="M8" s="11">
        <v>5.7300000000000129</v>
      </c>
      <c r="N8" s="11">
        <v>5.0709999999999997</v>
      </c>
      <c r="O8" s="11">
        <v>5.1230000000000002</v>
      </c>
      <c r="P8" s="11">
        <v>5.0430000000000108</v>
      </c>
      <c r="Q8" s="11">
        <v>4.8650000000000011</v>
      </c>
      <c r="R8" s="11">
        <v>5.225000000000005</v>
      </c>
      <c r="S8" s="11">
        <v>5.6549999999999923</v>
      </c>
      <c r="T8" s="11">
        <v>5.4660000000000144</v>
      </c>
      <c r="U8" s="11">
        <v>2.0090000000000021</v>
      </c>
      <c r="V8" s="11">
        <v>1.7090000000000003</v>
      </c>
      <c r="W8" s="11">
        <v>1.9710000000000003</v>
      </c>
      <c r="X8" s="11">
        <v>1.9320000000000037</v>
      </c>
      <c r="Y8" s="11">
        <v>1.8809999999999991</v>
      </c>
      <c r="Z8" s="11">
        <v>1.8669999999999995</v>
      </c>
      <c r="AA8" s="11">
        <v>1.8610000000000007</v>
      </c>
      <c r="AB8" s="11">
        <v>1.8560000000000028</v>
      </c>
      <c r="AC8" s="11">
        <v>1.8499999999999981</v>
      </c>
      <c r="AD8" s="11">
        <v>1.8449999999999991</v>
      </c>
      <c r="AE8" s="11">
        <v>1.8390000000000035</v>
      </c>
      <c r="AF8" s="11">
        <v>1.8350000000000046</v>
      </c>
      <c r="AG8" s="11">
        <v>1.8309999999999993</v>
      </c>
      <c r="AH8" s="11">
        <v>1.8279999999999992</v>
      </c>
      <c r="AI8" s="11">
        <v>1.826000000000003</v>
      </c>
      <c r="AJ8" s="11">
        <v>1.823000000000004</v>
      </c>
      <c r="AK8" s="172">
        <v>1.819999999999997</v>
      </c>
      <c r="AL8" s="11">
        <v>1.8179999999999998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83" t="str">
        <f>'Ind T4'!A11</f>
        <v>Water and sewerage</v>
      </c>
      <c r="M9" s="11">
        <v>4.1119999999999948</v>
      </c>
      <c r="N9" s="11">
        <v>3.840999999999994</v>
      </c>
      <c r="O9" s="11">
        <v>3.6850000000000067</v>
      </c>
      <c r="P9" s="11">
        <v>2.9519999999999964</v>
      </c>
      <c r="Q9" s="11">
        <v>4.0239999999999947</v>
      </c>
      <c r="R9" s="11">
        <v>4.3319999999999794</v>
      </c>
      <c r="S9" s="11">
        <v>3.6979999999999968</v>
      </c>
      <c r="T9" s="11">
        <v>4.2409999999999952</v>
      </c>
      <c r="U9" s="11">
        <v>4.3959999999999937</v>
      </c>
      <c r="V9" s="11">
        <v>4.4059999999999988</v>
      </c>
      <c r="W9" s="11">
        <v>3.8030000000000097</v>
      </c>
      <c r="X9" s="11">
        <v>3.6979999999999937</v>
      </c>
      <c r="Y9" s="11">
        <v>3.6620000000000039</v>
      </c>
      <c r="Z9" s="11">
        <v>3.6899999999999959</v>
      </c>
      <c r="AA9" s="11">
        <v>3.835</v>
      </c>
      <c r="AB9" s="11">
        <v>3.9129999999999985</v>
      </c>
      <c r="AC9" s="11">
        <v>3.967000000000009</v>
      </c>
      <c r="AD9" s="11">
        <v>4.0009999999999986</v>
      </c>
      <c r="AE9" s="11">
        <v>4.0210000000000106</v>
      </c>
      <c r="AF9" s="11">
        <v>4.0330000000000021</v>
      </c>
      <c r="AG9" s="11">
        <v>4.0400000000000036</v>
      </c>
      <c r="AH9" s="11">
        <v>4.0450000000000017</v>
      </c>
      <c r="AI9" s="11">
        <v>4.0469999999999944</v>
      </c>
      <c r="AJ9" s="11">
        <v>4.0479999999999947</v>
      </c>
      <c r="AK9" s="172">
        <v>4.0490000000000022</v>
      </c>
      <c r="AL9" s="11">
        <v>4.0479999999999974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69.248999999999967</v>
      </c>
      <c r="N11" s="11">
        <f t="shared" si="2"/>
        <v>70.262</v>
      </c>
      <c r="O11" s="11">
        <f t="shared" si="2"/>
        <v>69.719000000000108</v>
      </c>
      <c r="P11" s="11">
        <f t="shared" si="2"/>
        <v>69.696999999999946</v>
      </c>
      <c r="Q11" s="11">
        <f t="shared" si="2"/>
        <v>70.717999999999734</v>
      </c>
      <c r="R11" s="11">
        <f t="shared" ref="R11" si="3">SUM(R12:R14)</f>
        <v>68.658999999999878</v>
      </c>
      <c r="S11" s="11">
        <f t="shared" ref="S11" si="4">SUM(S12:S14)</f>
        <v>65.025999999999698</v>
      </c>
      <c r="T11" s="11">
        <f t="shared" ref="T11" si="5">SUM(T12:T14)</f>
        <v>65.68200000000013</v>
      </c>
      <c r="U11" s="11">
        <f t="shared" ref="U11" si="6">SUM(U12:U14)</f>
        <v>67.220000000000041</v>
      </c>
      <c r="V11" s="11">
        <f t="shared" ref="V11" si="7">SUM(V12:V14)</f>
        <v>69.284999999999926</v>
      </c>
      <c r="W11" s="11">
        <f t="shared" ref="W11" si="8">SUM(W12:W14)</f>
        <v>63.879000000000019</v>
      </c>
      <c r="X11" s="11">
        <f t="shared" ref="X11" si="9">SUM(X12:X14)</f>
        <v>65.001999999999924</v>
      </c>
      <c r="Y11" s="11">
        <f t="shared" ref="Y11" si="10">SUM(Y12:Y14)</f>
        <v>64.117999999999924</v>
      </c>
      <c r="Z11" s="11">
        <f t="shared" ref="Z11" si="11">SUM(Z12:Z14)</f>
        <v>63.464999999999996</v>
      </c>
      <c r="AA11" s="11">
        <f t="shared" ref="AA11" si="12">SUM(AA12:AA14)</f>
        <v>63.086999999999932</v>
      </c>
      <c r="AB11" s="11">
        <f t="shared" ref="AB11" si="13">SUM(AB12:AB14)</f>
        <v>62.486999999999853</v>
      </c>
      <c r="AC11" s="11">
        <f t="shared" ref="AC11" si="14">SUM(AC12:AC14)</f>
        <v>61.830000000000034</v>
      </c>
      <c r="AD11" s="11">
        <f>SUM(AD12:AD14)</f>
        <v>61.14399999999992</v>
      </c>
      <c r="AE11" s="11">
        <f t="shared" ref="AE11" si="15">SUM(AE12:AE14)</f>
        <v>60.486999999999924</v>
      </c>
      <c r="AF11" s="11">
        <f t="shared" ref="AF11" si="16">SUM(AF12:AF14)</f>
        <v>59.862999999999928</v>
      </c>
      <c r="AG11" s="11">
        <f t="shared" ref="AG11:AL11" si="17">SUM(AG12:AG14)</f>
        <v>59.329000000000008</v>
      </c>
      <c r="AH11" s="11">
        <f t="shared" si="17"/>
        <v>58.787000000000077</v>
      </c>
      <c r="AI11" s="11">
        <f t="shared" si="17"/>
        <v>58.272999999999897</v>
      </c>
      <c r="AJ11" s="11">
        <f t="shared" si="17"/>
        <v>57.78499999999994</v>
      </c>
      <c r="AK11" s="11">
        <f t="shared" si="17"/>
        <v>57.322999999999993</v>
      </c>
      <c r="AL11" s="11">
        <f t="shared" si="17"/>
        <v>56.88999999999993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83" t="str">
        <f>'Ind T4'!A14</f>
        <v>Food drink and tobacco</v>
      </c>
      <c r="M12" s="11">
        <v>6.2319999999999931</v>
      </c>
      <c r="N12" s="11">
        <v>6.3050000000000139</v>
      </c>
      <c r="O12" s="11">
        <v>6.209999999999992</v>
      </c>
      <c r="P12" s="11">
        <v>6.340000000000015</v>
      </c>
      <c r="Q12" s="11">
        <v>7.092000000000005</v>
      </c>
      <c r="R12" s="11">
        <v>7.0119999999999862</v>
      </c>
      <c r="S12" s="11">
        <v>7.2139999999999738</v>
      </c>
      <c r="T12" s="11">
        <v>6.3239999999999803</v>
      </c>
      <c r="U12" s="11">
        <v>6.2050000000000054</v>
      </c>
      <c r="V12" s="11">
        <v>6.3419999999999943</v>
      </c>
      <c r="W12" s="11">
        <v>6.2970000000000024</v>
      </c>
      <c r="X12" s="11">
        <v>6.3040000000000003</v>
      </c>
      <c r="Y12" s="11">
        <v>6.3140000000000027</v>
      </c>
      <c r="Z12" s="11">
        <v>6.3540000000000036</v>
      </c>
      <c r="AA12" s="11">
        <v>6.3559999999999999</v>
      </c>
      <c r="AB12" s="11">
        <v>6.3359999999999932</v>
      </c>
      <c r="AC12" s="11">
        <v>6.3270000000000177</v>
      </c>
      <c r="AD12" s="11">
        <v>6.3149999999999933</v>
      </c>
      <c r="AE12" s="11">
        <v>6.3010000000000117</v>
      </c>
      <c r="AF12" s="11">
        <v>6.2849999999999984</v>
      </c>
      <c r="AG12" s="11">
        <v>6.2709999999999999</v>
      </c>
      <c r="AH12" s="11">
        <v>6.2560000000000073</v>
      </c>
      <c r="AI12" s="11">
        <v>6.2399999999999869</v>
      </c>
      <c r="AJ12" s="11">
        <v>6.2240000000000082</v>
      </c>
      <c r="AK12" s="172">
        <v>6.2070000000000025</v>
      </c>
      <c r="AL12" s="11">
        <v>6.1889999999999938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83" t="str">
        <f>'Ind T4'!A15</f>
        <v>Engineering</v>
      </c>
      <c r="M13" s="11">
        <v>8.2020000000000088</v>
      </c>
      <c r="N13" s="11">
        <v>10.24199999999999</v>
      </c>
      <c r="O13" s="11">
        <v>8.9029999999999934</v>
      </c>
      <c r="P13" s="11">
        <v>7.9330000000000007</v>
      </c>
      <c r="Q13" s="11">
        <v>7.8410000000000037</v>
      </c>
      <c r="R13" s="11">
        <v>6.9600000000000088</v>
      </c>
      <c r="S13" s="11">
        <v>7.6329999999999929</v>
      </c>
      <c r="T13" s="11">
        <v>7.8860000000000099</v>
      </c>
      <c r="U13" s="11">
        <v>8.3750000000000302</v>
      </c>
      <c r="V13" s="11">
        <v>8.1669999999999945</v>
      </c>
      <c r="W13" s="11">
        <v>7.4150000000000249</v>
      </c>
      <c r="X13" s="11">
        <v>7.7770000000000135</v>
      </c>
      <c r="Y13" s="11">
        <v>7.7420000000000071</v>
      </c>
      <c r="Z13" s="11">
        <v>7.8460000000000072</v>
      </c>
      <c r="AA13" s="11">
        <v>7.8789999999999969</v>
      </c>
      <c r="AB13" s="11">
        <v>7.8680000000000039</v>
      </c>
      <c r="AC13" s="11">
        <v>7.7869999999999919</v>
      </c>
      <c r="AD13" s="11">
        <v>7.7049999999999716</v>
      </c>
      <c r="AE13" s="11">
        <v>7.6230000000000118</v>
      </c>
      <c r="AF13" s="11">
        <v>7.5419999999999954</v>
      </c>
      <c r="AG13" s="11">
        <v>7.4719999999999871</v>
      </c>
      <c r="AH13" s="11">
        <v>7.3980000000000041</v>
      </c>
      <c r="AI13" s="11">
        <v>7.3220000000000001</v>
      </c>
      <c r="AJ13" s="11">
        <v>7.2450000000000179</v>
      </c>
      <c r="AK13" s="172">
        <v>7.167999999999993</v>
      </c>
      <c r="AL13" s="11">
        <v>7.0909999999999744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83" t="str">
        <f>'Ind T4'!A16</f>
        <v>Rest of manufacturing</v>
      </c>
      <c r="M14" s="11">
        <v>54.814999999999962</v>
      </c>
      <c r="N14" s="11">
        <v>53.714999999999989</v>
      </c>
      <c r="O14" s="11">
        <v>54.606000000000122</v>
      </c>
      <c r="P14" s="11">
        <v>55.423999999999936</v>
      </c>
      <c r="Q14" s="11">
        <v>55.784999999999719</v>
      </c>
      <c r="R14" s="11">
        <v>54.686999999999884</v>
      </c>
      <c r="S14" s="11">
        <v>50.178999999999739</v>
      </c>
      <c r="T14" s="11">
        <v>51.472000000000136</v>
      </c>
      <c r="U14" s="11">
        <v>52.640000000000008</v>
      </c>
      <c r="V14" s="11">
        <v>54.775999999999939</v>
      </c>
      <c r="W14" s="11">
        <v>50.166999999999987</v>
      </c>
      <c r="X14" s="11">
        <v>50.920999999999907</v>
      </c>
      <c r="Y14" s="11">
        <v>50.061999999999919</v>
      </c>
      <c r="Z14" s="11">
        <v>49.264999999999986</v>
      </c>
      <c r="AA14" s="11">
        <v>48.851999999999933</v>
      </c>
      <c r="AB14" s="11">
        <v>48.282999999999852</v>
      </c>
      <c r="AC14" s="11">
        <v>47.716000000000022</v>
      </c>
      <c r="AD14" s="11">
        <v>47.123999999999953</v>
      </c>
      <c r="AE14" s="11">
        <v>46.562999999999903</v>
      </c>
      <c r="AF14" s="11">
        <v>46.035999999999937</v>
      </c>
      <c r="AG14" s="11">
        <v>45.58600000000002</v>
      </c>
      <c r="AH14" s="11">
        <v>45.133000000000067</v>
      </c>
      <c r="AI14" s="11">
        <v>44.710999999999913</v>
      </c>
      <c r="AJ14" s="11">
        <v>44.31599999999991</v>
      </c>
      <c r="AK14" s="172">
        <v>43.948</v>
      </c>
      <c r="AL14" s="11">
        <v>43.609999999999964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35.561000000000007</v>
      </c>
      <c r="N16" s="11">
        <v>32.780999999999999</v>
      </c>
      <c r="O16" s="11">
        <v>32.984000000000016</v>
      </c>
      <c r="P16" s="11">
        <v>31.03799999999994</v>
      </c>
      <c r="Q16" s="11">
        <v>27.86999999999998</v>
      </c>
      <c r="R16" s="11">
        <v>31.762999999999963</v>
      </c>
      <c r="S16" s="11">
        <v>29.737999999999992</v>
      </c>
      <c r="T16" s="11">
        <v>30.231000000000037</v>
      </c>
      <c r="U16" s="11">
        <v>38.885000000000055</v>
      </c>
      <c r="V16" s="11">
        <v>39.074999999999903</v>
      </c>
      <c r="W16" s="11">
        <v>37.015000000000043</v>
      </c>
      <c r="X16" s="11">
        <v>36.345000000000077</v>
      </c>
      <c r="Y16" s="11">
        <v>36.402999999999928</v>
      </c>
      <c r="Z16" s="11">
        <v>36.595999999999954</v>
      </c>
      <c r="AA16" s="11">
        <v>36.787999999999919</v>
      </c>
      <c r="AB16" s="11">
        <v>36.904000000000053</v>
      </c>
      <c r="AC16" s="11">
        <v>36.984000000000023</v>
      </c>
      <c r="AD16" s="11">
        <v>36.987000000000108</v>
      </c>
      <c r="AE16" s="11">
        <v>37.024999999999991</v>
      </c>
      <c r="AF16" s="11">
        <v>37.043999999999933</v>
      </c>
      <c r="AG16" s="11">
        <v>37.100999999999964</v>
      </c>
      <c r="AH16" s="11">
        <v>37.162999999999904</v>
      </c>
      <c r="AI16" s="11">
        <v>37.229999999999976</v>
      </c>
      <c r="AJ16" s="11">
        <v>37.302</v>
      </c>
      <c r="AK16" s="172">
        <v>37.374999999999929</v>
      </c>
      <c r="AL16" s="11">
        <v>37.449999999999932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132.35200000000003</v>
      </c>
      <c r="N18" s="11">
        <f t="shared" ref="N18:AL18" si="18">SUM(N19:N21)</f>
        <v>128.18300000000011</v>
      </c>
      <c r="O18" s="11">
        <f t="shared" si="18"/>
        <v>136.41099999999992</v>
      </c>
      <c r="P18" s="11">
        <f t="shared" si="18"/>
        <v>134.39599999999987</v>
      </c>
      <c r="Q18" s="11">
        <f t="shared" si="18"/>
        <v>140.59800000000016</v>
      </c>
      <c r="R18" s="11">
        <f t="shared" si="18"/>
        <v>147.42899999999989</v>
      </c>
      <c r="S18" s="11">
        <f t="shared" si="18"/>
        <v>144.13499999999999</v>
      </c>
      <c r="T18" s="11">
        <f t="shared" si="18"/>
        <v>146.72099999999983</v>
      </c>
      <c r="U18" s="11">
        <f t="shared" si="18"/>
        <v>145.82500000000007</v>
      </c>
      <c r="V18" s="11">
        <f t="shared" si="18"/>
        <v>146.70800000000006</v>
      </c>
      <c r="W18" s="11">
        <f t="shared" si="18"/>
        <v>144.72399999999985</v>
      </c>
      <c r="X18" s="11">
        <f t="shared" si="18"/>
        <v>146.41399999999999</v>
      </c>
      <c r="Y18" s="11">
        <f t="shared" si="18"/>
        <v>147.58000000000004</v>
      </c>
      <c r="Z18" s="11">
        <f t="shared" si="18"/>
        <v>148.35899999999995</v>
      </c>
      <c r="AA18" s="11">
        <f t="shared" si="18"/>
        <v>149.16099999999997</v>
      </c>
      <c r="AB18" s="11">
        <f t="shared" si="18"/>
        <v>150.00999999999996</v>
      </c>
      <c r="AC18" s="11">
        <f t="shared" si="18"/>
        <v>150.70100000000016</v>
      </c>
      <c r="AD18" s="11">
        <f t="shared" si="18"/>
        <v>151.33299999999986</v>
      </c>
      <c r="AE18" s="11">
        <f t="shared" si="18"/>
        <v>151.92900000000026</v>
      </c>
      <c r="AF18" s="11">
        <f t="shared" si="18"/>
        <v>152.50599999999994</v>
      </c>
      <c r="AG18" s="11">
        <f t="shared" si="18"/>
        <v>153.10400000000021</v>
      </c>
      <c r="AH18" s="11">
        <f t="shared" si="18"/>
        <v>153.69199999999995</v>
      </c>
      <c r="AI18" s="11">
        <f t="shared" si="18"/>
        <v>154.26700000000008</v>
      </c>
      <c r="AJ18" s="11">
        <f t="shared" si="18"/>
        <v>154.8480000000001</v>
      </c>
      <c r="AK18" s="11">
        <f t="shared" si="18"/>
        <v>155.40799999999999</v>
      </c>
      <c r="AL18" s="11">
        <f t="shared" si="18"/>
        <v>155.95600000000013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83" t="str">
        <f>'Ind T4'!A21</f>
        <v>Wholesale and retail trade</v>
      </c>
      <c r="M19" s="11">
        <v>90.263000000000019</v>
      </c>
      <c r="N19" s="11">
        <v>87.679000000000045</v>
      </c>
      <c r="O19" s="11">
        <v>89.740999999999829</v>
      </c>
      <c r="P19" s="11">
        <v>91.666999999999902</v>
      </c>
      <c r="Q19" s="11">
        <v>92.726000000000127</v>
      </c>
      <c r="R19" s="11">
        <v>92.065999999999917</v>
      </c>
      <c r="S19" s="11">
        <v>90.358999999999881</v>
      </c>
      <c r="T19" s="11">
        <v>91.593999999999909</v>
      </c>
      <c r="U19" s="11">
        <v>90.236000000000033</v>
      </c>
      <c r="V19" s="11">
        <v>88.560000000000031</v>
      </c>
      <c r="W19" s="11">
        <v>87.073999999999927</v>
      </c>
      <c r="X19" s="11">
        <v>87.468999999999923</v>
      </c>
      <c r="Y19" s="11">
        <v>87.57200000000006</v>
      </c>
      <c r="Z19" s="11">
        <v>87.585999999999999</v>
      </c>
      <c r="AA19" s="11">
        <v>87.716999999999899</v>
      </c>
      <c r="AB19" s="11">
        <v>87.878999999999934</v>
      </c>
      <c r="AC19" s="11">
        <v>87.974000000000032</v>
      </c>
      <c r="AD19" s="11">
        <v>88.052999999999869</v>
      </c>
      <c r="AE19" s="11">
        <v>88.125000000000185</v>
      </c>
      <c r="AF19" s="11">
        <v>88.193999999999875</v>
      </c>
      <c r="AG19" s="11">
        <v>88.283000000000229</v>
      </c>
      <c r="AH19" s="11">
        <v>88.381000000000014</v>
      </c>
      <c r="AI19" s="11">
        <v>88.480000000000103</v>
      </c>
      <c r="AJ19" s="11">
        <v>88.604000000000099</v>
      </c>
      <c r="AK19" s="172">
        <v>88.723000000000013</v>
      </c>
      <c r="AL19" s="11">
        <v>88.843000000000146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83" t="str">
        <f>'Ind T4'!A22</f>
        <v>Transport and storage</v>
      </c>
      <c r="M20" s="11">
        <v>22.520000000000007</v>
      </c>
      <c r="N20" s="11">
        <v>21.381000000000057</v>
      </c>
      <c r="O20" s="11">
        <v>27.172000000000061</v>
      </c>
      <c r="P20" s="11">
        <v>23.774999999999945</v>
      </c>
      <c r="Q20" s="11">
        <v>25.93000000000001</v>
      </c>
      <c r="R20" s="11">
        <v>33.457000000000008</v>
      </c>
      <c r="S20" s="11">
        <v>31.619000000000117</v>
      </c>
      <c r="T20" s="11">
        <v>30.200999999999908</v>
      </c>
      <c r="U20" s="11">
        <v>32.64700000000002</v>
      </c>
      <c r="V20" s="11">
        <v>34.173000000000066</v>
      </c>
      <c r="W20" s="11">
        <v>32.947999999999908</v>
      </c>
      <c r="X20" s="11">
        <v>35.003000000000064</v>
      </c>
      <c r="Y20" s="11">
        <v>35.117999999999995</v>
      </c>
      <c r="Z20" s="11">
        <v>35.41099999999993</v>
      </c>
      <c r="AA20" s="11">
        <v>35.740000000000066</v>
      </c>
      <c r="AB20" s="11">
        <v>35.964000000000034</v>
      </c>
      <c r="AC20" s="11">
        <v>36.15000000000007</v>
      </c>
      <c r="AD20" s="11">
        <v>36.330999999999996</v>
      </c>
      <c r="AE20" s="11">
        <v>36.508000000000045</v>
      </c>
      <c r="AF20" s="11">
        <v>36.686000000000028</v>
      </c>
      <c r="AG20" s="11">
        <v>36.874000000000017</v>
      </c>
      <c r="AH20" s="11">
        <v>37.052999999999926</v>
      </c>
      <c r="AI20" s="11">
        <v>37.231999999999985</v>
      </c>
      <c r="AJ20" s="11">
        <v>37.40800000000003</v>
      </c>
      <c r="AK20" s="172">
        <v>37.583999999999996</v>
      </c>
      <c r="AL20" s="11">
        <v>37.760999999999989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83" t="str">
        <f>'Ind T4'!A23</f>
        <v>Accommodation and food</v>
      </c>
      <c r="M21" s="11">
        <v>19.568999999999999</v>
      </c>
      <c r="N21" s="11">
        <v>19.123000000000008</v>
      </c>
      <c r="O21" s="11">
        <v>19.49800000000003</v>
      </c>
      <c r="P21" s="11">
        <v>18.954000000000022</v>
      </c>
      <c r="Q21" s="11">
        <v>21.942000000000029</v>
      </c>
      <c r="R21" s="11">
        <v>21.905999999999974</v>
      </c>
      <c r="S21" s="11">
        <v>22.156999999999982</v>
      </c>
      <c r="T21" s="11">
        <v>24.926000000000013</v>
      </c>
      <c r="U21" s="11">
        <v>22.942000000000021</v>
      </c>
      <c r="V21" s="11">
        <v>23.974999999999959</v>
      </c>
      <c r="W21" s="11">
        <v>24.702000000000005</v>
      </c>
      <c r="X21" s="11">
        <v>23.942000000000021</v>
      </c>
      <c r="Y21" s="11">
        <v>24.889999999999983</v>
      </c>
      <c r="Z21" s="11">
        <v>25.362000000000034</v>
      </c>
      <c r="AA21" s="11">
        <v>25.704000000000001</v>
      </c>
      <c r="AB21" s="11">
        <v>26.167000000000009</v>
      </c>
      <c r="AC21" s="11">
        <v>26.577000000000055</v>
      </c>
      <c r="AD21" s="11">
        <v>26.948999999999984</v>
      </c>
      <c r="AE21" s="11">
        <v>27.29600000000001</v>
      </c>
      <c r="AF21" s="11">
        <v>27.626000000000037</v>
      </c>
      <c r="AG21" s="11">
        <v>27.94699999999996</v>
      </c>
      <c r="AH21" s="11">
        <v>28.257999999999996</v>
      </c>
      <c r="AI21" s="11">
        <v>28.554999999999989</v>
      </c>
      <c r="AJ21" s="11">
        <v>28.835999999999981</v>
      </c>
      <c r="AK21" s="172">
        <v>29.100999999999964</v>
      </c>
      <c r="AL21" s="11">
        <v>29.35199999999999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107.27299999999995</v>
      </c>
      <c r="N23" s="11">
        <f t="shared" ref="N23:AL23" si="19">SUM(N24:N31)</f>
        <v>106.952</v>
      </c>
      <c r="O23" s="11">
        <f t="shared" si="19"/>
        <v>106.22899999999989</v>
      </c>
      <c r="P23" s="11">
        <f t="shared" si="19"/>
        <v>106.98700000000007</v>
      </c>
      <c r="Q23" s="11">
        <f t="shared" si="19"/>
        <v>108.05700000000004</v>
      </c>
      <c r="R23" s="11">
        <f t="shared" si="19"/>
        <v>123.34700000000011</v>
      </c>
      <c r="S23" s="11">
        <f t="shared" si="19"/>
        <v>124.839</v>
      </c>
      <c r="T23" s="11">
        <f t="shared" si="19"/>
        <v>125.38400000000001</v>
      </c>
      <c r="U23" s="11">
        <f t="shared" si="19"/>
        <v>120.73799999999994</v>
      </c>
      <c r="V23" s="11">
        <f t="shared" si="19"/>
        <v>113.62800000000011</v>
      </c>
      <c r="W23" s="11">
        <f t="shared" si="19"/>
        <v>111.41799999999995</v>
      </c>
      <c r="X23" s="11">
        <f t="shared" si="19"/>
        <v>112.06099999999998</v>
      </c>
      <c r="Y23" s="11">
        <f t="shared" si="19"/>
        <v>111.96500000000007</v>
      </c>
      <c r="Z23" s="11">
        <f t="shared" si="19"/>
        <v>112.31399999999988</v>
      </c>
      <c r="AA23" s="11">
        <f t="shared" si="19"/>
        <v>112.88399999999994</v>
      </c>
      <c r="AB23" s="11">
        <f t="shared" si="19"/>
        <v>113.28999999999995</v>
      </c>
      <c r="AC23" s="11">
        <f t="shared" si="19"/>
        <v>113.73900000000009</v>
      </c>
      <c r="AD23" s="11">
        <f t="shared" si="19"/>
        <v>114.17899999999993</v>
      </c>
      <c r="AE23" s="11">
        <f t="shared" si="19"/>
        <v>114.62499999999996</v>
      </c>
      <c r="AF23" s="11">
        <f t="shared" si="19"/>
        <v>115.07699999999997</v>
      </c>
      <c r="AG23" s="11">
        <f t="shared" si="19"/>
        <v>115.55800000000001</v>
      </c>
      <c r="AH23" s="11">
        <f t="shared" si="19"/>
        <v>116.02499999999995</v>
      </c>
      <c r="AI23" s="11">
        <f t="shared" si="19"/>
        <v>116.49899999999995</v>
      </c>
      <c r="AJ23" s="11">
        <f t="shared" si="19"/>
        <v>116.97200000000009</v>
      </c>
      <c r="AK23" s="11">
        <f t="shared" si="19"/>
        <v>117.44199999999985</v>
      </c>
      <c r="AL23" s="11">
        <f t="shared" si="19"/>
        <v>117.91199999999995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83" t="str">
        <f>'Ind T4'!A26</f>
        <v>Media</v>
      </c>
      <c r="M24" s="11">
        <v>2.1739999999999959</v>
      </c>
      <c r="N24" s="11">
        <v>1.5269999999999999</v>
      </c>
      <c r="O24" s="11">
        <v>1.5420000000000007</v>
      </c>
      <c r="P24" s="11">
        <v>1.5860000000000003</v>
      </c>
      <c r="Q24" s="11">
        <v>2.1100000000000003</v>
      </c>
      <c r="R24" s="11">
        <v>1.7079999999999993</v>
      </c>
      <c r="S24" s="11">
        <v>1.3409999999999975</v>
      </c>
      <c r="T24" s="11">
        <v>1.5949999999999998</v>
      </c>
      <c r="U24" s="11">
        <v>1.4139999999999977</v>
      </c>
      <c r="V24" s="11">
        <v>1.8249999999999975</v>
      </c>
      <c r="W24" s="11">
        <v>2.1100000000000025</v>
      </c>
      <c r="X24" s="11">
        <v>2.0890000000000031</v>
      </c>
      <c r="Y24" s="11">
        <v>2.0829999999999993</v>
      </c>
      <c r="Z24" s="11">
        <v>2.0759999999999961</v>
      </c>
      <c r="AA24" s="11">
        <v>2.0719999999999996</v>
      </c>
      <c r="AB24" s="11">
        <v>2.077999999999999</v>
      </c>
      <c r="AC24" s="11">
        <v>2.0810000000000035</v>
      </c>
      <c r="AD24" s="11">
        <v>2.0839999999999956</v>
      </c>
      <c r="AE24" s="11">
        <v>2.0869999999999993</v>
      </c>
      <c r="AF24" s="11">
        <v>2.0900000000000003</v>
      </c>
      <c r="AG24" s="11">
        <v>2.0929999999999982</v>
      </c>
      <c r="AH24" s="11">
        <v>2.0950000000000024</v>
      </c>
      <c r="AI24" s="11">
        <v>2.0980000000000008</v>
      </c>
      <c r="AJ24" s="11">
        <v>2.1010000000000004</v>
      </c>
      <c r="AK24" s="172">
        <v>2.1039999999999988</v>
      </c>
      <c r="AL24" s="11">
        <v>2.1059999999999963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83" t="str">
        <f>'Ind T4'!A27</f>
        <v>Information technology</v>
      </c>
      <c r="M25" s="11">
        <v>7.0790000000000024</v>
      </c>
      <c r="N25" s="11">
        <v>5.914000000000005</v>
      </c>
      <c r="O25" s="11">
        <v>6.4790000000000019</v>
      </c>
      <c r="P25" s="11">
        <v>6.3760000000000083</v>
      </c>
      <c r="Q25" s="11">
        <v>5.8740000000000068</v>
      </c>
      <c r="R25" s="11">
        <v>6.5380000000000287</v>
      </c>
      <c r="S25" s="11">
        <v>7.5250000000000172</v>
      </c>
      <c r="T25" s="11">
        <v>7.0699999999999887</v>
      </c>
      <c r="U25" s="11">
        <v>7.0200000000000209</v>
      </c>
      <c r="V25" s="11">
        <v>6.3940000000000188</v>
      </c>
      <c r="W25" s="11">
        <v>6.8729999999999754</v>
      </c>
      <c r="X25" s="11">
        <v>6.9720000000000111</v>
      </c>
      <c r="Y25" s="11">
        <v>6.9980000000000144</v>
      </c>
      <c r="Z25" s="11">
        <v>7.0639999999999894</v>
      </c>
      <c r="AA25" s="11">
        <v>7.1129999999999907</v>
      </c>
      <c r="AB25" s="11">
        <v>7.1500000000000048</v>
      </c>
      <c r="AC25" s="11">
        <v>7.1830000000000052</v>
      </c>
      <c r="AD25" s="11">
        <v>7.21</v>
      </c>
      <c r="AE25" s="11">
        <v>7.2339999999999964</v>
      </c>
      <c r="AF25" s="11">
        <v>7.2579999999999796</v>
      </c>
      <c r="AG25" s="11">
        <v>7.2839999999999945</v>
      </c>
      <c r="AH25" s="11">
        <v>7.3080000000000007</v>
      </c>
      <c r="AI25" s="11">
        <v>7.3309999999999889</v>
      </c>
      <c r="AJ25" s="11">
        <v>7.3530000000000237</v>
      </c>
      <c r="AK25" s="172">
        <v>7.3719999999999795</v>
      </c>
      <c r="AL25" s="11">
        <v>7.39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83" t="str">
        <f>'Ind T4'!A28</f>
        <v>Finance and insurance</v>
      </c>
      <c r="M26" s="11">
        <v>12.460000000000013</v>
      </c>
      <c r="N26" s="11">
        <v>9.9720000000000066</v>
      </c>
      <c r="O26" s="11">
        <v>8.5779999999999976</v>
      </c>
      <c r="P26" s="11">
        <v>10.250000000000007</v>
      </c>
      <c r="Q26" s="11">
        <v>9.2219999999999782</v>
      </c>
      <c r="R26" s="11">
        <v>10.219000000000026</v>
      </c>
      <c r="S26" s="11">
        <v>8.9610000000000269</v>
      </c>
      <c r="T26" s="11">
        <v>9.4129999999999949</v>
      </c>
      <c r="U26" s="11">
        <v>10.077999999999992</v>
      </c>
      <c r="V26" s="11">
        <v>10.284000000000022</v>
      </c>
      <c r="W26" s="11">
        <v>10.441000000000015</v>
      </c>
      <c r="X26" s="11">
        <v>10.659999999999997</v>
      </c>
      <c r="Y26" s="11">
        <v>10.619999999999992</v>
      </c>
      <c r="Z26" s="11">
        <v>10.572000000000015</v>
      </c>
      <c r="AA26" s="11">
        <v>10.502000000000017</v>
      </c>
      <c r="AB26" s="11">
        <v>10.454000000000013</v>
      </c>
      <c r="AC26" s="11">
        <v>10.418999999999999</v>
      </c>
      <c r="AD26" s="11">
        <v>10.382000000000019</v>
      </c>
      <c r="AE26" s="11">
        <v>10.344999999999967</v>
      </c>
      <c r="AF26" s="11">
        <v>10.307000000000004</v>
      </c>
      <c r="AG26" s="11">
        <v>10.271000000000008</v>
      </c>
      <c r="AH26" s="11">
        <v>10.226999999999988</v>
      </c>
      <c r="AI26" s="11">
        <v>10.184000000000019</v>
      </c>
      <c r="AJ26" s="11">
        <v>10.139999999999992</v>
      </c>
      <c r="AK26" s="172">
        <v>10.096999999999998</v>
      </c>
      <c r="AL26" s="11">
        <v>10.053999999999988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83" t="str">
        <f>'Ind T4'!A29</f>
        <v>Real estate</v>
      </c>
      <c r="M27" s="11">
        <v>7.2259999999999884</v>
      </c>
      <c r="N27" s="11">
        <v>6.392000000000011</v>
      </c>
      <c r="O27" s="11">
        <v>6.6840000000000011</v>
      </c>
      <c r="P27" s="11">
        <v>7.4509999999999987</v>
      </c>
      <c r="Q27" s="11">
        <v>8.2700000000000067</v>
      </c>
      <c r="R27" s="11">
        <v>7.7229999999999945</v>
      </c>
      <c r="S27" s="11">
        <v>8.4530000000000012</v>
      </c>
      <c r="T27" s="11">
        <v>10.059999999999997</v>
      </c>
      <c r="U27" s="11">
        <v>10.287999999999993</v>
      </c>
      <c r="V27" s="11">
        <v>10.185</v>
      </c>
      <c r="W27" s="11">
        <v>10.239999999999995</v>
      </c>
      <c r="X27" s="11">
        <v>10.218999999999987</v>
      </c>
      <c r="Y27" s="11">
        <v>10.17800000000002</v>
      </c>
      <c r="Z27" s="11">
        <v>10.184999999999985</v>
      </c>
      <c r="AA27" s="11">
        <v>10.246000000000009</v>
      </c>
      <c r="AB27" s="11">
        <v>10.307999999999987</v>
      </c>
      <c r="AC27" s="11">
        <v>10.388000000000003</v>
      </c>
      <c r="AD27" s="11">
        <v>10.476999999999991</v>
      </c>
      <c r="AE27" s="11">
        <v>10.57</v>
      </c>
      <c r="AF27" s="11">
        <v>10.66599999999999</v>
      </c>
      <c r="AG27" s="11">
        <v>10.76200000000002</v>
      </c>
      <c r="AH27" s="11">
        <v>10.857999999999972</v>
      </c>
      <c r="AI27" s="11">
        <v>10.954999999999989</v>
      </c>
      <c r="AJ27" s="11">
        <v>11.050999999999997</v>
      </c>
      <c r="AK27" s="172">
        <v>11.144999999999982</v>
      </c>
      <c r="AL27" s="11">
        <v>11.23800000000001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83" t="str">
        <f>'Ind T4'!A30</f>
        <v>Professional services</v>
      </c>
      <c r="M28" s="11">
        <v>17.408999999999988</v>
      </c>
      <c r="N28" s="11">
        <v>22.55299999999999</v>
      </c>
      <c r="O28" s="11">
        <v>19.888999999999907</v>
      </c>
      <c r="P28" s="11">
        <v>21.208000000000041</v>
      </c>
      <c r="Q28" s="11">
        <v>23.673999999999964</v>
      </c>
      <c r="R28" s="11">
        <v>28.591999999999977</v>
      </c>
      <c r="S28" s="11">
        <v>24.307000000000031</v>
      </c>
      <c r="T28" s="11">
        <v>23.628999999999959</v>
      </c>
      <c r="U28" s="11">
        <v>26.376999999999974</v>
      </c>
      <c r="V28" s="11">
        <v>24.794000000000015</v>
      </c>
      <c r="W28" s="11">
        <v>24.729000000000006</v>
      </c>
      <c r="X28" s="11">
        <v>25.011999999999976</v>
      </c>
      <c r="Y28" s="11">
        <v>25.118000000000038</v>
      </c>
      <c r="Z28" s="11">
        <v>25.259999999999948</v>
      </c>
      <c r="AA28" s="11">
        <v>25.424999999999962</v>
      </c>
      <c r="AB28" s="11">
        <v>25.55599999999999</v>
      </c>
      <c r="AC28" s="11">
        <v>25.675999999999974</v>
      </c>
      <c r="AD28" s="11">
        <v>25.799999999999972</v>
      </c>
      <c r="AE28" s="11">
        <v>25.928999999999984</v>
      </c>
      <c r="AF28" s="11">
        <v>26.061999999999959</v>
      </c>
      <c r="AG28" s="11">
        <v>26.204000000000004</v>
      </c>
      <c r="AH28" s="11">
        <v>26.34199999999997</v>
      </c>
      <c r="AI28" s="11">
        <v>26.480999999999987</v>
      </c>
      <c r="AJ28" s="11">
        <v>26.619000000000014</v>
      </c>
      <c r="AK28" s="172">
        <v>26.755999999999919</v>
      </c>
      <c r="AL28" s="11">
        <v>26.89300000000004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83" t="str">
        <f>'Ind T4'!A31</f>
        <v>Support services</v>
      </c>
      <c r="M29" s="11">
        <v>38.409999999999961</v>
      </c>
      <c r="N29" s="11">
        <v>38.506000000000029</v>
      </c>
      <c r="O29" s="11">
        <v>41.116999999999983</v>
      </c>
      <c r="P29" s="11">
        <v>37.309999999999995</v>
      </c>
      <c r="Q29" s="11">
        <v>34.943000000000076</v>
      </c>
      <c r="R29" s="11">
        <v>40.241000000000078</v>
      </c>
      <c r="S29" s="11">
        <v>45.658999999999928</v>
      </c>
      <c r="T29" s="11">
        <v>45.49800000000004</v>
      </c>
      <c r="U29" s="11">
        <v>39.044000000000004</v>
      </c>
      <c r="V29" s="11">
        <v>34.294000000000032</v>
      </c>
      <c r="W29" s="11">
        <v>32.167999999999957</v>
      </c>
      <c r="X29" s="11">
        <v>32.617000000000026</v>
      </c>
      <c r="Y29" s="11">
        <v>33.143000000000015</v>
      </c>
      <c r="Z29" s="11">
        <v>33.470999999999933</v>
      </c>
      <c r="AA29" s="11">
        <v>33.688999999999957</v>
      </c>
      <c r="AB29" s="11">
        <v>33.85499999999994</v>
      </c>
      <c r="AC29" s="11">
        <v>34.044000000000061</v>
      </c>
      <c r="AD29" s="11">
        <v>34.228999999999949</v>
      </c>
      <c r="AE29" s="11">
        <v>34.412000000000063</v>
      </c>
      <c r="AF29" s="11">
        <v>34.595000000000041</v>
      </c>
      <c r="AG29" s="11">
        <v>34.782999999999966</v>
      </c>
      <c r="AH29" s="11">
        <v>34.963000000000008</v>
      </c>
      <c r="AI29" s="11">
        <v>35.142999999999965</v>
      </c>
      <c r="AJ29" s="11">
        <v>35.323000000000036</v>
      </c>
      <c r="AK29" s="172">
        <v>35.502999999999986</v>
      </c>
      <c r="AL29" s="11">
        <v>35.682999999999936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83" t="str">
        <f>'Ind T4'!A32</f>
        <v>Arts and entertainment</v>
      </c>
      <c r="M30" s="11">
        <v>11.415999999999991</v>
      </c>
      <c r="N30" s="11">
        <v>9.5530000000000044</v>
      </c>
      <c r="O30" s="11">
        <v>10.447999999999988</v>
      </c>
      <c r="P30" s="11">
        <v>10.337999999999992</v>
      </c>
      <c r="Q30" s="11">
        <v>9.8310000000000048</v>
      </c>
      <c r="R30" s="11">
        <v>11.902000000000019</v>
      </c>
      <c r="S30" s="11">
        <v>10.432000000000013</v>
      </c>
      <c r="T30" s="11">
        <v>10.223000000000019</v>
      </c>
      <c r="U30" s="11">
        <v>9.6130000000000013</v>
      </c>
      <c r="V30" s="11">
        <v>12.170000000000009</v>
      </c>
      <c r="W30" s="11">
        <v>11.910000000000011</v>
      </c>
      <c r="X30" s="11">
        <v>11.758999999999981</v>
      </c>
      <c r="Y30" s="11">
        <v>11.238999999999988</v>
      </c>
      <c r="Z30" s="11">
        <v>11.089999999999996</v>
      </c>
      <c r="AA30" s="11">
        <v>11.21900000000001</v>
      </c>
      <c r="AB30" s="11">
        <v>11.285000000000005</v>
      </c>
      <c r="AC30" s="11">
        <v>11.364999999999991</v>
      </c>
      <c r="AD30" s="11">
        <v>11.433000000000005</v>
      </c>
      <c r="AE30" s="11">
        <v>11.497999999999978</v>
      </c>
      <c r="AF30" s="11">
        <v>11.557999999999993</v>
      </c>
      <c r="AG30" s="11">
        <v>11.62099999999999</v>
      </c>
      <c r="AH30" s="11">
        <v>11.687000000000017</v>
      </c>
      <c r="AI30" s="11">
        <v>11.754000000000012</v>
      </c>
      <c r="AJ30" s="11">
        <v>11.821000000000005</v>
      </c>
      <c r="AK30" s="172">
        <v>11.886999999999995</v>
      </c>
      <c r="AL30" s="11">
        <v>11.952999999999994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83" t="str">
        <f>'Ind T4'!A33</f>
        <v>Other services</v>
      </c>
      <c r="M31" s="11">
        <v>11.099000000000002</v>
      </c>
      <c r="N31" s="11">
        <v>12.534999999999975</v>
      </c>
      <c r="O31" s="11">
        <v>11.491999999999996</v>
      </c>
      <c r="P31" s="11">
        <v>12.468000000000018</v>
      </c>
      <c r="Q31" s="11">
        <v>14.133000000000017</v>
      </c>
      <c r="R31" s="11">
        <v>16.423999999999992</v>
      </c>
      <c r="S31" s="11">
        <v>18.160999999999976</v>
      </c>
      <c r="T31" s="11">
        <v>17.896000000000015</v>
      </c>
      <c r="U31" s="11">
        <v>16.903999999999964</v>
      </c>
      <c r="V31" s="11">
        <v>13.682000000000006</v>
      </c>
      <c r="W31" s="11">
        <v>12.946999999999987</v>
      </c>
      <c r="X31" s="11">
        <v>12.733000000000006</v>
      </c>
      <c r="Y31" s="11">
        <v>12.586000000000013</v>
      </c>
      <c r="Z31" s="11">
        <v>12.596000000000007</v>
      </c>
      <c r="AA31" s="11">
        <v>12.617999999999999</v>
      </c>
      <c r="AB31" s="11">
        <v>12.604000000000017</v>
      </c>
      <c r="AC31" s="11">
        <v>12.583000000000037</v>
      </c>
      <c r="AD31" s="11">
        <v>12.563999999999993</v>
      </c>
      <c r="AE31" s="11">
        <v>12.549999999999974</v>
      </c>
      <c r="AF31" s="11">
        <v>12.540999999999997</v>
      </c>
      <c r="AG31" s="11">
        <v>12.540000000000017</v>
      </c>
      <c r="AH31" s="11">
        <v>12.544999999999998</v>
      </c>
      <c r="AI31" s="11">
        <v>12.552999999999988</v>
      </c>
      <c r="AJ31" s="11">
        <v>12.564000000000014</v>
      </c>
      <c r="AK31" s="172">
        <v>12.577999999999989</v>
      </c>
      <c r="AL31" s="11">
        <v>12.594999999999988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128.03700000000009</v>
      </c>
      <c r="N33" s="11">
        <f t="shared" ref="N33:AK33" si="20">SUM(N34:N36)</f>
        <v>130.02600000000012</v>
      </c>
      <c r="O33" s="11">
        <f t="shared" si="20"/>
        <v>129.16599999999988</v>
      </c>
      <c r="P33" s="11">
        <f t="shared" si="20"/>
        <v>128.71900000000002</v>
      </c>
      <c r="Q33" s="11">
        <f t="shared" si="20"/>
        <v>130.58600000000001</v>
      </c>
      <c r="R33" s="11">
        <f t="shared" si="20"/>
        <v>121.68000000000021</v>
      </c>
      <c r="S33" s="11">
        <f t="shared" si="20"/>
        <v>128.71299999999985</v>
      </c>
      <c r="T33" s="11">
        <f t="shared" si="20"/>
        <v>132.5379999999999</v>
      </c>
      <c r="U33" s="11">
        <f t="shared" si="20"/>
        <v>128.14700000000005</v>
      </c>
      <c r="V33" s="11">
        <f t="shared" si="20"/>
        <v>132.68900000000008</v>
      </c>
      <c r="W33" s="11">
        <f t="shared" si="20"/>
        <v>132.11400000000015</v>
      </c>
      <c r="X33" s="11">
        <f t="shared" si="20"/>
        <v>133.38300000000004</v>
      </c>
      <c r="Y33" s="11">
        <f t="shared" si="20"/>
        <v>134.67399999999992</v>
      </c>
      <c r="Z33" s="11">
        <f t="shared" si="20"/>
        <v>135.84100000000001</v>
      </c>
      <c r="AA33" s="11">
        <f t="shared" si="20"/>
        <v>137.26000000000002</v>
      </c>
      <c r="AB33" s="11">
        <f t="shared" si="20"/>
        <v>138.34699999999987</v>
      </c>
      <c r="AC33" s="11">
        <f t="shared" si="20"/>
        <v>139.17899999999992</v>
      </c>
      <c r="AD33" s="11">
        <f t="shared" si="20"/>
        <v>139.9779999999997</v>
      </c>
      <c r="AE33" s="11">
        <f t="shared" si="20"/>
        <v>140.76900000000009</v>
      </c>
      <c r="AF33" s="11">
        <f t="shared" si="20"/>
        <v>141.56799999999993</v>
      </c>
      <c r="AG33" s="11">
        <f t="shared" si="20"/>
        <v>142.40000000000009</v>
      </c>
      <c r="AH33" s="11">
        <f t="shared" si="20"/>
        <v>143.23300000000006</v>
      </c>
      <c r="AI33" s="11">
        <f t="shared" si="20"/>
        <v>144.06799999999993</v>
      </c>
      <c r="AJ33" s="11">
        <f t="shared" si="20"/>
        <v>144.90500000000009</v>
      </c>
      <c r="AK33" s="11">
        <f t="shared" si="20"/>
        <v>145.74399999999997</v>
      </c>
      <c r="AL33" s="11">
        <f>SUM(AL34:AL36)</f>
        <v>146.59199999999993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83" t="str">
        <f>'Ind T4'!A36</f>
        <v>Public admin. and defence</v>
      </c>
      <c r="M34" s="11">
        <v>18.261999999999997</v>
      </c>
      <c r="N34" s="11">
        <v>17.841000000000061</v>
      </c>
      <c r="O34" s="11">
        <v>19.266000000000009</v>
      </c>
      <c r="P34" s="11">
        <v>18.013999999999964</v>
      </c>
      <c r="Q34" s="11">
        <v>19.508999999999983</v>
      </c>
      <c r="R34" s="11">
        <v>16.002999999999975</v>
      </c>
      <c r="S34" s="11">
        <v>15.483000000000006</v>
      </c>
      <c r="T34" s="11">
        <v>15.782999999999989</v>
      </c>
      <c r="U34" s="11">
        <v>15.808999999999996</v>
      </c>
      <c r="V34" s="11">
        <v>15.454000000000015</v>
      </c>
      <c r="W34" s="11">
        <v>15.280999999999995</v>
      </c>
      <c r="X34" s="11">
        <v>15.059999999999995</v>
      </c>
      <c r="Y34" s="11">
        <v>15.225999999999994</v>
      </c>
      <c r="Z34" s="11">
        <v>15.336000000000007</v>
      </c>
      <c r="AA34" s="11">
        <v>15.471999999999996</v>
      </c>
      <c r="AB34" s="11">
        <v>15.554000000000007</v>
      </c>
      <c r="AC34" s="11">
        <v>15.617000000000017</v>
      </c>
      <c r="AD34" s="11">
        <v>15.683000000000014</v>
      </c>
      <c r="AE34" s="11">
        <v>15.74899999999997</v>
      </c>
      <c r="AF34" s="11">
        <v>15.815000000000021</v>
      </c>
      <c r="AG34" s="11">
        <v>15.881999999999978</v>
      </c>
      <c r="AH34" s="11">
        <v>15.949999999999989</v>
      </c>
      <c r="AI34" s="11">
        <v>16.020000000000024</v>
      </c>
      <c r="AJ34" s="11">
        <v>16.088999999999999</v>
      </c>
      <c r="AK34" s="172">
        <v>16.157000000000007</v>
      </c>
      <c r="AL34" s="11">
        <v>16.225000000000005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83" t="str">
        <f>'Ind T4'!A37</f>
        <v>Education</v>
      </c>
      <c r="M35" s="11">
        <v>44.774000000000022</v>
      </c>
      <c r="N35" s="11">
        <v>46.041000000000032</v>
      </c>
      <c r="O35" s="11">
        <v>42.840999999999909</v>
      </c>
      <c r="P35" s="11">
        <v>43.630000000000074</v>
      </c>
      <c r="Q35" s="11">
        <v>43.496000000000002</v>
      </c>
      <c r="R35" s="11">
        <v>44.810000000000109</v>
      </c>
      <c r="S35" s="11">
        <v>44.828999999999958</v>
      </c>
      <c r="T35" s="11">
        <v>44.917999999999914</v>
      </c>
      <c r="U35" s="11">
        <v>44.049000000000028</v>
      </c>
      <c r="V35" s="11">
        <v>44.405000000000044</v>
      </c>
      <c r="W35" s="11">
        <v>45.06299999999996</v>
      </c>
      <c r="X35" s="11">
        <v>45.228000000000044</v>
      </c>
      <c r="Y35" s="11">
        <v>45.410999999999959</v>
      </c>
      <c r="Z35" s="11">
        <v>45.671999999999976</v>
      </c>
      <c r="AA35" s="11">
        <v>45.970000000000056</v>
      </c>
      <c r="AB35" s="11">
        <v>46.277999999999956</v>
      </c>
      <c r="AC35" s="11">
        <v>46.513999999999996</v>
      </c>
      <c r="AD35" s="11">
        <v>46.758999999999979</v>
      </c>
      <c r="AE35" s="11">
        <v>47.01299999999997</v>
      </c>
      <c r="AF35" s="11">
        <v>47.280999999999906</v>
      </c>
      <c r="AG35" s="11">
        <v>47.588000000000008</v>
      </c>
      <c r="AH35" s="11">
        <v>47.8990000000001</v>
      </c>
      <c r="AI35" s="11">
        <v>48.213000000000015</v>
      </c>
      <c r="AJ35" s="11">
        <v>48.529000000000075</v>
      </c>
      <c r="AK35" s="172">
        <v>48.845000000000027</v>
      </c>
      <c r="AL35" s="11">
        <v>49.163999999999859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83" t="str">
        <f>'Ind T4'!A38</f>
        <v>Health and social work</v>
      </c>
      <c r="M36" s="11">
        <v>65.00100000000009</v>
      </c>
      <c r="N36" s="11">
        <v>66.144000000000034</v>
      </c>
      <c r="O36" s="11">
        <v>67.058999999999969</v>
      </c>
      <c r="P36" s="11">
        <v>67.074999999999989</v>
      </c>
      <c r="Q36" s="11">
        <v>67.581000000000031</v>
      </c>
      <c r="R36" s="11">
        <v>60.867000000000111</v>
      </c>
      <c r="S36" s="11">
        <v>68.400999999999883</v>
      </c>
      <c r="T36" s="11">
        <v>71.836999999999989</v>
      </c>
      <c r="U36" s="11">
        <v>68.28900000000003</v>
      </c>
      <c r="V36" s="11">
        <v>72.830000000000013</v>
      </c>
      <c r="W36" s="11">
        <v>71.770000000000209</v>
      </c>
      <c r="X36" s="11">
        <v>73.094999999999985</v>
      </c>
      <c r="Y36" s="11">
        <v>74.036999999999978</v>
      </c>
      <c r="Z36" s="11">
        <v>74.833000000000013</v>
      </c>
      <c r="AA36" s="11">
        <v>75.817999999999969</v>
      </c>
      <c r="AB36" s="11">
        <v>76.514999999999901</v>
      </c>
      <c r="AC36" s="11">
        <v>77.047999999999902</v>
      </c>
      <c r="AD36" s="11">
        <v>77.535999999999703</v>
      </c>
      <c r="AE36" s="11">
        <v>78.007000000000147</v>
      </c>
      <c r="AF36" s="11">
        <v>78.472000000000008</v>
      </c>
      <c r="AG36" s="11">
        <v>78.930000000000092</v>
      </c>
      <c r="AH36" s="11">
        <v>79.383999999999958</v>
      </c>
      <c r="AI36" s="11">
        <v>79.834999999999908</v>
      </c>
      <c r="AJ36" s="11">
        <v>80.286999999999992</v>
      </c>
      <c r="AK36" s="172">
        <v>80.741999999999933</v>
      </c>
      <c r="AL36" s="11">
        <v>81.203000000000074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486.12400000000008</v>
      </c>
      <c r="N38" s="11">
        <f t="shared" ref="N38:AL38" si="21">SUM(N5,N11,N16,N18,N23,N33)</f>
        <v>480.09300000000025</v>
      </c>
      <c r="O38" s="11">
        <f t="shared" si="21"/>
        <v>487.18799999999982</v>
      </c>
      <c r="P38" s="11">
        <f t="shared" si="21"/>
        <v>480.64799999999991</v>
      </c>
      <c r="Q38" s="11">
        <f t="shared" si="21"/>
        <v>488.96499999999992</v>
      </c>
      <c r="R38" s="11">
        <f t="shared" si="21"/>
        <v>505.56200000000001</v>
      </c>
      <c r="S38" s="11">
        <f t="shared" si="21"/>
        <v>503.93899999999951</v>
      </c>
      <c r="T38" s="11">
        <f t="shared" si="21"/>
        <v>512.15299999999991</v>
      </c>
      <c r="U38" s="11">
        <f t="shared" si="21"/>
        <v>510.73500000000013</v>
      </c>
      <c r="V38" s="11">
        <f t="shared" si="21"/>
        <v>509.9310000000001</v>
      </c>
      <c r="W38" s="11">
        <f t="shared" si="21"/>
        <v>496.19400000000002</v>
      </c>
      <c r="X38" s="11">
        <f t="shared" si="21"/>
        <v>500.11500000000001</v>
      </c>
      <c r="Y38" s="11">
        <f t="shared" si="21"/>
        <v>501.57899999999989</v>
      </c>
      <c r="Z38" s="11">
        <f t="shared" si="21"/>
        <v>503.44899999999978</v>
      </c>
      <c r="AA38" s="11">
        <f t="shared" si="21"/>
        <v>506.20599999999979</v>
      </c>
      <c r="AB38" s="11">
        <f t="shared" si="21"/>
        <v>508.1279999999997</v>
      </c>
      <c r="AC38" s="11">
        <f t="shared" si="21"/>
        <v>509.56500000000023</v>
      </c>
      <c r="AD38" s="11">
        <f t="shared" si="21"/>
        <v>510.77499999999952</v>
      </c>
      <c r="AE38" s="11">
        <f t="shared" si="21"/>
        <v>511.99800000000016</v>
      </c>
      <c r="AF38" s="11">
        <f t="shared" si="21"/>
        <v>513.22199999999975</v>
      </c>
      <c r="AG38" s="11">
        <f t="shared" si="21"/>
        <v>514.65600000000029</v>
      </c>
      <c r="AH38" s="11">
        <f t="shared" si="21"/>
        <v>516.06299999999999</v>
      </c>
      <c r="AI38" s="11">
        <f t="shared" si="21"/>
        <v>517.49699999999984</v>
      </c>
      <c r="AJ38" s="11">
        <f t="shared" si="21"/>
        <v>518.96700000000021</v>
      </c>
      <c r="AK38" s="11">
        <f t="shared" si="21"/>
        <v>520.44199999999978</v>
      </c>
      <c r="AL38" s="11">
        <f t="shared" si="21"/>
        <v>521.94399999999996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80" t="str">
        <f>CONCATENATE("Industry Figure 2.1  Change in Employment in ",$L$5,", ",$M$2,"-",$O$2,", ",Info!B5)</f>
        <v>Industry Figure 2.1  Change in Employment in Primary sector and utilities, 2010-2035, Black Country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80" t="str">
        <f>CONCATENATE("Industry Figure 2.2  Change in Employment in ",$L$11,", ",$M$2,"-",$O$2,", ",Info!B5)</f>
        <v>Industry Figure 2.2  Change in Employment in Manufacturing, 2010-2035, Black Country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80" t="str">
        <f>CONCATENATE("Industry Figure 2.3  Change in Employment in ",$L$16,", ",$M$2,"-",$O$2,", ",Info!B5)</f>
        <v>Industry Figure 2.3  Change in Employment in Construction, 2010-2035, Black Country</v>
      </c>
    </row>
    <row r="137" spans="1:1" ht="15.5" x14ac:dyDescent="0.35">
      <c r="A137" s="80" t="str">
        <f>CONCATENATE("Industry Figure 2.4  Change in Employment in ",$L$18,", ",$M$2,"-",$O$2,", ",Info!B5)</f>
        <v>Industry Figure 2.4  Change in Employment in Trade, accomod. and transport, 2010-2035, Black Country</v>
      </c>
    </row>
    <row r="167" spans="1:1" ht="15.5" x14ac:dyDescent="0.35">
      <c r="A167" s="80" t="str">
        <f>CONCATENATE("Industry Figure 2.5  Change in Employment in ",$L$23,", ",$M$2,"- ",$O$2,", ",Info!B5)</f>
        <v>Industry Figure 2.5  Change in Employment in Business and other services, 2010- 2035, Black Country</v>
      </c>
    </row>
    <row r="197" spans="1:1" ht="15.5" x14ac:dyDescent="0.35">
      <c r="A197" s="80" t="str">
        <f>CONCATENATE("Industry Figure 2.6  Change in Employment in ",$L$33,", ",$M$2,"-",$O$2,", ",Info!B5)</f>
        <v>Industry Figure 2.6  Change in Employment in Non-marketed services, 2010-2035, Black Country</v>
      </c>
    </row>
    <row r="227" spans="1:15" ht="15.5" x14ac:dyDescent="0.3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Black Country</v>
      </c>
      <c r="L227" s="46" t="s">
        <v>437</v>
      </c>
    </row>
    <row r="228" spans="1:15" ht="13" x14ac:dyDescent="0.3">
      <c r="L228" s="30" t="s">
        <v>409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40">
        <f>'Ind T1'!B25</f>
        <v>24.068264624319113</v>
      </c>
      <c r="N231" s="40">
        <f>'Ind T1'!D25</f>
        <v>26.625473101246715</v>
      </c>
      <c r="O231" s="40">
        <f>'Ind T1'!F25</f>
        <v>28.085771653663983</v>
      </c>
    </row>
    <row r="232" spans="1:15" x14ac:dyDescent="0.25">
      <c r="L232" t="str">
        <f>L23</f>
        <v>Business and other services</v>
      </c>
      <c r="M232" s="40">
        <f>'Ind T1'!B24</f>
        <v>24.397996684877445</v>
      </c>
      <c r="N232" s="40">
        <f>'Ind T1'!D24</f>
        <v>22.454523835435321</v>
      </c>
      <c r="O232" s="40">
        <f>'Ind T1'!F24</f>
        <v>22.590929295096785</v>
      </c>
    </row>
    <row r="233" spans="1:15" x14ac:dyDescent="0.25">
      <c r="L233" t="str">
        <f>L18</f>
        <v>Trade, accomod. and transport</v>
      </c>
      <c r="M233" s="40">
        <f>'Ind T1'!B23</f>
        <v>29.161408491935685</v>
      </c>
      <c r="N233" s="40">
        <f>'Ind T1'!D23</f>
        <v>29.166817817224683</v>
      </c>
      <c r="O233" s="40">
        <f>'Ind T1'!F23</f>
        <v>29.879833851907513</v>
      </c>
    </row>
    <row r="234" spans="1:15" x14ac:dyDescent="0.25">
      <c r="L234" t="str">
        <f>L16</f>
        <v>Construction</v>
      </c>
      <c r="M234" s="40">
        <f>'Ind T1'!B22</f>
        <v>6.2827111214845983</v>
      </c>
      <c r="N234" s="40">
        <f>'Ind T1'!D22</f>
        <v>7.4597838748554075</v>
      </c>
      <c r="O234" s="40">
        <f>'Ind T1'!F22</f>
        <v>7.1750992443633672</v>
      </c>
    </row>
    <row r="235" spans="1:15" x14ac:dyDescent="0.25">
      <c r="L235" t="str">
        <f>L11</f>
        <v>Manufacturing</v>
      </c>
      <c r="M235" s="40">
        <f>'Ind T1'!B21</f>
        <v>13.580727981928998</v>
      </c>
      <c r="N235" s="40">
        <f>'Ind T1'!D21</f>
        <v>12.873795330052362</v>
      </c>
      <c r="O235" s="40">
        <f>'Ind T1'!F21</f>
        <v>10.899636742639045</v>
      </c>
    </row>
    <row r="236" spans="1:15" x14ac:dyDescent="0.25">
      <c r="L236" t="str">
        <f>L5</f>
        <v>Primary sector and utilities</v>
      </c>
      <c r="M236" s="40">
        <f>'Ind T1'!B20</f>
        <v>2.5088910954541648</v>
      </c>
      <c r="N236" s="40">
        <f>'Ind T1'!D20</f>
        <v>1.4196060411855058</v>
      </c>
      <c r="O236" s="40">
        <f>'Ind T1'!F20</f>
        <v>1.3687292123292913</v>
      </c>
    </row>
    <row r="257" spans="1:16" ht="15.5" x14ac:dyDescent="0.3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Black Country</v>
      </c>
      <c r="L257" s="46" t="s">
        <v>410</v>
      </c>
    </row>
    <row r="258" spans="1:16" ht="13" x14ac:dyDescent="0.3">
      <c r="L258" s="30" t="s">
        <v>408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10.433999999999941</v>
      </c>
      <c r="O261" s="11">
        <f>'Ind T1'!F50</f>
        <v>14.477999999999781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-11.929000000000158</v>
      </c>
      <c r="O262" s="11">
        <f>'Ind T1'!F49</f>
        <v>6.4939999999999998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-2.7050000000000409</v>
      </c>
      <c r="O263" s="11">
        <f>'Ind T1'!F48</f>
        <v>11.232000000000284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5.2520000000000806</v>
      </c>
      <c r="O264" s="11">
        <f>'Ind T1'!F47</f>
        <v>0.43499999999988859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-4.779999999999859</v>
      </c>
      <c r="O265" s="11">
        <f>'Ind T1'!F46</f>
        <v>-6.9890000000000896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-5.6399999999999739</v>
      </c>
      <c r="O266" s="11">
        <f>'Ind T1'!F45</f>
        <v>9.9999999999986322E-2</v>
      </c>
    </row>
    <row r="268" spans="1:16" x14ac:dyDescent="0.25">
      <c r="L268" t="str">
        <f>L38</f>
        <v>All industries</v>
      </c>
      <c r="N268" s="11">
        <f>'Ind T1'!D14-'Ind T1'!B14</f>
        <v>-9.367999999999995</v>
      </c>
      <c r="O268" s="11">
        <f>SUM(O261:O266)</f>
        <v>25.749999999999851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topLeftCell="A374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9" t="str">
        <f>CONCATENATE("Industry and Occupation Table 1  Occupation composition (SOC2020) by gender, ",B$6,"-",J$6,", ",Info!B5)</f>
        <v>Industry and Occupation Table 1  Occupation composition (SOC2020) by gender, 2015-2035, Black Country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ht="13" x14ac:dyDescent="0.3">
      <c r="A2" s="258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ht="13" x14ac:dyDescent="0.3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ht="13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13.358495797411184</v>
      </c>
      <c r="C9" s="249">
        <f>SUM(C26,C43,C60,C77,C94,C111,C128,C145,C162,C179,C196,C213,C230,C247,C264,C281,C298,C315,C332,C349,C366,C383)</f>
        <v>29.034224818589177</v>
      </c>
      <c r="D9" s="249">
        <f>SUM(B9:C9)</f>
        <v>42.392720616000361</v>
      </c>
      <c r="E9" s="238"/>
      <c r="F9" s="249">
        <f>SUM(F26,F43,F60,F77,F94,F111,F128,F145,F162,F179,F196,F213,F230,F247,F264,F281,F298,F315,F332,F349,F366,F383)</f>
        <v>16.720451476042811</v>
      </c>
      <c r="G9" s="249">
        <f>SUM(G26,G43,G60,G77,G94,G111,G128,G145,G162,G179,G196,G213,G230,G247,G264,G281,G298,G315,G332,G349,G366,G383)</f>
        <v>30.941781795641543</v>
      </c>
      <c r="H9" s="249">
        <f>SUM(F9:G9)</f>
        <v>47.662233271684357</v>
      </c>
      <c r="I9" s="238"/>
      <c r="J9" s="249">
        <f>SUM(J26,J43,J60,J77,J94,J111,J128,J145,J162,J179,J196,J213,J230,J247,J264,J281,J298,J315,J332,J349,J366,J383)</f>
        <v>21.077314323466243</v>
      </c>
      <c r="K9" s="249">
        <f>SUM(K26,K43,K60,K77,K94,K111,K128,K145,K162,K179,K196,K213,K230,K247,K264,K281,K298,K315,K332,K349,K366,K383)</f>
        <v>33.262575975939534</v>
      </c>
      <c r="L9" s="249">
        <f>SUM(J9:K9)</f>
        <v>54.339890299405781</v>
      </c>
      <c r="M9" s="236"/>
      <c r="N9" s="236"/>
    </row>
    <row r="10" spans="1:14" x14ac:dyDescent="0.25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42.179446477363392</v>
      </c>
      <c r="C10" s="249">
        <f t="shared" si="0"/>
        <v>45.534461167396955</v>
      </c>
      <c r="D10" s="249">
        <f t="shared" ref="D10:D17" si="1">SUM(B10:C10)</f>
        <v>87.713907644760354</v>
      </c>
      <c r="E10" s="238"/>
      <c r="F10" s="249">
        <f t="shared" ref="F10:G17" si="2">SUM(F27,F44,F61,F78,F95,F112,F129,F146,F163,F180,F197,F214,F231,F248,F265,F282,F299,F316,F333,F350,F367,F384)</f>
        <v>51.46325599195859</v>
      </c>
      <c r="G10" s="249">
        <f t="shared" si="2"/>
        <v>51.920596732260677</v>
      </c>
      <c r="H10" s="249">
        <f t="shared" ref="H10:H17" si="3">SUM(F10:G10)</f>
        <v>103.38385272421927</v>
      </c>
      <c r="I10" s="238"/>
      <c r="J10" s="249">
        <f t="shared" ref="J10:K17" si="4">SUM(J27,J44,J61,J78,J95,J112,J129,J146,J163,J180,J197,J214,J231,J248,J265,J282,J299,J316,J333,J350,J367,J384)</f>
        <v>64.425622529992808</v>
      </c>
      <c r="K10" s="249">
        <f t="shared" si="4"/>
        <v>59.258380639950623</v>
      </c>
      <c r="L10" s="249">
        <f t="shared" ref="L10:L17" si="5">SUM(J10:K10)</f>
        <v>123.68400316994342</v>
      </c>
      <c r="M10" s="236"/>
      <c r="N10" s="236"/>
    </row>
    <row r="11" spans="1:14" x14ac:dyDescent="0.25">
      <c r="A11" s="237" t="str">
        <f>name!E$6</f>
        <v>Associate professional occupations</v>
      </c>
      <c r="B11" s="249">
        <f t="shared" si="0"/>
        <v>24.6821779966028</v>
      </c>
      <c r="C11" s="249">
        <f t="shared" si="0"/>
        <v>31.445207367233643</v>
      </c>
      <c r="D11" s="249">
        <f t="shared" si="1"/>
        <v>56.127385363836439</v>
      </c>
      <c r="E11" s="238"/>
      <c r="F11" s="249">
        <f t="shared" si="2"/>
        <v>28.024381386482759</v>
      </c>
      <c r="G11" s="249">
        <f t="shared" si="2"/>
        <v>32.846181743609755</v>
      </c>
      <c r="H11" s="249">
        <f t="shared" si="3"/>
        <v>60.870563130092513</v>
      </c>
      <c r="I11" s="238"/>
      <c r="J11" s="249">
        <f t="shared" si="4"/>
        <v>32.429272388806453</v>
      </c>
      <c r="K11" s="249">
        <f t="shared" si="4"/>
        <v>31.284600658128255</v>
      </c>
      <c r="L11" s="249">
        <f t="shared" si="5"/>
        <v>63.713873046934708</v>
      </c>
      <c r="M11" s="236"/>
      <c r="N11" s="236"/>
    </row>
    <row r="12" spans="1:14" x14ac:dyDescent="0.25">
      <c r="A12" s="237" t="str">
        <f>name!E$7</f>
        <v>Administrative and secretarial occupations</v>
      </c>
      <c r="B12" s="249">
        <f t="shared" si="0"/>
        <v>43.540004205757377</v>
      </c>
      <c r="C12" s="249">
        <f t="shared" si="0"/>
        <v>16.597948530106496</v>
      </c>
      <c r="D12" s="249">
        <f t="shared" si="1"/>
        <v>60.137952735863877</v>
      </c>
      <c r="E12" s="238"/>
      <c r="F12" s="249">
        <f t="shared" si="2"/>
        <v>39.606378132228251</v>
      </c>
      <c r="G12" s="249">
        <f t="shared" si="2"/>
        <v>16.999550832287412</v>
      </c>
      <c r="H12" s="249">
        <f t="shared" si="3"/>
        <v>56.605928964515662</v>
      </c>
      <c r="I12" s="238"/>
      <c r="J12" s="249">
        <f t="shared" si="4"/>
        <v>29.754380685413096</v>
      </c>
      <c r="K12" s="249">
        <f t="shared" si="4"/>
        <v>18.39446306919594</v>
      </c>
      <c r="L12" s="249">
        <f t="shared" si="5"/>
        <v>48.148843754609032</v>
      </c>
      <c r="M12" s="236"/>
      <c r="N12" s="236"/>
    </row>
    <row r="13" spans="1:14" x14ac:dyDescent="0.25">
      <c r="A13" s="237" t="str">
        <f>name!E$8</f>
        <v>Skilled trades occupations</v>
      </c>
      <c r="B13" s="249">
        <f t="shared" si="0"/>
        <v>4.5442185707229319</v>
      </c>
      <c r="C13" s="249">
        <f t="shared" si="0"/>
        <v>56.754509224207403</v>
      </c>
      <c r="D13" s="249">
        <f t="shared" si="1"/>
        <v>61.298727794930336</v>
      </c>
      <c r="E13" s="238"/>
      <c r="F13" s="249">
        <f t="shared" si="2"/>
        <v>4.6947408119398855</v>
      </c>
      <c r="G13" s="249">
        <f t="shared" si="2"/>
        <v>47.611889858610944</v>
      </c>
      <c r="H13" s="249">
        <f t="shared" si="3"/>
        <v>52.306630670550831</v>
      </c>
      <c r="I13" s="238"/>
      <c r="J13" s="249">
        <f t="shared" si="4"/>
        <v>5.4951982409994393</v>
      </c>
      <c r="K13" s="249">
        <f t="shared" si="4"/>
        <v>41.906536475717878</v>
      </c>
      <c r="L13" s="249">
        <f t="shared" si="5"/>
        <v>47.401734716717314</v>
      </c>
      <c r="M13" s="236"/>
      <c r="N13" s="236"/>
    </row>
    <row r="14" spans="1:14" x14ac:dyDescent="0.25">
      <c r="A14" s="237" t="str">
        <f>name!E$9</f>
        <v>Caring, leisure and other service occupations</v>
      </c>
      <c r="B14" s="249">
        <f t="shared" si="0"/>
        <v>42.829199761055982</v>
      </c>
      <c r="C14" s="249">
        <f t="shared" si="0"/>
        <v>7.6489928676305343</v>
      </c>
      <c r="D14" s="249">
        <f t="shared" si="1"/>
        <v>50.478192628686514</v>
      </c>
      <c r="E14" s="238"/>
      <c r="F14" s="249">
        <f t="shared" si="2"/>
        <v>42.046915256215804</v>
      </c>
      <c r="G14" s="249">
        <f t="shared" si="2"/>
        <v>7.3637281899938438</v>
      </c>
      <c r="H14" s="249">
        <f t="shared" si="3"/>
        <v>49.410643446209647</v>
      </c>
      <c r="I14" s="238"/>
      <c r="J14" s="249">
        <f t="shared" si="4"/>
        <v>48.43523675056872</v>
      </c>
      <c r="K14" s="249">
        <f t="shared" si="4"/>
        <v>9.227893357362067</v>
      </c>
      <c r="L14" s="249">
        <f t="shared" si="5"/>
        <v>57.663130107930783</v>
      </c>
      <c r="M14" s="236"/>
      <c r="N14" s="236"/>
    </row>
    <row r="15" spans="1:14" x14ac:dyDescent="0.25">
      <c r="A15" s="237" t="str">
        <f>name!E$10</f>
        <v>Sales and customer service occupations</v>
      </c>
      <c r="B15" s="249">
        <f t="shared" si="0"/>
        <v>25.613356768750482</v>
      </c>
      <c r="C15" s="249">
        <f t="shared" si="0"/>
        <v>17.699134073339774</v>
      </c>
      <c r="D15" s="249">
        <f t="shared" si="1"/>
        <v>43.312490842090256</v>
      </c>
      <c r="E15" s="238"/>
      <c r="F15" s="249">
        <f t="shared" si="2"/>
        <v>22.638387717608193</v>
      </c>
      <c r="G15" s="249">
        <f t="shared" si="2"/>
        <v>16.671250869621225</v>
      </c>
      <c r="H15" s="249">
        <f t="shared" si="3"/>
        <v>39.309638587229415</v>
      </c>
      <c r="I15" s="238"/>
      <c r="J15" s="249">
        <f t="shared" si="4"/>
        <v>21.820835441886118</v>
      </c>
      <c r="K15" s="249">
        <f t="shared" si="4"/>
        <v>17.590047316482174</v>
      </c>
      <c r="L15" s="249">
        <f t="shared" si="5"/>
        <v>39.410882758368288</v>
      </c>
      <c r="M15" s="236"/>
      <c r="N15" s="236"/>
    </row>
    <row r="16" spans="1:14" x14ac:dyDescent="0.25">
      <c r="A16" s="237" t="str">
        <f>name!E$11</f>
        <v>Process, plant and machine operatives</v>
      </c>
      <c r="B16" s="249">
        <f t="shared" si="0"/>
        <v>5.5996129028394153</v>
      </c>
      <c r="C16" s="249">
        <f t="shared" si="0"/>
        <v>41.541071156937683</v>
      </c>
      <c r="D16" s="249">
        <f t="shared" si="1"/>
        <v>47.140684059777101</v>
      </c>
      <c r="E16" s="238"/>
      <c r="F16" s="249">
        <f t="shared" si="2"/>
        <v>5.0565785755204873</v>
      </c>
      <c r="G16" s="249">
        <f t="shared" si="2"/>
        <v>35.211176723761035</v>
      </c>
      <c r="H16" s="249">
        <f t="shared" si="3"/>
        <v>40.267755299281525</v>
      </c>
      <c r="I16" s="238"/>
      <c r="J16" s="249">
        <f t="shared" si="4"/>
        <v>7.0265444338238536</v>
      </c>
      <c r="K16" s="249">
        <f t="shared" si="4"/>
        <v>38.440376441614461</v>
      </c>
      <c r="L16" s="249">
        <f t="shared" si="5"/>
        <v>45.466920875438312</v>
      </c>
      <c r="M16" s="236"/>
      <c r="N16" s="236"/>
    </row>
    <row r="17" spans="1:14" x14ac:dyDescent="0.25">
      <c r="A17" s="237" t="str">
        <f>name!E$12</f>
        <v>Elementary occupations</v>
      </c>
      <c r="B17" s="249">
        <f t="shared" si="0"/>
        <v>24.742485044320908</v>
      </c>
      <c r="C17" s="249">
        <f t="shared" si="0"/>
        <v>32.217453269733944</v>
      </c>
      <c r="D17" s="249">
        <f t="shared" si="1"/>
        <v>56.959938314054853</v>
      </c>
      <c r="E17" s="238"/>
      <c r="F17" s="249">
        <f t="shared" si="2"/>
        <v>20.843506247892496</v>
      </c>
      <c r="G17" s="249">
        <f t="shared" si="2"/>
        <v>25.533247658324399</v>
      </c>
      <c r="H17" s="249">
        <f t="shared" si="3"/>
        <v>46.376753906216891</v>
      </c>
      <c r="I17" s="238"/>
      <c r="J17" s="249">
        <f t="shared" si="4"/>
        <v>18.03512719784397</v>
      </c>
      <c r="K17" s="249">
        <f t="shared" si="4"/>
        <v>24.079594072808248</v>
      </c>
      <c r="L17" s="249">
        <f t="shared" si="5"/>
        <v>42.114721270652218</v>
      </c>
      <c r="M17" s="236"/>
      <c r="N17" s="236"/>
    </row>
    <row r="18" spans="1:14" x14ac:dyDescent="0.25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5">
      <c r="A19" s="244" t="s">
        <v>33</v>
      </c>
      <c r="B19" s="247">
        <f>SUM(B9:B17)</f>
        <v>227.08899752482449</v>
      </c>
      <c r="C19" s="247">
        <f t="shared" ref="C19:L19" si="6">SUM(C9:C17)</f>
        <v>278.47300247517558</v>
      </c>
      <c r="D19" s="247">
        <f t="shared" si="6"/>
        <v>505.56200000000001</v>
      </c>
      <c r="E19" s="247"/>
      <c r="F19" s="247">
        <f t="shared" si="6"/>
        <v>231.09459559588927</v>
      </c>
      <c r="G19" s="247">
        <f t="shared" si="6"/>
        <v>265.09940440411083</v>
      </c>
      <c r="H19" s="247">
        <f t="shared" si="6"/>
        <v>496.19400000000007</v>
      </c>
      <c r="I19" s="247"/>
      <c r="J19" s="247">
        <f t="shared" si="6"/>
        <v>248.49953199280068</v>
      </c>
      <c r="K19" s="247">
        <f t="shared" si="6"/>
        <v>273.44446800719919</v>
      </c>
      <c r="L19" s="247">
        <f t="shared" si="6"/>
        <v>521.94399999999985</v>
      </c>
      <c r="M19" s="236"/>
      <c r="N19" s="236"/>
    </row>
    <row r="20" spans="1:14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ht="13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ht="13" x14ac:dyDescent="0.3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ht="13" x14ac:dyDescent="0.3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ht="13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5">
      <c r="A26" s="237" t="str">
        <f>name!E$4</f>
        <v>Managers, directors and senior officials</v>
      </c>
      <c r="B26" s="302">
        <v>3.4166716469686012E-2</v>
      </c>
      <c r="C26" s="302">
        <v>0.12197493785867466</v>
      </c>
      <c r="D26" s="302">
        <f>SUM(B26:C26)</f>
        <v>0.15614165432836069</v>
      </c>
      <c r="E26" s="303"/>
      <c r="F26" s="302">
        <v>2.2940622532318503E-2</v>
      </c>
      <c r="G26" s="302">
        <v>5.1876507777226626E-2</v>
      </c>
      <c r="H26" s="302">
        <f>SUM(F26:G26)</f>
        <v>7.4817130309545121E-2</v>
      </c>
      <c r="I26" s="303"/>
      <c r="J26" s="302">
        <v>3.058747153104327E-2</v>
      </c>
      <c r="K26" s="302">
        <v>7.3572888145222462E-2</v>
      </c>
      <c r="L26" s="302">
        <f>SUM(J26:K26)</f>
        <v>0.10416035967626573</v>
      </c>
      <c r="M26" s="236"/>
      <c r="N26" s="236"/>
    </row>
    <row r="27" spans="1:14" x14ac:dyDescent="0.25">
      <c r="A27" s="237" t="str">
        <f>name!E$5</f>
        <v>Professional occupations</v>
      </c>
      <c r="B27" s="302">
        <v>3.207357490652344E-2</v>
      </c>
      <c r="C27" s="302">
        <v>9.7542779476116143E-2</v>
      </c>
      <c r="D27" s="302">
        <f t="shared" ref="D27:D34" si="7">SUM(B27:C27)</f>
        <v>0.12961635438263958</v>
      </c>
      <c r="E27" s="303"/>
      <c r="F27" s="302">
        <v>2.886271067849103E-2</v>
      </c>
      <c r="G27" s="302">
        <v>5.7255885412611646E-2</v>
      </c>
      <c r="H27" s="302">
        <f t="shared" ref="H27:H34" si="8">SUM(F27:G27)</f>
        <v>8.6118596091102673E-2</v>
      </c>
      <c r="I27" s="303"/>
      <c r="J27" s="302">
        <v>5.1650144260929787E-2</v>
      </c>
      <c r="K27" s="302">
        <v>0.1154136281617506</v>
      </c>
      <c r="L27" s="302">
        <f t="shared" ref="L27:L34" si="9">SUM(J27:K27)</f>
        <v>0.16706377242268039</v>
      </c>
      <c r="M27" s="236"/>
      <c r="N27" s="236"/>
    </row>
    <row r="28" spans="1:14" x14ac:dyDescent="0.25">
      <c r="A28" s="237" t="str">
        <f>name!E$6</f>
        <v>Associate professional occupations</v>
      </c>
      <c r="B28" s="302">
        <v>3.4362562569869193E-2</v>
      </c>
      <c r="C28" s="302">
        <v>6.8015292161640747E-2</v>
      </c>
      <c r="D28" s="302">
        <f t="shared" si="7"/>
        <v>0.10237785473150994</v>
      </c>
      <c r="E28" s="303"/>
      <c r="F28" s="302">
        <v>2.4085439398868081E-2</v>
      </c>
      <c r="G28" s="302">
        <v>3.3744145434251874E-2</v>
      </c>
      <c r="H28" s="302">
        <f t="shared" si="8"/>
        <v>5.7829584833119951E-2</v>
      </c>
      <c r="I28" s="303"/>
      <c r="J28" s="302">
        <v>3.5297152756465722E-2</v>
      </c>
      <c r="K28" s="302">
        <v>4.8709665803905504E-2</v>
      </c>
      <c r="L28" s="302">
        <f t="shared" si="9"/>
        <v>8.4006818560371233E-2</v>
      </c>
      <c r="M28" s="236"/>
      <c r="N28" s="236"/>
    </row>
    <row r="29" spans="1:14" x14ac:dyDescent="0.25">
      <c r="A29" s="237" t="str">
        <f>name!E$7</f>
        <v>Administrative and secretarial occupations</v>
      </c>
      <c r="B29" s="302">
        <v>0.13315337585746778</v>
      </c>
      <c r="C29" s="302">
        <v>6.4379017050293891E-2</v>
      </c>
      <c r="D29" s="302">
        <f t="shared" si="7"/>
        <v>0.19753239290776167</v>
      </c>
      <c r="E29" s="303"/>
      <c r="F29" s="302">
        <v>4.9855319801955886E-2</v>
      </c>
      <c r="G29" s="302">
        <v>1.9263516092284001E-2</v>
      </c>
      <c r="H29" s="302">
        <f t="shared" si="8"/>
        <v>6.9118835894239894E-2</v>
      </c>
      <c r="I29" s="303"/>
      <c r="J29" s="302">
        <v>3.6326013412788183E-2</v>
      </c>
      <c r="K29" s="302">
        <v>2.9170926159547514E-2</v>
      </c>
      <c r="L29" s="302">
        <f t="shared" si="9"/>
        <v>6.5496939572335697E-2</v>
      </c>
      <c r="M29" s="236"/>
      <c r="N29" s="236"/>
    </row>
    <row r="30" spans="1:14" x14ac:dyDescent="0.25">
      <c r="A30" s="237" t="str">
        <f>name!E$8</f>
        <v>Skilled trades occupations</v>
      </c>
      <c r="B30" s="302">
        <v>0.19591086858829096</v>
      </c>
      <c r="C30" s="302">
        <v>1.3972276014758869</v>
      </c>
      <c r="D30" s="302">
        <f t="shared" si="7"/>
        <v>1.5931384700641777</v>
      </c>
      <c r="E30" s="303"/>
      <c r="F30" s="302">
        <v>0.13989621953576512</v>
      </c>
      <c r="G30" s="302">
        <v>0.45973021266182501</v>
      </c>
      <c r="H30" s="302">
        <f t="shared" si="8"/>
        <v>0.59962643219759015</v>
      </c>
      <c r="I30" s="303"/>
      <c r="J30" s="302">
        <v>0.16170132701622408</v>
      </c>
      <c r="K30" s="302">
        <v>0.42386666429067066</v>
      </c>
      <c r="L30" s="302">
        <f t="shared" si="9"/>
        <v>0.58556799130689474</v>
      </c>
      <c r="M30" s="236"/>
      <c r="N30" s="236"/>
    </row>
    <row r="31" spans="1:14" x14ac:dyDescent="0.25">
      <c r="A31" s="237" t="str">
        <f>name!E$9</f>
        <v>Caring, leisure and other service occupations</v>
      </c>
      <c r="B31" s="302">
        <v>9.1613865115798818E-2</v>
      </c>
      <c r="C31" s="302">
        <v>4.8788703255552228E-2</v>
      </c>
      <c r="D31" s="302">
        <f t="shared" si="7"/>
        <v>0.14040256837135104</v>
      </c>
      <c r="E31" s="303"/>
      <c r="F31" s="302">
        <v>3.4332352263911028E-2</v>
      </c>
      <c r="G31" s="302">
        <v>1.6089010744437558E-2</v>
      </c>
      <c r="H31" s="302">
        <f t="shared" si="8"/>
        <v>5.0421363008348583E-2</v>
      </c>
      <c r="I31" s="303"/>
      <c r="J31" s="302">
        <v>3.6551895010190336E-2</v>
      </c>
      <c r="K31" s="302">
        <v>2.0573929866166279E-2</v>
      </c>
      <c r="L31" s="302">
        <f t="shared" si="9"/>
        <v>5.7125824876356618E-2</v>
      </c>
      <c r="M31" s="236"/>
      <c r="N31" s="236"/>
    </row>
    <row r="32" spans="1:14" x14ac:dyDescent="0.25">
      <c r="A32" s="237" t="str">
        <f>name!E$10</f>
        <v>Sales and customer service occupations</v>
      </c>
      <c r="B32" s="302">
        <v>3.1894268504871558E-2</v>
      </c>
      <c r="C32" s="302">
        <v>2.9094281238170601E-2</v>
      </c>
      <c r="D32" s="302">
        <f t="shared" si="7"/>
        <v>6.0988549743042159E-2</v>
      </c>
      <c r="E32" s="303"/>
      <c r="F32" s="302">
        <v>1.1134056018320706E-2</v>
      </c>
      <c r="G32" s="302">
        <v>9.5119484147729548E-3</v>
      </c>
      <c r="H32" s="302">
        <f t="shared" si="8"/>
        <v>2.0646004433093661E-2</v>
      </c>
      <c r="I32" s="303"/>
      <c r="J32" s="302">
        <v>1.1785169423783184E-2</v>
      </c>
      <c r="K32" s="302">
        <v>1.1851191727302651E-2</v>
      </c>
      <c r="L32" s="302">
        <f t="shared" si="9"/>
        <v>2.3636361151085833E-2</v>
      </c>
      <c r="M32" s="236"/>
      <c r="N32" s="236"/>
    </row>
    <row r="33" spans="1:18" x14ac:dyDescent="0.25">
      <c r="A33" s="237" t="str">
        <f>name!E$11</f>
        <v>Process, plant and machine operatives</v>
      </c>
      <c r="B33" s="302">
        <v>1.9041842442549032E-2</v>
      </c>
      <c r="C33" s="302">
        <v>0.10150674974317733</v>
      </c>
      <c r="D33" s="302">
        <f t="shared" si="7"/>
        <v>0.12054859218572636</v>
      </c>
      <c r="E33" s="303"/>
      <c r="F33" s="302">
        <v>8.2609784496378551E-3</v>
      </c>
      <c r="G33" s="302">
        <v>2.7033720499242818E-2</v>
      </c>
      <c r="H33" s="302">
        <f t="shared" si="8"/>
        <v>3.5294698948880675E-2</v>
      </c>
      <c r="I33" s="303"/>
      <c r="J33" s="302">
        <v>6.1455487894799951E-3</v>
      </c>
      <c r="K33" s="302">
        <v>2.8426877197861196E-2</v>
      </c>
      <c r="L33" s="302">
        <f t="shared" si="9"/>
        <v>3.4572425987341192E-2</v>
      </c>
      <c r="M33" s="236"/>
      <c r="N33" s="236"/>
    </row>
    <row r="34" spans="1:18" x14ac:dyDescent="0.25">
      <c r="A34" s="237" t="str">
        <f>name!E$12</f>
        <v>Elementary occupations</v>
      </c>
      <c r="B34" s="302">
        <v>0.16218739446901595</v>
      </c>
      <c r="C34" s="302">
        <v>0.30206616881641163</v>
      </c>
      <c r="D34" s="302">
        <f t="shared" si="7"/>
        <v>0.46425356328542755</v>
      </c>
      <c r="E34" s="303"/>
      <c r="F34" s="302">
        <v>4.75769533622818E-2</v>
      </c>
      <c r="G34" s="302">
        <v>7.3550400921796794E-2</v>
      </c>
      <c r="H34" s="302">
        <f t="shared" si="8"/>
        <v>0.12112735428407859</v>
      </c>
      <c r="I34" s="303"/>
      <c r="J34" s="302">
        <v>3.2003160168303867E-2</v>
      </c>
      <c r="K34" s="302">
        <v>6.1366346278364022E-2</v>
      </c>
      <c r="L34" s="302">
        <f t="shared" si="9"/>
        <v>9.3369506446667888E-2</v>
      </c>
      <c r="M34" s="236"/>
      <c r="N34" s="236"/>
    </row>
    <row r="35" spans="1:18" x14ac:dyDescent="0.25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5">
      <c r="A36" s="244" t="s">
        <v>33</v>
      </c>
      <c r="B36" s="311">
        <f>SUM(B26:B34)</f>
        <v>0.73440446892407274</v>
      </c>
      <c r="C36" s="311">
        <f t="shared" ref="C36:K36" si="10">SUM(C26:C34)</f>
        <v>2.2305955310759242</v>
      </c>
      <c r="D36" s="311">
        <f t="shared" si="10"/>
        <v>2.9649999999999972</v>
      </c>
      <c r="E36" s="311"/>
      <c r="F36" s="311">
        <f t="shared" si="10"/>
        <v>0.36694465204154991</v>
      </c>
      <c r="G36" s="311">
        <f t="shared" si="10"/>
        <v>0.7480553479584493</v>
      </c>
      <c r="H36" s="311">
        <f t="shared" si="10"/>
        <v>1.1149999999999991</v>
      </c>
      <c r="I36" s="311"/>
      <c r="J36" s="311">
        <f t="shared" si="10"/>
        <v>0.40204788236920841</v>
      </c>
      <c r="K36" s="311">
        <f t="shared" si="10"/>
        <v>0.81295211763079078</v>
      </c>
      <c r="L36" s="311">
        <f>SUM(L26:L34)</f>
        <v>1.2149999999999996</v>
      </c>
      <c r="M36" s="236"/>
      <c r="N36" s="236"/>
    </row>
    <row r="37" spans="1:18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ht="13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ht="13" x14ac:dyDescent="0.3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ht="13" x14ac:dyDescent="0.3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5">
      <c r="A43" s="237" t="str">
        <f>name!E$4</f>
        <v>Managers, directors and senior officials</v>
      </c>
      <c r="B43" s="302">
        <v>6.8476087834702334E-4</v>
      </c>
      <c r="C43" s="302">
        <v>2.1860820817167208E-2</v>
      </c>
      <c r="D43" s="302">
        <f>SUM(B43:C43)</f>
        <v>2.2545581695514232E-2</v>
      </c>
      <c r="E43" s="303"/>
      <c r="F43" s="302">
        <v>2.0720267340099941E-3</v>
      </c>
      <c r="G43" s="302">
        <v>2.6211427520822554E-2</v>
      </c>
      <c r="H43" s="302">
        <f>SUM(F43:G43)</f>
        <v>2.8283454254832547E-2</v>
      </c>
      <c r="I43" s="303"/>
      <c r="J43" s="302">
        <v>1.0008392002725417E-3</v>
      </c>
      <c r="K43" s="302">
        <v>1.2243598876641929E-2</v>
      </c>
      <c r="L43" s="302">
        <f>SUM(J43:K43)</f>
        <v>1.324443807691447E-2</v>
      </c>
      <c r="M43" s="236"/>
      <c r="N43" s="236"/>
    </row>
    <row r="44" spans="1:18" x14ac:dyDescent="0.25">
      <c r="A44" s="237" t="str">
        <f>name!E$5</f>
        <v>Professional occupations</v>
      </c>
      <c r="B44" s="302">
        <v>4.3087577488290897E-3</v>
      </c>
      <c r="C44" s="302">
        <v>1.730461726690876E-2</v>
      </c>
      <c r="D44" s="302">
        <f t="shared" ref="D44:D51" si="11">SUM(B44:C44)</f>
        <v>2.1613375015737849E-2</v>
      </c>
      <c r="E44" s="303"/>
      <c r="F44" s="302">
        <v>7.6293894513221197E-3</v>
      </c>
      <c r="G44" s="302">
        <v>2.3597989546313061E-2</v>
      </c>
      <c r="H44" s="302">
        <f t="shared" ref="H44:H51" si="12">SUM(F44:G44)</f>
        <v>3.1227378997635179E-2</v>
      </c>
      <c r="I44" s="303"/>
      <c r="J44" s="302">
        <v>2.2413125368720976E-3</v>
      </c>
      <c r="K44" s="302">
        <v>1.2063398900349626E-2</v>
      </c>
      <c r="L44" s="302">
        <f t="shared" ref="L44:L51" si="13">SUM(J44:K44)</f>
        <v>1.4304711437221724E-2</v>
      </c>
      <c r="M44" s="236"/>
      <c r="N44" s="236"/>
    </row>
    <row r="45" spans="1:18" x14ac:dyDescent="0.25">
      <c r="A45" s="237" t="str">
        <f>name!E$6</f>
        <v>Associate professional occupations</v>
      </c>
      <c r="B45" s="302">
        <v>1.0200678032265978E-3</v>
      </c>
      <c r="C45" s="302">
        <v>1.416464573741744E-2</v>
      </c>
      <c r="D45" s="302">
        <f t="shared" si="11"/>
        <v>1.5184713540644037E-2</v>
      </c>
      <c r="E45" s="303"/>
      <c r="F45" s="302">
        <v>5.2582290014109336E-3</v>
      </c>
      <c r="G45" s="302">
        <v>2.278952688151439E-2</v>
      </c>
      <c r="H45" s="302">
        <f t="shared" si="12"/>
        <v>2.8047755882925324E-2</v>
      </c>
      <c r="I45" s="303"/>
      <c r="J45" s="302">
        <v>2.67487931126386E-3</v>
      </c>
      <c r="K45" s="302">
        <v>9.3612043476531005E-3</v>
      </c>
      <c r="L45" s="302">
        <f t="shared" si="13"/>
        <v>1.203608365891696E-2</v>
      </c>
      <c r="M45" s="236"/>
      <c r="N45" s="236"/>
    </row>
    <row r="46" spans="1:18" x14ac:dyDescent="0.25">
      <c r="A46" s="237" t="str">
        <f>name!E$7</f>
        <v>Administrative and secretarial occupations</v>
      </c>
      <c r="B46" s="302">
        <v>8.5185519292711688E-4</v>
      </c>
      <c r="C46" s="302">
        <v>3.2443014590166986E-3</v>
      </c>
      <c r="D46" s="302">
        <f t="shared" si="11"/>
        <v>4.096156651943815E-3</v>
      </c>
      <c r="E46" s="303"/>
      <c r="F46" s="302">
        <v>6.8135431994181149E-3</v>
      </c>
      <c r="G46" s="302">
        <v>2.8235090646668379E-3</v>
      </c>
      <c r="H46" s="302">
        <f t="shared" si="12"/>
        <v>9.6370522640849519E-3</v>
      </c>
      <c r="I46" s="303"/>
      <c r="J46" s="302">
        <v>2.8800346858513307E-3</v>
      </c>
      <c r="K46" s="302">
        <v>9.2795230782460013E-4</v>
      </c>
      <c r="L46" s="302">
        <f t="shared" si="13"/>
        <v>3.8079869936759308E-3</v>
      </c>
      <c r="M46" s="236"/>
      <c r="N46" s="236"/>
    </row>
    <row r="47" spans="1:18" x14ac:dyDescent="0.25">
      <c r="A47" s="237" t="str">
        <f>name!E$8</f>
        <v>Skilled trades occupations</v>
      </c>
      <c r="B47" s="302">
        <v>4.500839740588692E-4</v>
      </c>
      <c r="C47" s="302">
        <v>3.6822988407907091E-2</v>
      </c>
      <c r="D47" s="302">
        <f t="shared" si="11"/>
        <v>3.7273072381965963E-2</v>
      </c>
      <c r="E47" s="303"/>
      <c r="F47" s="302">
        <v>1.8517814665066596E-4</v>
      </c>
      <c r="G47" s="302">
        <v>2.9008526002438372E-2</v>
      </c>
      <c r="H47" s="302">
        <f>SUM(F47:G47)</f>
        <v>2.9193704149089037E-2</v>
      </c>
      <c r="I47" s="303"/>
      <c r="J47" s="302">
        <v>9.5872133877008647E-5</v>
      </c>
      <c r="K47" s="302">
        <v>9.7309797214499439E-3</v>
      </c>
      <c r="L47" s="302">
        <f t="shared" si="13"/>
        <v>9.8268518553269527E-3</v>
      </c>
      <c r="M47" s="236"/>
      <c r="N47" s="236"/>
    </row>
    <row r="48" spans="1:18" x14ac:dyDescent="0.25">
      <c r="A48" s="237" t="str">
        <f>name!E$9</f>
        <v>Caring, leisure and other service occupations</v>
      </c>
      <c r="B48" s="302">
        <v>1.2804759695042055E-3</v>
      </c>
      <c r="C48" s="302">
        <v>2.0400948479771322E-3</v>
      </c>
      <c r="D48" s="302">
        <f t="shared" si="11"/>
        <v>3.3205708174813379E-3</v>
      </c>
      <c r="E48" s="303"/>
      <c r="F48" s="302">
        <v>9.7055151158310872E-4</v>
      </c>
      <c r="G48" s="302">
        <v>3.0861115978965143E-3</v>
      </c>
      <c r="H48" s="302">
        <f t="shared" si="12"/>
        <v>4.0566631094796227E-3</v>
      </c>
      <c r="I48" s="303"/>
      <c r="J48" s="302">
        <v>2.8199162646103934E-4</v>
      </c>
      <c r="K48" s="302">
        <v>1.5003627812908591E-3</v>
      </c>
      <c r="L48" s="302">
        <f t="shared" si="13"/>
        <v>1.7823544077518985E-3</v>
      </c>
      <c r="M48" s="236"/>
      <c r="N48" s="236"/>
    </row>
    <row r="49" spans="1:14" x14ac:dyDescent="0.25">
      <c r="A49" s="237" t="str">
        <f>name!E$10</f>
        <v>Sales and customer service occupations</v>
      </c>
      <c r="B49" s="302">
        <v>4.7731003438038872E-4</v>
      </c>
      <c r="C49" s="302">
        <v>2.8128350380603683E-3</v>
      </c>
      <c r="D49" s="302">
        <f t="shared" si="11"/>
        <v>3.2901450724407569E-3</v>
      </c>
      <c r="E49" s="303"/>
      <c r="F49" s="302">
        <v>1.498185331142607E-3</v>
      </c>
      <c r="G49" s="302">
        <v>2.8001454373042084E-3</v>
      </c>
      <c r="H49" s="302">
        <f t="shared" si="12"/>
        <v>4.2983307684468152E-3</v>
      </c>
      <c r="I49" s="303"/>
      <c r="J49" s="302">
        <v>7.0195248567644605E-4</v>
      </c>
      <c r="K49" s="302">
        <v>1.2559078403086967E-3</v>
      </c>
      <c r="L49" s="302">
        <f t="shared" si="13"/>
        <v>1.9578603259851426E-3</v>
      </c>
      <c r="M49" s="236"/>
      <c r="N49" s="236"/>
    </row>
    <row r="50" spans="1:14" x14ac:dyDescent="0.25">
      <c r="A50" s="237" t="str">
        <f>name!E$11</f>
        <v>Process, plant and machine operatives</v>
      </c>
      <c r="B50" s="302">
        <v>1.0841971676065851E-3</v>
      </c>
      <c r="C50" s="302">
        <v>2.3287565280656727E-2</v>
      </c>
      <c r="D50" s="302">
        <f t="shared" si="11"/>
        <v>2.4371762448263314E-2</v>
      </c>
      <c r="E50" s="303"/>
      <c r="F50" s="302">
        <v>1.3093828437613404E-4</v>
      </c>
      <c r="G50" s="302">
        <v>1.7955683932818524E-2</v>
      </c>
      <c r="H50" s="302">
        <f t="shared" si="12"/>
        <v>1.8086622217194658E-2</v>
      </c>
      <c r="I50" s="303"/>
      <c r="J50" s="302">
        <v>3.5505190510316547E-5</v>
      </c>
      <c r="K50" s="302">
        <v>5.5375547228157683E-3</v>
      </c>
      <c r="L50" s="302">
        <f t="shared" si="13"/>
        <v>5.5730599133260849E-3</v>
      </c>
      <c r="M50" s="236"/>
      <c r="N50" s="236"/>
    </row>
    <row r="51" spans="1:14" x14ac:dyDescent="0.25">
      <c r="A51" s="237" t="str">
        <f>name!E$12</f>
        <v>Elementary occupations</v>
      </c>
      <c r="B51" s="302">
        <v>7.2786672518076773E-4</v>
      </c>
      <c r="C51" s="302">
        <v>2.9576755650828162E-2</v>
      </c>
      <c r="D51" s="302">
        <f t="shared" si="11"/>
        <v>3.0304622376008929E-2</v>
      </c>
      <c r="E51" s="303"/>
      <c r="F51" s="302">
        <v>8.2093656481602758E-4</v>
      </c>
      <c r="G51" s="302">
        <v>1.3481017914955642E-3</v>
      </c>
      <c r="H51" s="302">
        <f t="shared" si="12"/>
        <v>2.1690383563115916E-3</v>
      </c>
      <c r="I51" s="303"/>
      <c r="J51" s="302">
        <v>1.9602566546666163E-4</v>
      </c>
      <c r="K51" s="302">
        <v>2.7062766541411461E-4</v>
      </c>
      <c r="L51" s="302">
        <f t="shared" si="13"/>
        <v>4.6665333088077626E-4</v>
      </c>
      <c r="M51" s="236"/>
      <c r="N51" s="236"/>
    </row>
    <row r="52" spans="1:14" x14ac:dyDescent="0.25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5">
      <c r="A53" s="244" t="s">
        <v>33</v>
      </c>
      <c r="B53" s="311">
        <f>SUM(B43:B51)</f>
        <v>1.0885375494060644E-2</v>
      </c>
      <c r="C53" s="311">
        <f t="shared" ref="C53:L53" si="14">SUM(C43:C51)</f>
        <v>0.15111462450593957</v>
      </c>
      <c r="D53" s="311">
        <f t="shared" si="14"/>
        <v>0.16200000000000023</v>
      </c>
      <c r="E53" s="311"/>
      <c r="F53" s="311">
        <f t="shared" si="14"/>
        <v>2.5378978224729704E-2</v>
      </c>
      <c r="G53" s="311">
        <f t="shared" si="14"/>
        <v>0.12962102177527002</v>
      </c>
      <c r="H53" s="311">
        <f t="shared" si="14"/>
        <v>0.15499999999999975</v>
      </c>
      <c r="I53" s="311"/>
      <c r="J53" s="311">
        <f t="shared" si="14"/>
        <v>1.0108412836251301E-2</v>
      </c>
      <c r="K53" s="311">
        <f t="shared" si="14"/>
        <v>5.2891587163748637E-2</v>
      </c>
      <c r="L53" s="311">
        <f t="shared" si="14"/>
        <v>6.2999999999999945E-2</v>
      </c>
      <c r="M53" s="236"/>
      <c r="N53" s="236"/>
    </row>
    <row r="54" spans="1:14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ht="13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ht="13" x14ac:dyDescent="0.3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ht="13" x14ac:dyDescent="0.3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5">
      <c r="A60" s="237" t="str">
        <f>name!E$4</f>
        <v>Managers, directors and senior officials</v>
      </c>
      <c r="B60" s="302">
        <v>0.13861697696889153</v>
      </c>
      <c r="C60" s="302">
        <v>0.30962031261742845</v>
      </c>
      <c r="D60" s="302">
        <f>SUM(B60:C60)</f>
        <v>0.44823728958631998</v>
      </c>
      <c r="E60" s="303"/>
      <c r="F60" s="302">
        <v>0.17866042690178013</v>
      </c>
      <c r="G60" s="302">
        <v>0.34311640196224213</v>
      </c>
      <c r="H60" s="302">
        <f>SUM(F60:G60)</f>
        <v>0.52177682886402232</v>
      </c>
      <c r="I60" s="303"/>
      <c r="J60" s="302">
        <v>0.22753398573822323</v>
      </c>
      <c r="K60" s="302">
        <v>0.31550498062039406</v>
      </c>
      <c r="L60" s="302">
        <f>SUM(J60:K60)</f>
        <v>0.54303896635861726</v>
      </c>
      <c r="M60" s="236"/>
      <c r="N60" s="236"/>
    </row>
    <row r="61" spans="1:14" x14ac:dyDescent="0.25">
      <c r="A61" s="237" t="str">
        <f>name!E$5</f>
        <v>Professional occupations</v>
      </c>
      <c r="B61" s="302">
        <v>0.2168689565180742</v>
      </c>
      <c r="C61" s="302">
        <v>0.20504753692881433</v>
      </c>
      <c r="D61" s="302">
        <f t="shared" ref="D61:D68" si="15">SUM(B61:C61)</f>
        <v>0.42191649344688853</v>
      </c>
      <c r="E61" s="303"/>
      <c r="F61" s="302">
        <v>0.30506049692604487</v>
      </c>
      <c r="G61" s="302">
        <v>0.25767258517553326</v>
      </c>
      <c r="H61" s="302">
        <f t="shared" ref="H61:H68" si="16">SUM(F61:G61)</f>
        <v>0.56273308210157813</v>
      </c>
      <c r="I61" s="303"/>
      <c r="J61" s="302">
        <v>0.41119486410701067</v>
      </c>
      <c r="K61" s="302">
        <v>0.29819665546820001</v>
      </c>
      <c r="L61" s="302">
        <f t="shared" ref="L61:L68" si="17">SUM(J61:K61)</f>
        <v>0.70939151957521074</v>
      </c>
      <c r="M61" s="236"/>
      <c r="N61" s="236"/>
    </row>
    <row r="62" spans="1:14" x14ac:dyDescent="0.25">
      <c r="A62" s="237" t="str">
        <f>name!E$6</f>
        <v>Associate professional occupations</v>
      </c>
      <c r="B62" s="302">
        <v>0.24880631079667634</v>
      </c>
      <c r="C62" s="302">
        <v>0.30618318447771908</v>
      </c>
      <c r="D62" s="302">
        <f t="shared" si="15"/>
        <v>0.55498949527439545</v>
      </c>
      <c r="E62" s="303"/>
      <c r="F62" s="302">
        <v>0.30372726125337596</v>
      </c>
      <c r="G62" s="302">
        <v>0.37521473258032634</v>
      </c>
      <c r="H62" s="302">
        <f t="shared" si="16"/>
        <v>0.67894199383370224</v>
      </c>
      <c r="I62" s="303"/>
      <c r="J62" s="302">
        <v>0.35967643422612516</v>
      </c>
      <c r="K62" s="302">
        <v>0.31923457239989989</v>
      </c>
      <c r="L62" s="302">
        <f t="shared" si="17"/>
        <v>0.6789110066260251</v>
      </c>
      <c r="M62" s="236"/>
      <c r="N62" s="236"/>
    </row>
    <row r="63" spans="1:14" x14ac:dyDescent="0.25">
      <c r="A63" s="237" t="str">
        <f>name!E$7</f>
        <v>Administrative and secretarial occupations</v>
      </c>
      <c r="B63" s="302">
        <v>0.18575206622729457</v>
      </c>
      <c r="C63" s="302">
        <v>0.26962052000369907</v>
      </c>
      <c r="D63" s="302">
        <f t="shared" si="15"/>
        <v>0.45537258623099364</v>
      </c>
      <c r="E63" s="303"/>
      <c r="F63" s="302">
        <v>0.19021685717228226</v>
      </c>
      <c r="G63" s="302">
        <v>0.28998633241829663</v>
      </c>
      <c r="H63" s="302">
        <f t="shared" si="16"/>
        <v>0.48020318959057889</v>
      </c>
      <c r="I63" s="303"/>
      <c r="J63" s="302">
        <v>0.17066137510068288</v>
      </c>
      <c r="K63" s="302">
        <v>0.27002371431271427</v>
      </c>
      <c r="L63" s="302">
        <f t="shared" si="17"/>
        <v>0.44068508941339712</v>
      </c>
      <c r="M63" s="236"/>
      <c r="N63" s="236"/>
    </row>
    <row r="64" spans="1:14" x14ac:dyDescent="0.25">
      <c r="A64" s="237" t="str">
        <f>name!E$8</f>
        <v>Skilled trades occupations</v>
      </c>
      <c r="B64" s="302">
        <v>0.13664389288593276</v>
      </c>
      <c r="C64" s="302">
        <v>0.92068483572540616</v>
      </c>
      <c r="D64" s="302">
        <f t="shared" si="15"/>
        <v>1.0573287286113389</v>
      </c>
      <c r="E64" s="303"/>
      <c r="F64" s="302">
        <v>0.11949532937800479</v>
      </c>
      <c r="G64" s="302">
        <v>0.63827404672279986</v>
      </c>
      <c r="H64" s="302">
        <f t="shared" si="16"/>
        <v>0.75776937610080464</v>
      </c>
      <c r="I64" s="303"/>
      <c r="J64" s="302">
        <v>0.11867421809321281</v>
      </c>
      <c r="K64" s="302">
        <v>0.54074687258400467</v>
      </c>
      <c r="L64" s="302">
        <f t="shared" si="17"/>
        <v>0.65942109067721744</v>
      </c>
      <c r="M64" s="236"/>
      <c r="N64" s="236"/>
    </row>
    <row r="65" spans="1:14" x14ac:dyDescent="0.25">
      <c r="A65" s="237" t="str">
        <f>name!E$9</f>
        <v>Caring, leisure and other service occupations</v>
      </c>
      <c r="B65" s="302">
        <v>3.4509512847704073E-2</v>
      </c>
      <c r="C65" s="302">
        <v>2.9790548902588077E-2</v>
      </c>
      <c r="D65" s="302">
        <f t="shared" si="15"/>
        <v>6.4300061750292153E-2</v>
      </c>
      <c r="E65" s="303"/>
      <c r="F65" s="302">
        <v>3.9431626336193876E-2</v>
      </c>
      <c r="G65" s="302">
        <v>3.3353733774347201E-2</v>
      </c>
      <c r="H65" s="302">
        <f t="shared" si="16"/>
        <v>7.278536011054107E-2</v>
      </c>
      <c r="I65" s="303"/>
      <c r="J65" s="302">
        <v>4.0482137924326679E-2</v>
      </c>
      <c r="K65" s="302">
        <v>3.4251321931241918E-2</v>
      </c>
      <c r="L65" s="302">
        <f t="shared" si="17"/>
        <v>7.473345985556859E-2</v>
      </c>
      <c r="M65" s="236"/>
      <c r="N65" s="236"/>
    </row>
    <row r="66" spans="1:14" x14ac:dyDescent="0.25">
      <c r="A66" s="237" t="str">
        <f>name!E$10</f>
        <v>Sales and customer service occupations</v>
      </c>
      <c r="B66" s="302">
        <v>0.107019834393887</v>
      </c>
      <c r="C66" s="302">
        <v>7.0883398681116205E-2</v>
      </c>
      <c r="D66" s="302">
        <f t="shared" si="15"/>
        <v>0.17790323307500322</v>
      </c>
      <c r="E66" s="303"/>
      <c r="F66" s="302">
        <v>9.6405285527994239E-2</v>
      </c>
      <c r="G66" s="302">
        <v>7.6763940377745671E-2</v>
      </c>
      <c r="H66" s="302">
        <f t="shared" si="16"/>
        <v>0.17316922590573991</v>
      </c>
      <c r="I66" s="303"/>
      <c r="J66" s="302">
        <v>8.7186005965889282E-2</v>
      </c>
      <c r="K66" s="302">
        <v>8.2922559014969713E-2</v>
      </c>
      <c r="L66" s="302">
        <f t="shared" si="17"/>
        <v>0.170108564980859</v>
      </c>
      <c r="M66" s="236"/>
      <c r="N66" s="236"/>
    </row>
    <row r="67" spans="1:14" x14ac:dyDescent="0.25">
      <c r="A67" s="237" t="str">
        <f>name!E$11</f>
        <v>Process, plant and machine operatives</v>
      </c>
      <c r="B67" s="302">
        <v>0.73218258100957201</v>
      </c>
      <c r="C67" s="302">
        <v>1.8979949057480612</v>
      </c>
      <c r="D67" s="302">
        <f t="shared" si="15"/>
        <v>2.6301774867576331</v>
      </c>
      <c r="E67" s="303"/>
      <c r="F67" s="302">
        <v>0.57416481534172747</v>
      </c>
      <c r="G67" s="302">
        <v>1.544153376671511</v>
      </c>
      <c r="H67" s="302">
        <f t="shared" si="16"/>
        <v>2.1183181920132386</v>
      </c>
      <c r="I67" s="303"/>
      <c r="J67" s="302">
        <v>0.55856789165965071</v>
      </c>
      <c r="K67" s="302">
        <v>1.6107461540532961</v>
      </c>
      <c r="L67" s="302">
        <f t="shared" si="17"/>
        <v>2.1693140457129467</v>
      </c>
      <c r="M67" s="236"/>
      <c r="N67" s="236"/>
    </row>
    <row r="68" spans="1:14" x14ac:dyDescent="0.25">
      <c r="A68" s="237" t="str">
        <f>name!E$12</f>
        <v>Elementary occupations</v>
      </c>
      <c r="B68" s="302">
        <v>0.48075632635767163</v>
      </c>
      <c r="C68" s="302">
        <v>0.72101829890945301</v>
      </c>
      <c r="D68" s="302">
        <f t="shared" si="15"/>
        <v>1.2017746252671246</v>
      </c>
      <c r="E68" s="303"/>
      <c r="F68" s="302">
        <v>0.34665748306750732</v>
      </c>
      <c r="G68" s="302">
        <v>0.58464526841228692</v>
      </c>
      <c r="H68" s="302">
        <f t="shared" si="16"/>
        <v>0.93130275147979424</v>
      </c>
      <c r="I68" s="303"/>
      <c r="J68" s="302">
        <v>0.29824140821611844</v>
      </c>
      <c r="K68" s="302">
        <v>0.44515484858403437</v>
      </c>
      <c r="L68" s="302">
        <f t="shared" si="17"/>
        <v>0.74339625680015287</v>
      </c>
      <c r="M68" s="236"/>
      <c r="N68" s="236"/>
    </row>
    <row r="69" spans="1:14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5">
      <c r="A70" s="244" t="s">
        <v>33</v>
      </c>
      <c r="B70" s="311">
        <f>SUM(B60:B68)</f>
        <v>2.2811564580057038</v>
      </c>
      <c r="C70" s="311">
        <f t="shared" ref="C70:L70" si="18">SUM(C60:C68)</f>
        <v>4.730843541994286</v>
      </c>
      <c r="D70" s="311">
        <f t="shared" si="18"/>
        <v>7.0119999999999898</v>
      </c>
      <c r="E70" s="311"/>
      <c r="F70" s="311">
        <f t="shared" si="18"/>
        <v>2.1538195819049109</v>
      </c>
      <c r="G70" s="311">
        <f t="shared" si="18"/>
        <v>4.1431804180950893</v>
      </c>
      <c r="H70" s="311">
        <f t="shared" si="18"/>
        <v>6.2970000000000006</v>
      </c>
      <c r="I70" s="311"/>
      <c r="J70" s="311">
        <f t="shared" si="18"/>
        <v>2.2722183210312403</v>
      </c>
      <c r="K70" s="311">
        <f t="shared" si="18"/>
        <v>3.9167816789687548</v>
      </c>
      <c r="L70" s="311">
        <f t="shared" si="18"/>
        <v>6.1889999999999947</v>
      </c>
      <c r="M70" s="236"/>
      <c r="N70" s="236"/>
    </row>
    <row r="71" spans="1:14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ht="13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ht="13" x14ac:dyDescent="0.3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ht="13" x14ac:dyDescent="0.3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5">
      <c r="A77" s="237" t="str">
        <f>name!E$4</f>
        <v>Managers, directors and senior officials</v>
      </c>
      <c r="B77" s="302">
        <v>0.12446270072459296</v>
      </c>
      <c r="C77" s="302">
        <v>0.63960836642234198</v>
      </c>
      <c r="D77" s="302">
        <f>SUM(B77:C77)</f>
        <v>0.76407106714693496</v>
      </c>
      <c r="E77" s="303"/>
      <c r="F77" s="302">
        <v>0.19421865283512971</v>
      </c>
      <c r="G77" s="302">
        <v>0.75795465091289038</v>
      </c>
      <c r="H77" s="302">
        <f>SUM(F77:G77)</f>
        <v>0.95217330374802012</v>
      </c>
      <c r="I77" s="303"/>
      <c r="J77" s="302">
        <v>0.20637737656515584</v>
      </c>
      <c r="K77" s="302">
        <v>0.72854076928546008</v>
      </c>
      <c r="L77" s="302">
        <f>SUM(J77:K77)</f>
        <v>0.93491814585061594</v>
      </c>
      <c r="M77" s="236"/>
      <c r="N77" s="236"/>
    </row>
    <row r="78" spans="1:14" x14ac:dyDescent="0.25">
      <c r="A78" s="237" t="str">
        <f>name!E$5</f>
        <v>Professional occupations</v>
      </c>
      <c r="B78" s="302">
        <v>0.17024909102398397</v>
      </c>
      <c r="C78" s="302">
        <v>1.1474994522349966</v>
      </c>
      <c r="D78" s="302">
        <f t="shared" ref="D78:D85" si="19">SUM(B78:C78)</f>
        <v>1.3177485432589806</v>
      </c>
      <c r="E78" s="303"/>
      <c r="F78" s="302">
        <v>0.25893260133161961</v>
      </c>
      <c r="G78" s="302">
        <v>1.448349308874419</v>
      </c>
      <c r="H78" s="302">
        <f t="shared" ref="H78:H85" si="20">SUM(F78:G78)</f>
        <v>1.7072819102060386</v>
      </c>
      <c r="I78" s="303"/>
      <c r="J78" s="302">
        <v>0.28305230471839105</v>
      </c>
      <c r="K78" s="302">
        <v>1.6202396617606307</v>
      </c>
      <c r="L78" s="302">
        <f t="shared" ref="L78:L85" si="21">SUM(J78:K78)</f>
        <v>1.9032919664790218</v>
      </c>
      <c r="M78" s="236"/>
      <c r="N78" s="236"/>
    </row>
    <row r="79" spans="1:14" x14ac:dyDescent="0.25">
      <c r="A79" s="237" t="str">
        <f>name!E$6</f>
        <v>Associate professional occupations</v>
      </c>
      <c r="B79" s="302">
        <v>0.20863030371007618</v>
      </c>
      <c r="C79" s="302">
        <v>0.49112450543135344</v>
      </c>
      <c r="D79" s="302">
        <f t="shared" si="19"/>
        <v>0.69975480914142962</v>
      </c>
      <c r="E79" s="303"/>
      <c r="F79" s="302">
        <v>0.2765230341678912</v>
      </c>
      <c r="G79" s="302">
        <v>0.60858653600202406</v>
      </c>
      <c r="H79" s="302">
        <f t="shared" si="20"/>
        <v>0.88510957016991521</v>
      </c>
      <c r="I79" s="303"/>
      <c r="J79" s="302">
        <v>0.27265799013794778</v>
      </c>
      <c r="K79" s="302">
        <v>0.52208531280926151</v>
      </c>
      <c r="L79" s="302">
        <f t="shared" si="21"/>
        <v>0.7947433029472093</v>
      </c>
      <c r="M79" s="236"/>
      <c r="N79" s="236"/>
    </row>
    <row r="80" spans="1:14" x14ac:dyDescent="0.25">
      <c r="A80" s="237" t="str">
        <f>name!E$7</f>
        <v>Administrative and secretarial occupations</v>
      </c>
      <c r="B80" s="302">
        <v>0.4441360717906086</v>
      </c>
      <c r="C80" s="302">
        <v>0.11250239547825924</v>
      </c>
      <c r="D80" s="302">
        <f t="shared" si="19"/>
        <v>0.55663846726886779</v>
      </c>
      <c r="E80" s="303"/>
      <c r="F80" s="302">
        <v>0.50291550163644627</v>
      </c>
      <c r="G80" s="302">
        <v>0.13879825783868224</v>
      </c>
      <c r="H80" s="302">
        <f t="shared" si="20"/>
        <v>0.64171375947512854</v>
      </c>
      <c r="I80" s="303"/>
      <c r="J80" s="302">
        <v>0.35320389328432117</v>
      </c>
      <c r="K80" s="302">
        <v>0.14755375678393701</v>
      </c>
      <c r="L80" s="302">
        <f t="shared" si="21"/>
        <v>0.50075765006825823</v>
      </c>
      <c r="M80" s="236"/>
      <c r="N80" s="236"/>
    </row>
    <row r="81" spans="1:14" x14ac:dyDescent="0.25">
      <c r="A81" s="237" t="str">
        <f>name!E$8</f>
        <v>Skilled trades occupations</v>
      </c>
      <c r="B81" s="302">
        <v>4.2525809022081126E-2</v>
      </c>
      <c r="C81" s="302">
        <v>1.8455928402280359</v>
      </c>
      <c r="D81" s="302">
        <f t="shared" si="19"/>
        <v>1.888118649250117</v>
      </c>
      <c r="E81" s="303"/>
      <c r="F81" s="302">
        <v>5.3329738030910491E-2</v>
      </c>
      <c r="G81" s="302">
        <v>1.6204371391531307</v>
      </c>
      <c r="H81" s="302">
        <f t="shared" si="20"/>
        <v>1.6737668771840413</v>
      </c>
      <c r="I81" s="303"/>
      <c r="J81" s="302">
        <v>8.9952415395948573E-2</v>
      </c>
      <c r="K81" s="302">
        <v>1.3318040945944369</v>
      </c>
      <c r="L81" s="302">
        <f t="shared" si="21"/>
        <v>1.4217565099903855</v>
      </c>
      <c r="M81" s="236"/>
      <c r="N81" s="236"/>
    </row>
    <row r="82" spans="1:14" x14ac:dyDescent="0.25">
      <c r="A82" s="237" t="str">
        <f>name!E$9</f>
        <v>Caring, leisure and other service occupations</v>
      </c>
      <c r="B82" s="302">
        <v>3.5339656626472177E-2</v>
      </c>
      <c r="C82" s="302">
        <v>1.186673782472626E-2</v>
      </c>
      <c r="D82" s="302">
        <f t="shared" si="19"/>
        <v>4.7206394451198438E-2</v>
      </c>
      <c r="E82" s="303"/>
      <c r="F82" s="302">
        <v>4.7105483199443882E-2</v>
      </c>
      <c r="G82" s="302">
        <v>1.1630001192802338E-2</v>
      </c>
      <c r="H82" s="302">
        <f t="shared" si="20"/>
        <v>5.8735484392246219E-2</v>
      </c>
      <c r="I82" s="303"/>
      <c r="J82" s="302">
        <v>5.7165319187497579E-2</v>
      </c>
      <c r="K82" s="302">
        <v>1.2900231699847518E-2</v>
      </c>
      <c r="L82" s="302">
        <f t="shared" si="21"/>
        <v>7.0065550887345091E-2</v>
      </c>
      <c r="M82" s="236"/>
      <c r="N82" s="236"/>
    </row>
    <row r="83" spans="1:14" x14ac:dyDescent="0.25">
      <c r="A83" s="237" t="str">
        <f>name!E$10</f>
        <v>Sales and customer service occupations</v>
      </c>
      <c r="B83" s="302">
        <v>9.3682808682820945E-2</v>
      </c>
      <c r="C83" s="302">
        <v>0.10512610075971565</v>
      </c>
      <c r="D83" s="302">
        <f t="shared" si="19"/>
        <v>0.1988089094425366</v>
      </c>
      <c r="E83" s="303"/>
      <c r="F83" s="302">
        <v>0.10928358644831813</v>
      </c>
      <c r="G83" s="302">
        <v>0.12291683855939513</v>
      </c>
      <c r="H83" s="302">
        <f t="shared" si="20"/>
        <v>0.23220042500771326</v>
      </c>
      <c r="I83" s="303"/>
      <c r="J83" s="302">
        <v>0.10448122352999206</v>
      </c>
      <c r="K83" s="302">
        <v>0.14620115295253067</v>
      </c>
      <c r="L83" s="302">
        <f t="shared" si="21"/>
        <v>0.25068237648252273</v>
      </c>
      <c r="M83" s="236"/>
      <c r="N83" s="236"/>
    </row>
    <row r="84" spans="1:14" x14ac:dyDescent="0.25">
      <c r="A84" s="237" t="str">
        <f>name!E$11</f>
        <v>Process, plant and machine operatives</v>
      </c>
      <c r="B84" s="302">
        <v>0.2601581817217189</v>
      </c>
      <c r="C84" s="302">
        <v>0.95499145772836347</v>
      </c>
      <c r="D84" s="302">
        <f t="shared" si="19"/>
        <v>1.2151496394500825</v>
      </c>
      <c r="E84" s="303"/>
      <c r="F84" s="302">
        <v>0.21082540288271617</v>
      </c>
      <c r="G84" s="302">
        <v>0.81738466170905566</v>
      </c>
      <c r="H84" s="302">
        <f t="shared" si="20"/>
        <v>1.0282100645917718</v>
      </c>
      <c r="I84" s="303"/>
      <c r="J84" s="302">
        <v>0.1913384139542732</v>
      </c>
      <c r="K84" s="302">
        <v>0.86073338861296467</v>
      </c>
      <c r="L84" s="302">
        <f t="shared" si="21"/>
        <v>1.0520718025672378</v>
      </c>
      <c r="M84" s="236"/>
      <c r="N84" s="236"/>
    </row>
    <row r="85" spans="1:14" x14ac:dyDescent="0.25">
      <c r="A85" s="237" t="str">
        <f>name!E$12</f>
        <v>Elementary occupations</v>
      </c>
      <c r="B85" s="302">
        <v>7.7311581345924238E-2</v>
      </c>
      <c r="C85" s="302">
        <v>0.19519193924393088</v>
      </c>
      <c r="D85" s="302">
        <f t="shared" si="19"/>
        <v>0.27250352058985511</v>
      </c>
      <c r="E85" s="303"/>
      <c r="F85" s="302">
        <v>6.9371655945416277E-2</v>
      </c>
      <c r="G85" s="302">
        <v>0.16643694927972347</v>
      </c>
      <c r="H85" s="302">
        <f t="shared" si="20"/>
        <v>0.23580860522513974</v>
      </c>
      <c r="I85" s="303"/>
      <c r="J85" s="302">
        <v>5.7514993790787353E-2</v>
      </c>
      <c r="K85" s="302">
        <v>0.10519770093660098</v>
      </c>
      <c r="L85" s="302">
        <f t="shared" si="21"/>
        <v>0.16271269472738834</v>
      </c>
      <c r="M85" s="236"/>
      <c r="N85" s="236"/>
    </row>
    <row r="86" spans="1:14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5">
      <c r="A87" s="244" t="s">
        <v>33</v>
      </c>
      <c r="B87" s="311">
        <f>SUM(B77:B85)</f>
        <v>1.4564962046482792</v>
      </c>
      <c r="C87" s="311">
        <f t="shared" ref="C87:D87" si="22">SUM(C77:C85)</f>
        <v>5.5035037953517225</v>
      </c>
      <c r="D87" s="311">
        <f t="shared" si="22"/>
        <v>6.9600000000000026</v>
      </c>
      <c r="E87" s="311"/>
      <c r="F87" s="311">
        <f t="shared" ref="F87:H87" si="23">SUM(F77:F85)</f>
        <v>1.7225056564778918</v>
      </c>
      <c r="G87" s="311">
        <f t="shared" si="23"/>
        <v>5.6924943435221236</v>
      </c>
      <c r="H87" s="311">
        <f t="shared" si="23"/>
        <v>7.4150000000000142</v>
      </c>
      <c r="I87" s="311"/>
      <c r="J87" s="311">
        <f t="shared" ref="J87:L87" si="24">SUM(J77:J85)</f>
        <v>1.6157439305643146</v>
      </c>
      <c r="K87" s="311">
        <f t="shared" si="24"/>
        <v>5.4752560694356713</v>
      </c>
      <c r="L87" s="311">
        <f t="shared" si="24"/>
        <v>7.0909999999999842</v>
      </c>
      <c r="M87" s="236"/>
      <c r="N87" s="236"/>
    </row>
    <row r="88" spans="1:14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ht="13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ht="13" x14ac:dyDescent="0.3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ht="13" x14ac:dyDescent="0.3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5">
      <c r="A94" s="237" t="str">
        <f>name!E$4</f>
        <v>Managers, directors and senior officials</v>
      </c>
      <c r="B94" s="302">
        <v>0.76774127783901358</v>
      </c>
      <c r="C94" s="302">
        <v>3.8363371180362038</v>
      </c>
      <c r="D94" s="302">
        <f>SUM(B94:C94)</f>
        <v>4.6040783958752174</v>
      </c>
      <c r="E94" s="303"/>
      <c r="F94" s="302">
        <v>1.0619023881366085</v>
      </c>
      <c r="G94" s="302">
        <v>3.9068827280789891</v>
      </c>
      <c r="H94" s="302">
        <f>SUM(F94:G94)</f>
        <v>4.9687851162155976</v>
      </c>
      <c r="I94" s="303"/>
      <c r="J94" s="302">
        <v>0.99444346190351174</v>
      </c>
      <c r="K94" s="302">
        <v>3.3844108549869758</v>
      </c>
      <c r="L94" s="302">
        <f>SUM(J94:K94)</f>
        <v>4.3788543168904877</v>
      </c>
      <c r="M94" s="236"/>
      <c r="N94" s="236"/>
    </row>
    <row r="95" spans="1:14" x14ac:dyDescent="0.25">
      <c r="A95" s="237" t="str">
        <f>name!E$5</f>
        <v>Professional occupations</v>
      </c>
      <c r="B95" s="302">
        <v>0.99841237305325548</v>
      </c>
      <c r="C95" s="302">
        <v>5.674717080491587</v>
      </c>
      <c r="D95" s="302">
        <f t="shared" ref="D95:D102" si="25">SUM(B95:C95)</f>
        <v>6.673129453544842</v>
      </c>
      <c r="E95" s="303"/>
      <c r="F95" s="302">
        <v>1.4757074320775554</v>
      </c>
      <c r="G95" s="302">
        <v>6.4900236721383573</v>
      </c>
      <c r="H95" s="302">
        <f t="shared" ref="H95:H102" si="26">SUM(F95:G95)</f>
        <v>7.9657311042159122</v>
      </c>
      <c r="I95" s="303"/>
      <c r="J95" s="302">
        <v>1.5095916292376419</v>
      </c>
      <c r="K95" s="302">
        <v>6.5343837708276817</v>
      </c>
      <c r="L95" s="302">
        <f t="shared" ref="L95:L102" si="27">SUM(J95:K95)</f>
        <v>8.0439754000653245</v>
      </c>
      <c r="M95" s="236"/>
      <c r="N95" s="236"/>
    </row>
    <row r="96" spans="1:14" x14ac:dyDescent="0.25">
      <c r="A96" s="237" t="str">
        <f>name!E$6</f>
        <v>Associate professional occupations</v>
      </c>
      <c r="B96" s="302">
        <v>1.2007459961002855</v>
      </c>
      <c r="C96" s="302">
        <v>3.1966003407800749</v>
      </c>
      <c r="D96" s="302">
        <f t="shared" si="25"/>
        <v>4.3973463368803607</v>
      </c>
      <c r="E96" s="303"/>
      <c r="F96" s="302">
        <v>1.520074718063172</v>
      </c>
      <c r="G96" s="302">
        <v>3.5311507484708646</v>
      </c>
      <c r="H96" s="302">
        <f t="shared" si="26"/>
        <v>5.0512254665340368</v>
      </c>
      <c r="I96" s="303"/>
      <c r="J96" s="302">
        <v>1.3099358657794877</v>
      </c>
      <c r="K96" s="302">
        <v>2.7913331801780861</v>
      </c>
      <c r="L96" s="302">
        <f t="shared" si="27"/>
        <v>4.101269045957574</v>
      </c>
      <c r="M96" s="236"/>
      <c r="N96" s="236"/>
    </row>
    <row r="97" spans="1:14" x14ac:dyDescent="0.25">
      <c r="A97" s="237" t="str">
        <f>name!E$7</f>
        <v>Administrative and secretarial occupations</v>
      </c>
      <c r="B97" s="302">
        <v>2.5636713481310625</v>
      </c>
      <c r="C97" s="302">
        <v>1.220637105544264</v>
      </c>
      <c r="D97" s="302">
        <f t="shared" si="25"/>
        <v>3.7843084536753264</v>
      </c>
      <c r="E97" s="303"/>
      <c r="F97" s="302">
        <v>2.6282305931029306</v>
      </c>
      <c r="G97" s="302">
        <v>1.4245367866747289</v>
      </c>
      <c r="H97" s="302">
        <f t="shared" si="26"/>
        <v>4.0527673797776593</v>
      </c>
      <c r="I97" s="303"/>
      <c r="J97" s="302">
        <v>1.748840880601964</v>
      </c>
      <c r="K97" s="302">
        <v>1.2174163088645962</v>
      </c>
      <c r="L97" s="302">
        <f t="shared" si="27"/>
        <v>2.9662571894665604</v>
      </c>
      <c r="M97" s="236"/>
      <c r="N97" s="236"/>
    </row>
    <row r="98" spans="1:14" x14ac:dyDescent="0.25">
      <c r="A98" s="237" t="str">
        <f>name!E$8</f>
        <v>Skilled trades occupations</v>
      </c>
      <c r="B98" s="302">
        <v>0.6230033528485972</v>
      </c>
      <c r="C98" s="302">
        <v>17.269918502848178</v>
      </c>
      <c r="D98" s="302">
        <f t="shared" si="25"/>
        <v>17.892921855696777</v>
      </c>
      <c r="E98" s="303"/>
      <c r="F98" s="302">
        <v>0.76171464837473535</v>
      </c>
      <c r="G98" s="302">
        <v>12.703870951061957</v>
      </c>
      <c r="H98" s="302">
        <f t="shared" si="26"/>
        <v>13.465585599436691</v>
      </c>
      <c r="I98" s="303"/>
      <c r="J98" s="302">
        <v>0.80802644843145099</v>
      </c>
      <c r="K98" s="302">
        <v>9.7069024657290157</v>
      </c>
      <c r="L98" s="302">
        <f t="shared" si="27"/>
        <v>10.514928914160468</v>
      </c>
      <c r="M98" s="236"/>
      <c r="N98" s="236"/>
    </row>
    <row r="99" spans="1:14" x14ac:dyDescent="0.25">
      <c r="A99" s="237" t="str">
        <f>name!E$9</f>
        <v>Caring, leisure and other service occupations</v>
      </c>
      <c r="B99" s="302">
        <v>0.28320449705862694</v>
      </c>
      <c r="C99" s="302">
        <v>0.22085475038664104</v>
      </c>
      <c r="D99" s="302">
        <f t="shared" si="25"/>
        <v>0.50405924744526798</v>
      </c>
      <c r="E99" s="303"/>
      <c r="F99" s="302">
        <v>0.31048828127879269</v>
      </c>
      <c r="G99" s="302">
        <v>0.36164307436980764</v>
      </c>
      <c r="H99" s="302">
        <f t="shared" si="26"/>
        <v>0.67213135564860038</v>
      </c>
      <c r="I99" s="303"/>
      <c r="J99" s="302">
        <v>0.25251307956910007</v>
      </c>
      <c r="K99" s="302">
        <v>0.39394119996509336</v>
      </c>
      <c r="L99" s="302">
        <f t="shared" si="27"/>
        <v>0.64645427953419343</v>
      </c>
      <c r="M99" s="236"/>
      <c r="N99" s="236"/>
    </row>
    <row r="100" spans="1:14" x14ac:dyDescent="0.25">
      <c r="A100" s="237" t="str">
        <f>name!E$10</f>
        <v>Sales and customer service occupations</v>
      </c>
      <c r="B100" s="302">
        <v>0.74410066599672087</v>
      </c>
      <c r="C100" s="302">
        <v>0.84632933483962258</v>
      </c>
      <c r="D100" s="302">
        <f t="shared" si="25"/>
        <v>1.5904300008363434</v>
      </c>
      <c r="E100" s="303"/>
      <c r="F100" s="302">
        <v>0.7496419443891742</v>
      </c>
      <c r="G100" s="302">
        <v>0.93179749599577277</v>
      </c>
      <c r="H100" s="302">
        <f t="shared" si="26"/>
        <v>1.6814394403849469</v>
      </c>
      <c r="I100" s="303"/>
      <c r="J100" s="302">
        <v>0.63539604075826628</v>
      </c>
      <c r="K100" s="302">
        <v>0.87782741730956104</v>
      </c>
      <c r="L100" s="302">
        <f t="shared" si="27"/>
        <v>1.5132234580678272</v>
      </c>
      <c r="M100" s="236"/>
      <c r="N100" s="236"/>
    </row>
    <row r="101" spans="1:14" x14ac:dyDescent="0.25">
      <c r="A101" s="237" t="str">
        <f>name!E$11</f>
        <v>Process, plant and machine operatives</v>
      </c>
      <c r="B101" s="302">
        <v>1.617496164973274</v>
      </c>
      <c r="C101" s="302">
        <v>10.578337836400124</v>
      </c>
      <c r="D101" s="302">
        <f t="shared" si="25"/>
        <v>12.195834001373397</v>
      </c>
      <c r="E101" s="303"/>
      <c r="F101" s="302">
        <v>1.5877742415252651</v>
      </c>
      <c r="G101" s="302">
        <v>8.1843872826877622</v>
      </c>
      <c r="H101" s="302">
        <f t="shared" si="26"/>
        <v>9.7721615242130273</v>
      </c>
      <c r="I101" s="303"/>
      <c r="J101" s="302">
        <v>1.79646366205147</v>
      </c>
      <c r="K101" s="302">
        <v>8.1491913649840431</v>
      </c>
      <c r="L101" s="302">
        <f t="shared" si="27"/>
        <v>9.9456550270355137</v>
      </c>
      <c r="M101" s="236"/>
      <c r="N101" s="236"/>
    </row>
    <row r="102" spans="1:14" x14ac:dyDescent="0.25">
      <c r="A102" s="237" t="str">
        <f>name!E$12</f>
        <v>Elementary occupations</v>
      </c>
      <c r="B102" s="302">
        <v>0.83031489495585808</v>
      </c>
      <c r="C102" s="302">
        <v>2.2145773597165648</v>
      </c>
      <c r="D102" s="302">
        <f t="shared" si="25"/>
        <v>3.0448922546724226</v>
      </c>
      <c r="E102" s="303"/>
      <c r="F102" s="302">
        <v>0.71916003507331594</v>
      </c>
      <c r="G102" s="302">
        <v>1.8180129785002717</v>
      </c>
      <c r="H102" s="302">
        <f t="shared" si="26"/>
        <v>2.5371730135735877</v>
      </c>
      <c r="I102" s="303"/>
      <c r="J102" s="302">
        <v>0.45416258870313436</v>
      </c>
      <c r="K102" s="302">
        <v>1.0452197801189012</v>
      </c>
      <c r="L102" s="302">
        <f t="shared" si="27"/>
        <v>1.4993823688220356</v>
      </c>
      <c r="M102" s="236"/>
      <c r="N102" s="236"/>
    </row>
    <row r="103" spans="1:14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5">
      <c r="A104" s="244" t="s">
        <v>33</v>
      </c>
      <c r="B104" s="311">
        <f>SUM(B94:B102)</f>
        <v>9.6286905709566923</v>
      </c>
      <c r="C104" s="311">
        <f t="shared" ref="C104:D104" si="28">SUM(C94:C102)</f>
        <v>45.058309429043263</v>
      </c>
      <c r="D104" s="311">
        <f t="shared" si="28"/>
        <v>54.686999999999955</v>
      </c>
      <c r="E104" s="311"/>
      <c r="F104" s="311">
        <f t="shared" ref="F104:H104" si="29">SUM(F94:F102)</f>
        <v>10.814694282021549</v>
      </c>
      <c r="G104" s="311">
        <f t="shared" si="29"/>
        <v>39.352305717978517</v>
      </c>
      <c r="H104" s="311">
        <f t="shared" si="29"/>
        <v>50.167000000000058</v>
      </c>
      <c r="I104" s="311"/>
      <c r="J104" s="311">
        <f t="shared" ref="J104:L104" si="30">SUM(J94:J102)</f>
        <v>9.5093736570360274</v>
      </c>
      <c r="K104" s="311">
        <f t="shared" si="30"/>
        <v>34.100626342963956</v>
      </c>
      <c r="L104" s="311">
        <f t="shared" si="30"/>
        <v>43.609999999999978</v>
      </c>
      <c r="M104" s="236"/>
      <c r="N104" s="236"/>
    </row>
    <row r="105" spans="1:14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ht="13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ht="13" x14ac:dyDescent="0.3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ht="13" x14ac:dyDescent="0.3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5">
      <c r="A111" s="237" t="str">
        <f>name!E$4</f>
        <v>Managers, directors and senior officials</v>
      </c>
      <c r="B111" s="302">
        <v>0.16074099371055775</v>
      </c>
      <c r="C111" s="302">
        <v>0.35202685562289104</v>
      </c>
      <c r="D111" s="302">
        <f>SUM(B111:C111)</f>
        <v>0.51276784933344877</v>
      </c>
      <c r="E111" s="303"/>
      <c r="F111" s="302">
        <v>8.6918822273422139E-2</v>
      </c>
      <c r="G111" s="302">
        <v>0.12243345797114022</v>
      </c>
      <c r="H111" s="302">
        <f>SUM(F111:G111)</f>
        <v>0.20935228024456237</v>
      </c>
      <c r="I111" s="303"/>
      <c r="J111" s="302">
        <v>9.5584107760258039E-2</v>
      </c>
      <c r="K111" s="302">
        <v>0.11854701269088308</v>
      </c>
      <c r="L111" s="302">
        <f>SUM(J111:K111)</f>
        <v>0.21413112045114113</v>
      </c>
      <c r="M111" s="236"/>
      <c r="N111" s="236"/>
    </row>
    <row r="112" spans="1:14" x14ac:dyDescent="0.25">
      <c r="A112" s="237" t="str">
        <f>name!E$5</f>
        <v>Professional occupations</v>
      </c>
      <c r="B112" s="302">
        <v>0.18645085466336617</v>
      </c>
      <c r="C112" s="302">
        <v>0.93926867791596991</v>
      </c>
      <c r="D112" s="302">
        <f t="shared" ref="D112:D119" si="31">SUM(B112:C112)</f>
        <v>1.1257195325793361</v>
      </c>
      <c r="E112" s="303"/>
      <c r="F112" s="302">
        <v>0.11174561869881224</v>
      </c>
      <c r="G112" s="302">
        <v>0.39523570772793254</v>
      </c>
      <c r="H112" s="302">
        <f t="shared" ref="H112:H119" si="32">SUM(F112:G112)</f>
        <v>0.50698132642674476</v>
      </c>
      <c r="I112" s="303"/>
      <c r="J112" s="302">
        <v>0.13086662036174898</v>
      </c>
      <c r="K112" s="302">
        <v>0.4205079135998977</v>
      </c>
      <c r="L112" s="302">
        <f t="shared" ref="L112:L119" si="33">SUM(J112:K112)</f>
        <v>0.55137453396164671</v>
      </c>
      <c r="M112" s="236"/>
      <c r="N112" s="236"/>
    </row>
    <row r="113" spans="1:14" x14ac:dyDescent="0.25">
      <c r="A113" s="237" t="str">
        <f>name!E$6</f>
        <v>Associate professional occupations</v>
      </c>
      <c r="B113" s="302">
        <v>0.17885828896224371</v>
      </c>
      <c r="C113" s="302">
        <v>0.5860092514901174</v>
      </c>
      <c r="D113" s="302">
        <f t="shared" si="31"/>
        <v>0.76486754045236105</v>
      </c>
      <c r="E113" s="303"/>
      <c r="F113" s="302">
        <v>9.2944319565402847E-2</v>
      </c>
      <c r="G113" s="302">
        <v>0.25858213086500503</v>
      </c>
      <c r="H113" s="302">
        <f t="shared" si="32"/>
        <v>0.35152645043040787</v>
      </c>
      <c r="I113" s="303"/>
      <c r="J113" s="302">
        <v>8.8420115689155976E-2</v>
      </c>
      <c r="K113" s="302">
        <v>0.21077727462803347</v>
      </c>
      <c r="L113" s="302">
        <f t="shared" si="33"/>
        <v>0.29919739031718945</v>
      </c>
      <c r="M113" s="236"/>
      <c r="N113" s="236"/>
    </row>
    <row r="114" spans="1:14" x14ac:dyDescent="0.25">
      <c r="A114" s="237" t="str">
        <f>name!E$7</f>
        <v>Administrative and secretarial occupations</v>
      </c>
      <c r="B114" s="302">
        <v>0.4288217159699716</v>
      </c>
      <c r="C114" s="302">
        <v>0.197665635145228</v>
      </c>
      <c r="D114" s="302">
        <f t="shared" si="31"/>
        <v>0.6264873511151996</v>
      </c>
      <c r="E114" s="303"/>
      <c r="F114" s="302">
        <v>0.17297558406069238</v>
      </c>
      <c r="G114" s="302">
        <v>7.7709525244770372E-2</v>
      </c>
      <c r="H114" s="302">
        <f t="shared" si="32"/>
        <v>0.25068510930546273</v>
      </c>
      <c r="I114" s="303"/>
      <c r="J114" s="302">
        <v>0.10453293198597463</v>
      </c>
      <c r="K114" s="302">
        <v>6.4014744484175976E-2</v>
      </c>
      <c r="L114" s="302">
        <f t="shared" si="33"/>
        <v>0.16854767647015062</v>
      </c>
      <c r="M114" s="236"/>
      <c r="N114" s="236"/>
    </row>
    <row r="115" spans="1:14" x14ac:dyDescent="0.25">
      <c r="A115" s="237" t="str">
        <f>name!E$8</f>
        <v>Skilled trades occupations</v>
      </c>
      <c r="B115" s="302">
        <v>2.2396537924053453E-2</v>
      </c>
      <c r="C115" s="302">
        <v>1.3313301389815149</v>
      </c>
      <c r="D115" s="302">
        <f t="shared" si="31"/>
        <v>1.3537266769055682</v>
      </c>
      <c r="E115" s="303"/>
      <c r="F115" s="302">
        <v>1.1354554192456125E-2</v>
      </c>
      <c r="G115" s="302">
        <v>0.36410847718725947</v>
      </c>
      <c r="H115" s="302">
        <f t="shared" si="32"/>
        <v>0.37546303137971559</v>
      </c>
      <c r="I115" s="303"/>
      <c r="J115" s="302">
        <v>2.6654193410408648E-2</v>
      </c>
      <c r="K115" s="302">
        <v>0.27337484843839377</v>
      </c>
      <c r="L115" s="302">
        <f t="shared" si="33"/>
        <v>0.30002904184880241</v>
      </c>
      <c r="M115" s="236"/>
      <c r="N115" s="236"/>
    </row>
    <row r="116" spans="1:14" x14ac:dyDescent="0.25">
      <c r="A116" s="237" t="str">
        <f>name!E$9</f>
        <v>Caring, leisure and other service occupations</v>
      </c>
      <c r="B116" s="302">
        <v>2.6401795823364251E-2</v>
      </c>
      <c r="C116" s="302">
        <v>3.1572468597159356E-2</v>
      </c>
      <c r="D116" s="302">
        <f t="shared" si="31"/>
        <v>5.7974264420523607E-2</v>
      </c>
      <c r="E116" s="303"/>
      <c r="F116" s="302">
        <v>9.7987743349345242E-3</v>
      </c>
      <c r="G116" s="302">
        <v>1.0068457388368183E-2</v>
      </c>
      <c r="H116" s="302">
        <f t="shared" si="32"/>
        <v>1.9867231723302708E-2</v>
      </c>
      <c r="I116" s="303"/>
      <c r="J116" s="302">
        <v>6.6328312243748681E-3</v>
      </c>
      <c r="K116" s="302">
        <v>8.8110324907111851E-3</v>
      </c>
      <c r="L116" s="302">
        <f t="shared" si="33"/>
        <v>1.5443863715086053E-2</v>
      </c>
      <c r="M116" s="236"/>
      <c r="N116" s="236"/>
    </row>
    <row r="117" spans="1:14" x14ac:dyDescent="0.25">
      <c r="A117" s="237" t="str">
        <f>name!E$10</f>
        <v>Sales and customer service occupations</v>
      </c>
      <c r="B117" s="302">
        <v>0.2162216832938112</v>
      </c>
      <c r="C117" s="302">
        <v>0.20254210733467004</v>
      </c>
      <c r="D117" s="302">
        <f t="shared" si="31"/>
        <v>0.41876379062848124</v>
      </c>
      <c r="E117" s="303"/>
      <c r="F117" s="302">
        <v>9.3518854050359118E-2</v>
      </c>
      <c r="G117" s="302">
        <v>6.6464597197101544E-2</v>
      </c>
      <c r="H117" s="302">
        <f t="shared" si="32"/>
        <v>0.15998345124746066</v>
      </c>
      <c r="I117" s="303"/>
      <c r="J117" s="302">
        <v>0.10215863442420055</v>
      </c>
      <c r="K117" s="302">
        <v>7.9217996093365661E-2</v>
      </c>
      <c r="L117" s="302">
        <f t="shared" si="33"/>
        <v>0.1813766305175662</v>
      </c>
      <c r="M117" s="236"/>
      <c r="N117" s="236"/>
    </row>
    <row r="118" spans="1:14" x14ac:dyDescent="0.25">
      <c r="A118" s="237" t="str">
        <f>name!E$11</f>
        <v>Process, plant and machine operatives</v>
      </c>
      <c r="B118" s="302">
        <v>1.9613666082684843E-2</v>
      </c>
      <c r="C118" s="302">
        <v>0.25847849140882118</v>
      </c>
      <c r="D118" s="302">
        <f t="shared" si="31"/>
        <v>0.27809215749150601</v>
      </c>
      <c r="E118" s="303"/>
      <c r="F118" s="302">
        <v>6.3682297044720523E-3</v>
      </c>
      <c r="G118" s="302">
        <v>6.788798298830824E-2</v>
      </c>
      <c r="H118" s="302">
        <f t="shared" si="32"/>
        <v>7.4256212692780293E-2</v>
      </c>
      <c r="I118" s="303"/>
      <c r="J118" s="302">
        <v>4.2403996579060835E-3</v>
      </c>
      <c r="K118" s="302">
        <v>7.1499465901090728E-2</v>
      </c>
      <c r="L118" s="302">
        <f t="shared" si="33"/>
        <v>7.5739865558996811E-2</v>
      </c>
      <c r="M118" s="236"/>
      <c r="N118" s="236"/>
    </row>
    <row r="119" spans="1:14" x14ac:dyDescent="0.25">
      <c r="A119" s="237" t="str">
        <f>name!E$12</f>
        <v>Elementary occupations</v>
      </c>
      <c r="B119" s="302">
        <v>2.2627945307216117E-2</v>
      </c>
      <c r="C119" s="302">
        <v>6.3972891766354859E-2</v>
      </c>
      <c r="D119" s="302">
        <f t="shared" si="31"/>
        <v>8.6600837073570969E-2</v>
      </c>
      <c r="E119" s="303"/>
      <c r="F119" s="302">
        <v>7.1121811441515774E-3</v>
      </c>
      <c r="G119" s="302">
        <v>1.5772725405410436E-2</v>
      </c>
      <c r="H119" s="302">
        <f t="shared" si="32"/>
        <v>2.2884906549562014E-2</v>
      </c>
      <c r="I119" s="303"/>
      <c r="J119" s="302">
        <v>3.6603729465263112E-3</v>
      </c>
      <c r="K119" s="302">
        <v>8.4995042128941083E-3</v>
      </c>
      <c r="L119" s="302">
        <f t="shared" si="33"/>
        <v>1.2159877159420419E-2</v>
      </c>
      <c r="M119" s="236"/>
      <c r="N119" s="236"/>
    </row>
    <row r="120" spans="1:14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5">
      <c r="A121" s="244" t="s">
        <v>33</v>
      </c>
      <c r="B121" s="311">
        <f>SUM(B111:B119)</f>
        <v>1.2621334817372694</v>
      </c>
      <c r="C121" s="311">
        <f t="shared" ref="C121:D121" si="34">SUM(C111:C119)</f>
        <v>3.962866518262727</v>
      </c>
      <c r="D121" s="311">
        <f t="shared" si="34"/>
        <v>5.2249999999999961</v>
      </c>
      <c r="E121" s="311"/>
      <c r="F121" s="311">
        <f t="shared" ref="F121:H121" si="35">SUM(F111:F119)</f>
        <v>0.59273693802470306</v>
      </c>
      <c r="G121" s="311">
        <f t="shared" si="35"/>
        <v>1.3782630619752965</v>
      </c>
      <c r="H121" s="311">
        <f t="shared" si="35"/>
        <v>1.970999999999999</v>
      </c>
      <c r="I121" s="311"/>
      <c r="J121" s="311">
        <f t="shared" ref="J121:L121" si="36">SUM(J111:J119)</f>
        <v>0.56275020746055415</v>
      </c>
      <c r="K121" s="311">
        <f t="shared" si="36"/>
        <v>1.2552497925394459</v>
      </c>
      <c r="L121" s="311">
        <f t="shared" si="36"/>
        <v>1.8179999999999994</v>
      </c>
      <c r="M121" s="236"/>
      <c r="N121" s="236"/>
    </row>
    <row r="122" spans="1:14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ht="13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ht="13" x14ac:dyDescent="0.3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ht="13" x14ac:dyDescent="0.3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5">
      <c r="A128" s="237" t="str">
        <f>name!E$4</f>
        <v>Managers, directors and senior officials</v>
      </c>
      <c r="B128" s="302">
        <v>7.5992798306243059E-2</v>
      </c>
      <c r="C128" s="302">
        <v>0.33049482537591085</v>
      </c>
      <c r="D128" s="302">
        <f>SUM(B128:C128)</f>
        <v>0.40648762368215391</v>
      </c>
      <c r="E128" s="303"/>
      <c r="F128" s="302">
        <v>7.1949592595042591E-2</v>
      </c>
      <c r="G128" s="302">
        <v>0.29664136830729754</v>
      </c>
      <c r="H128" s="302">
        <f>SUM(F128:G128)</f>
        <v>0.36859096090234011</v>
      </c>
      <c r="I128" s="303"/>
      <c r="J128" s="302">
        <v>8.2180023672301677E-2</v>
      </c>
      <c r="K128" s="302">
        <v>0.33644928055214884</v>
      </c>
      <c r="L128" s="302">
        <f>SUM(J128:K128)</f>
        <v>0.41862930422445055</v>
      </c>
      <c r="M128" s="236"/>
      <c r="N128" s="236"/>
    </row>
    <row r="129" spans="1:14" x14ac:dyDescent="0.25">
      <c r="A129" s="237" t="str">
        <f>name!E$5</f>
        <v>Professional occupations</v>
      </c>
      <c r="B129" s="302">
        <v>0.10745462472711638</v>
      </c>
      <c r="C129" s="302">
        <v>0.31394024531053738</v>
      </c>
      <c r="D129" s="302">
        <f t="shared" ref="D129:D136" si="37">SUM(B129:C129)</f>
        <v>0.42139487003765375</v>
      </c>
      <c r="E129" s="303"/>
      <c r="F129" s="302">
        <v>0.12517621756998526</v>
      </c>
      <c r="G129" s="302">
        <v>0.290311583668594</v>
      </c>
      <c r="H129" s="302">
        <f t="shared" ref="H129:H136" si="38">SUM(F129:G129)</f>
        <v>0.41548780123857926</v>
      </c>
      <c r="I129" s="303"/>
      <c r="J129" s="302">
        <v>0.16001827956806702</v>
      </c>
      <c r="K129" s="302">
        <v>0.31313368682609749</v>
      </c>
      <c r="L129" s="302">
        <f t="shared" ref="L129:L136" si="39">SUM(J129:K129)</f>
        <v>0.47315196639416451</v>
      </c>
      <c r="M129" s="236"/>
      <c r="N129" s="236"/>
    </row>
    <row r="130" spans="1:14" x14ac:dyDescent="0.25">
      <c r="A130" s="237" t="str">
        <f>name!E$6</f>
        <v>Associate professional occupations</v>
      </c>
      <c r="B130" s="302">
        <v>0.24612503086088955</v>
      </c>
      <c r="C130" s="302">
        <v>0.32217369834489124</v>
      </c>
      <c r="D130" s="302">
        <f t="shared" si="37"/>
        <v>0.56829872920578084</v>
      </c>
      <c r="E130" s="303"/>
      <c r="F130" s="302">
        <v>0.30050178223117679</v>
      </c>
      <c r="G130" s="302">
        <v>0.29795969146008749</v>
      </c>
      <c r="H130" s="302">
        <f t="shared" si="38"/>
        <v>0.59846147369126435</v>
      </c>
      <c r="I130" s="303"/>
      <c r="J130" s="302">
        <v>0.45780126827700157</v>
      </c>
      <c r="K130" s="302">
        <v>0.26655717065339607</v>
      </c>
      <c r="L130" s="302">
        <f t="shared" si="39"/>
        <v>0.72435843893039764</v>
      </c>
      <c r="M130" s="236"/>
      <c r="N130" s="236"/>
    </row>
    <row r="131" spans="1:14" x14ac:dyDescent="0.25">
      <c r="A131" s="237" t="str">
        <f>name!E$7</f>
        <v>Administrative and secretarial occupations</v>
      </c>
      <c r="B131" s="302">
        <v>0.2552083494438388</v>
      </c>
      <c r="C131" s="302">
        <v>0.12138156962175939</v>
      </c>
      <c r="D131" s="302">
        <f t="shared" si="37"/>
        <v>0.37658991906559819</v>
      </c>
      <c r="E131" s="303"/>
      <c r="F131" s="302">
        <v>0.26539837533599298</v>
      </c>
      <c r="G131" s="302">
        <v>0.21226748231233969</v>
      </c>
      <c r="H131" s="302">
        <f t="shared" si="38"/>
        <v>0.47766585764833269</v>
      </c>
      <c r="I131" s="303"/>
      <c r="J131" s="302">
        <v>0.19780366502401436</v>
      </c>
      <c r="K131" s="302">
        <v>0.22677503389816728</v>
      </c>
      <c r="L131" s="302">
        <f t="shared" si="39"/>
        <v>0.42457869892218164</v>
      </c>
      <c r="M131" s="236"/>
      <c r="N131" s="236"/>
    </row>
    <row r="132" spans="1:14" x14ac:dyDescent="0.25">
      <c r="A132" s="237" t="str">
        <f>name!E$8</f>
        <v>Skilled trades occupations</v>
      </c>
      <c r="B132" s="302">
        <v>3.8310008461580308E-2</v>
      </c>
      <c r="C132" s="302">
        <v>0.46214831332290673</v>
      </c>
      <c r="D132" s="302">
        <f t="shared" si="37"/>
        <v>0.50045832178448701</v>
      </c>
      <c r="E132" s="303"/>
      <c r="F132" s="302">
        <v>1.5800265150934058E-2</v>
      </c>
      <c r="G132" s="302">
        <v>0.35606756119596517</v>
      </c>
      <c r="H132" s="302">
        <f t="shared" si="38"/>
        <v>0.37186782634689924</v>
      </c>
      <c r="I132" s="303"/>
      <c r="J132" s="302">
        <v>2.3790514359960831E-2</v>
      </c>
      <c r="K132" s="302">
        <v>0.38652889719513611</v>
      </c>
      <c r="L132" s="302">
        <f t="shared" si="39"/>
        <v>0.41031941155509694</v>
      </c>
      <c r="M132" s="236"/>
      <c r="N132" s="236"/>
    </row>
    <row r="133" spans="1:14" x14ac:dyDescent="0.25">
      <c r="A133" s="237" t="str">
        <f>name!E$9</f>
        <v>Caring, leisure and other service occupations</v>
      </c>
      <c r="B133" s="302">
        <v>6.9894116478102286E-2</v>
      </c>
      <c r="C133" s="302">
        <v>3.7942558492439375E-2</v>
      </c>
      <c r="D133" s="302">
        <f t="shared" si="37"/>
        <v>0.10783667497054167</v>
      </c>
      <c r="E133" s="303"/>
      <c r="F133" s="302">
        <v>6.226874291660963E-2</v>
      </c>
      <c r="G133" s="302">
        <v>3.4473799489001519E-2</v>
      </c>
      <c r="H133" s="302">
        <f t="shared" si="38"/>
        <v>9.6742542405611143E-2</v>
      </c>
      <c r="I133" s="303"/>
      <c r="J133" s="302">
        <v>7.8071911572273459E-2</v>
      </c>
      <c r="K133" s="302">
        <v>3.3041529145303394E-2</v>
      </c>
      <c r="L133" s="302">
        <f t="shared" si="39"/>
        <v>0.11111344071757685</v>
      </c>
      <c r="M133" s="236"/>
      <c r="N133" s="236"/>
    </row>
    <row r="134" spans="1:14" x14ac:dyDescent="0.25">
      <c r="A134" s="237" t="str">
        <f>name!E$10</f>
        <v>Sales and customer service occupations</v>
      </c>
      <c r="B134" s="302">
        <v>6.2990304084719922E-2</v>
      </c>
      <c r="C134" s="302">
        <v>8.6981108653709144E-2</v>
      </c>
      <c r="D134" s="302">
        <f>SUM(B134:C134)</f>
        <v>0.14997141273842907</v>
      </c>
      <c r="E134" s="303"/>
      <c r="F134" s="302">
        <v>5.5583464781568614E-2</v>
      </c>
      <c r="G134" s="302">
        <v>0.14743853286699957</v>
      </c>
      <c r="H134" s="302">
        <f t="shared" si="38"/>
        <v>0.20302199764856818</v>
      </c>
      <c r="I134" s="303"/>
      <c r="J134" s="302">
        <v>5.870322450086593E-2</v>
      </c>
      <c r="K134" s="302">
        <v>0.13136841463566784</v>
      </c>
      <c r="L134" s="302">
        <f t="shared" si="39"/>
        <v>0.19007163913653377</v>
      </c>
      <c r="M134" s="236"/>
      <c r="N134" s="236"/>
    </row>
    <row r="135" spans="1:14" x14ac:dyDescent="0.25">
      <c r="A135" s="237" t="str">
        <f>name!E$11</f>
        <v>Process, plant and machine operatives</v>
      </c>
      <c r="B135" s="302">
        <v>3.1143525550409189E-2</v>
      </c>
      <c r="C135" s="302">
        <v>0.98803133315649938</v>
      </c>
      <c r="D135" s="302">
        <f t="shared" si="37"/>
        <v>1.0191748587069085</v>
      </c>
      <c r="E135" s="303"/>
      <c r="F135" s="302">
        <v>2.0446753041224675E-2</v>
      </c>
      <c r="G135" s="302">
        <v>0.73243322538006306</v>
      </c>
      <c r="H135" s="302">
        <f t="shared" si="38"/>
        <v>0.75287997842128773</v>
      </c>
      <c r="I135" s="303"/>
      <c r="J135" s="302">
        <v>2.2112397589599882E-2</v>
      </c>
      <c r="K135" s="302">
        <v>0.86882859968107573</v>
      </c>
      <c r="L135" s="302">
        <f t="shared" si="39"/>
        <v>0.89094099727067566</v>
      </c>
      <c r="M135" s="236"/>
      <c r="N135" s="236"/>
    </row>
    <row r="136" spans="1:14" x14ac:dyDescent="0.25">
      <c r="A136" s="237" t="str">
        <f>name!E$12</f>
        <v>Elementary occupations</v>
      </c>
      <c r="B136" s="302">
        <v>0.11046645849549609</v>
      </c>
      <c r="C136" s="302">
        <v>0.67132113131293769</v>
      </c>
      <c r="D136" s="302">
        <f t="shared" si="37"/>
        <v>0.78178758980843377</v>
      </c>
      <c r="E136" s="303"/>
      <c r="F136" s="302">
        <v>9.5498539801482166E-2</v>
      </c>
      <c r="G136" s="302">
        <v>0.42278302189563699</v>
      </c>
      <c r="H136" s="302">
        <f t="shared" si="38"/>
        <v>0.51828156169711914</v>
      </c>
      <c r="I136" s="303"/>
      <c r="J136" s="302">
        <v>7.6997436759250901E-2</v>
      </c>
      <c r="K136" s="302">
        <v>0.3278386660896716</v>
      </c>
      <c r="L136" s="302">
        <f t="shared" si="39"/>
        <v>0.40483610284892252</v>
      </c>
      <c r="M136" s="236"/>
      <c r="N136" s="236"/>
    </row>
    <row r="137" spans="1:14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5">
      <c r="A138" s="244" t="s">
        <v>33</v>
      </c>
      <c r="B138" s="311">
        <f>SUM(B128:B136)</f>
        <v>0.99758521640839559</v>
      </c>
      <c r="C138" s="311">
        <f t="shared" ref="C138" si="40">SUM(C128:C136)</f>
        <v>3.3344147835915909</v>
      </c>
      <c r="D138" s="311">
        <f>SUM(D128:D136)</f>
        <v>4.3319999999999865</v>
      </c>
      <c r="E138" s="311"/>
      <c r="F138" s="311">
        <f t="shared" ref="F138:H138" si="41">SUM(F128:F136)</f>
        <v>1.0126237334240167</v>
      </c>
      <c r="G138" s="311">
        <f t="shared" si="41"/>
        <v>2.7903762665759846</v>
      </c>
      <c r="H138" s="311">
        <f t="shared" si="41"/>
        <v>3.8030000000000017</v>
      </c>
      <c r="I138" s="311"/>
      <c r="J138" s="311">
        <f t="shared" ref="J138:L138" si="42">SUM(J128:J136)</f>
        <v>1.1574787213233355</v>
      </c>
      <c r="K138" s="311">
        <f t="shared" si="42"/>
        <v>2.8905212786766645</v>
      </c>
      <c r="L138" s="311">
        <f t="shared" si="42"/>
        <v>4.048</v>
      </c>
      <c r="M138" s="236"/>
      <c r="N138" s="236"/>
    </row>
    <row r="139" spans="1:14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ht="13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ht="13" x14ac:dyDescent="0.3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ht="13" x14ac:dyDescent="0.3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5">
      <c r="A145" s="237" t="str">
        <f>name!E$4</f>
        <v>Managers, directors and senior officials</v>
      </c>
      <c r="B145" s="302">
        <v>0.63362723249499897</v>
      </c>
      <c r="C145" s="302">
        <v>1.595141474375096</v>
      </c>
      <c r="D145" s="302">
        <f>SUM(B145:C145)</f>
        <v>2.228768706870095</v>
      </c>
      <c r="E145" s="303"/>
      <c r="F145" s="302">
        <v>0.83037669920359969</v>
      </c>
      <c r="G145" s="302">
        <v>2.5123639405225338</v>
      </c>
      <c r="H145" s="302">
        <f>SUM(F145:G145)</f>
        <v>3.3427406397261334</v>
      </c>
      <c r="I145" s="303"/>
      <c r="J145" s="302">
        <v>1.0287819229916986</v>
      </c>
      <c r="K145" s="302">
        <v>2.5350738509172244</v>
      </c>
      <c r="L145" s="302">
        <f>SUM(J145:K145)</f>
        <v>3.5638557739089229</v>
      </c>
      <c r="M145" s="236"/>
      <c r="N145" s="236"/>
    </row>
    <row r="146" spans="1:14" x14ac:dyDescent="0.25">
      <c r="A146" s="237" t="str">
        <f>name!E$5</f>
        <v>Professional occupations</v>
      </c>
      <c r="B146" s="302">
        <v>0.39689468899763264</v>
      </c>
      <c r="C146" s="302">
        <v>2.7529600746319862</v>
      </c>
      <c r="D146" s="302">
        <f t="shared" ref="D146:D153" si="43">SUM(B146:C146)</f>
        <v>3.149854763629619</v>
      </c>
      <c r="E146" s="303"/>
      <c r="F146" s="302">
        <v>0.54955599596021942</v>
      </c>
      <c r="G146" s="302">
        <v>3.8216845257444398</v>
      </c>
      <c r="H146" s="302">
        <f t="shared" ref="H146:H153" si="44">SUM(F146:G146)</f>
        <v>4.3712405217046593</v>
      </c>
      <c r="I146" s="303"/>
      <c r="J146" s="302">
        <v>0.70054257320365154</v>
      </c>
      <c r="K146" s="302">
        <v>4.2461093460073265</v>
      </c>
      <c r="L146" s="302">
        <f t="shared" ref="L146:L153" si="45">SUM(J146:K146)</f>
        <v>4.9466519192109777</v>
      </c>
      <c r="M146" s="236"/>
      <c r="N146" s="236"/>
    </row>
    <row r="147" spans="1:14" x14ac:dyDescent="0.25">
      <c r="A147" s="237" t="str">
        <f>name!E$6</f>
        <v>Associate professional occupations</v>
      </c>
      <c r="B147" s="302">
        <v>0.52018336268245513</v>
      </c>
      <c r="C147" s="302">
        <v>1.0909470288108984</v>
      </c>
      <c r="D147" s="302">
        <f t="shared" si="43"/>
        <v>1.6111303914933535</v>
      </c>
      <c r="E147" s="303"/>
      <c r="F147" s="302">
        <v>0.61855330991721802</v>
      </c>
      <c r="G147" s="302">
        <v>1.4139843593928603</v>
      </c>
      <c r="H147" s="302">
        <f t="shared" si="44"/>
        <v>2.0325376693100781</v>
      </c>
      <c r="I147" s="303"/>
      <c r="J147" s="302">
        <v>0.72228863026669587</v>
      </c>
      <c r="K147" s="302">
        <v>1.2766225509058027</v>
      </c>
      <c r="L147" s="302">
        <f t="shared" si="45"/>
        <v>1.9989111811724984</v>
      </c>
      <c r="M147" s="236"/>
      <c r="N147" s="236"/>
    </row>
    <row r="148" spans="1:14" x14ac:dyDescent="0.25">
      <c r="A148" s="237" t="str">
        <f>name!E$7</f>
        <v>Administrative and secretarial occupations</v>
      </c>
      <c r="B148" s="302">
        <v>2.3342961824853132</v>
      </c>
      <c r="C148" s="302">
        <v>0.64147630271154021</v>
      </c>
      <c r="D148" s="302">
        <f t="shared" si="43"/>
        <v>2.9757724851968534</v>
      </c>
      <c r="E148" s="303"/>
      <c r="F148" s="302">
        <v>2.2002512798786125</v>
      </c>
      <c r="G148" s="302">
        <v>0.70824515828105772</v>
      </c>
      <c r="H148" s="302">
        <f t="shared" si="44"/>
        <v>2.9084964381596703</v>
      </c>
      <c r="I148" s="303"/>
      <c r="J148" s="302">
        <v>1.7266884396802706</v>
      </c>
      <c r="K148" s="302">
        <v>0.80040974847943291</v>
      </c>
      <c r="L148" s="302">
        <f t="shared" si="45"/>
        <v>2.5270981881597034</v>
      </c>
      <c r="M148" s="236"/>
      <c r="N148" s="236"/>
    </row>
    <row r="149" spans="1:14" x14ac:dyDescent="0.25">
      <c r="A149" s="237" t="str">
        <f>name!E$8</f>
        <v>Skilled trades occupations</v>
      </c>
      <c r="B149" s="302">
        <v>0.24322182724940211</v>
      </c>
      <c r="C149" s="302">
        <v>15.894156458105881</v>
      </c>
      <c r="D149" s="302">
        <f t="shared" si="43"/>
        <v>16.137378285355283</v>
      </c>
      <c r="E149" s="303"/>
      <c r="F149" s="302">
        <v>0.28059777794706114</v>
      </c>
      <c r="G149" s="302">
        <v>18.253868423759378</v>
      </c>
      <c r="H149" s="302">
        <f t="shared" si="44"/>
        <v>18.53446620170644</v>
      </c>
      <c r="I149" s="303"/>
      <c r="J149" s="302">
        <v>0.48917814549535071</v>
      </c>
      <c r="K149" s="302">
        <v>17.113561082354376</v>
      </c>
      <c r="L149" s="302">
        <f t="shared" si="45"/>
        <v>17.602739227849728</v>
      </c>
      <c r="M149" s="236"/>
      <c r="N149" s="236"/>
    </row>
    <row r="150" spans="1:14" x14ac:dyDescent="0.25">
      <c r="A150" s="237" t="str">
        <f>name!E$9</f>
        <v>Caring, leisure and other service occupations</v>
      </c>
      <c r="B150" s="302">
        <v>3.9955529461883785E-2</v>
      </c>
      <c r="C150" s="302">
        <v>4.1303290516332802E-2</v>
      </c>
      <c r="D150" s="302">
        <f t="shared" si="43"/>
        <v>8.1258819978216587E-2</v>
      </c>
      <c r="E150" s="303"/>
      <c r="F150" s="302">
        <v>3.7727605717859929E-2</v>
      </c>
      <c r="G150" s="302">
        <v>4.6736886628204202E-2</v>
      </c>
      <c r="H150" s="302">
        <f t="shared" si="44"/>
        <v>8.4464492346064124E-2</v>
      </c>
      <c r="I150" s="303"/>
      <c r="J150" s="302">
        <v>4.4627733176668558E-2</v>
      </c>
      <c r="K150" s="302">
        <v>5.2819204454741066E-2</v>
      </c>
      <c r="L150" s="302">
        <f t="shared" si="45"/>
        <v>9.744693763140963E-2</v>
      </c>
      <c r="M150" s="236"/>
      <c r="N150" s="236"/>
    </row>
    <row r="151" spans="1:14" x14ac:dyDescent="0.25">
      <c r="A151" s="237" t="str">
        <f>name!E$10</f>
        <v>Sales and customer service occupations</v>
      </c>
      <c r="B151" s="302">
        <v>0.35996597880248832</v>
      </c>
      <c r="C151" s="302">
        <v>0.31101311523545361</v>
      </c>
      <c r="D151" s="302">
        <f t="shared" si="43"/>
        <v>0.67097909403794187</v>
      </c>
      <c r="E151" s="303"/>
      <c r="F151" s="302">
        <v>0.35211839299641517</v>
      </c>
      <c r="G151" s="302">
        <v>0.34624283247601023</v>
      </c>
      <c r="H151" s="302">
        <f t="shared" si="44"/>
        <v>0.69836122547242541</v>
      </c>
      <c r="I151" s="303"/>
      <c r="J151" s="302">
        <v>0.38780316226941741</v>
      </c>
      <c r="K151" s="302">
        <v>0.4087074794597107</v>
      </c>
      <c r="L151" s="302">
        <f t="shared" si="45"/>
        <v>0.79651064172912811</v>
      </c>
      <c r="M151" s="236"/>
      <c r="N151" s="236"/>
    </row>
    <row r="152" spans="1:14" x14ac:dyDescent="0.25">
      <c r="A152" s="237" t="str">
        <f>name!E$11</f>
        <v>Process, plant and machine operatives</v>
      </c>
      <c r="B152" s="302">
        <v>3.7984730699035636E-2</v>
      </c>
      <c r="C152" s="302">
        <v>2.5740138232476228</v>
      </c>
      <c r="D152" s="302">
        <f t="shared" si="43"/>
        <v>2.6119985539466586</v>
      </c>
      <c r="E152" s="303"/>
      <c r="F152" s="302">
        <v>3.3343179846108316E-2</v>
      </c>
      <c r="G152" s="302">
        <v>2.7060438278226289</v>
      </c>
      <c r="H152" s="302">
        <f t="shared" si="44"/>
        <v>2.739387007668737</v>
      </c>
      <c r="I152" s="303"/>
      <c r="J152" s="302">
        <v>5.1846796923196277E-2</v>
      </c>
      <c r="K152" s="302">
        <v>3.3870450763639282</v>
      </c>
      <c r="L152" s="302">
        <f t="shared" si="45"/>
        <v>3.4388918732871243</v>
      </c>
      <c r="M152" s="236"/>
      <c r="N152" s="236"/>
    </row>
    <row r="153" spans="1:14" x14ac:dyDescent="0.25">
      <c r="A153" s="237" t="str">
        <f>name!E$12</f>
        <v>Elementary occupations</v>
      </c>
      <c r="B153" s="302">
        <v>0.4404774946642856</v>
      </c>
      <c r="C153" s="302">
        <v>1.8553814048276647</v>
      </c>
      <c r="D153" s="302">
        <f t="shared" si="43"/>
        <v>2.2958588994919502</v>
      </c>
      <c r="E153" s="303"/>
      <c r="F153" s="302">
        <v>0.30697552913233556</v>
      </c>
      <c r="G153" s="302">
        <v>1.9963302747735001</v>
      </c>
      <c r="H153" s="302">
        <f t="shared" si="44"/>
        <v>2.3033058039058356</v>
      </c>
      <c r="I153" s="303"/>
      <c r="J153" s="302">
        <v>0.26160752605927073</v>
      </c>
      <c r="K153" s="302">
        <v>2.2162867309912335</v>
      </c>
      <c r="L153" s="302">
        <f t="shared" si="45"/>
        <v>2.4778942570505045</v>
      </c>
      <c r="M153" s="236"/>
      <c r="N153" s="236"/>
    </row>
    <row r="154" spans="1:14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5">
      <c r="A155" s="244" t="s">
        <v>33</v>
      </c>
      <c r="B155" s="311">
        <f>SUM(B145:B153)</f>
        <v>5.0066070275374965</v>
      </c>
      <c r="C155" s="311">
        <f t="shared" ref="C155:D155" si="46">SUM(C145:C153)</f>
        <v>26.756392972462475</v>
      </c>
      <c r="D155" s="311">
        <f t="shared" si="46"/>
        <v>31.762999999999973</v>
      </c>
      <c r="E155" s="311"/>
      <c r="F155" s="311">
        <f t="shared" ref="F155:H155" si="47">SUM(F145:F153)</f>
        <v>5.2094997705994297</v>
      </c>
      <c r="G155" s="311">
        <f t="shared" si="47"/>
        <v>31.805500229400614</v>
      </c>
      <c r="H155" s="311">
        <f t="shared" si="47"/>
        <v>37.015000000000043</v>
      </c>
      <c r="I155" s="311"/>
      <c r="J155" s="311">
        <f t="shared" ref="J155:L155" si="48">SUM(J145:J153)</f>
        <v>5.4133649300662201</v>
      </c>
      <c r="K155" s="311">
        <f t="shared" si="48"/>
        <v>32.03663506993378</v>
      </c>
      <c r="L155" s="311">
        <f t="shared" si="48"/>
        <v>37.450000000000003</v>
      </c>
      <c r="M155" s="236"/>
      <c r="N155" s="236"/>
    </row>
    <row r="156" spans="1:14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ht="13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ht="13" x14ac:dyDescent="0.3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ht="13" x14ac:dyDescent="0.3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5">
      <c r="A162" s="237" t="str">
        <f>name!E$4</f>
        <v>Managers, directors and senior officials</v>
      </c>
      <c r="B162" s="302">
        <v>3.3912623450756181</v>
      </c>
      <c r="C162" s="302">
        <v>8.4269674631249689</v>
      </c>
      <c r="D162" s="302">
        <f>SUM(B162:C162)</f>
        <v>11.818229808200588</v>
      </c>
      <c r="E162" s="303"/>
      <c r="F162" s="302">
        <v>4.5773025845574393</v>
      </c>
      <c r="G162" s="302">
        <v>8.4990672148979822</v>
      </c>
      <c r="H162" s="302">
        <f>SUM(F162:G162)</f>
        <v>13.076369799455421</v>
      </c>
      <c r="I162" s="303"/>
      <c r="J162" s="302">
        <v>5.9688778239560456</v>
      </c>
      <c r="K162" s="302">
        <v>9.5059514125851123</v>
      </c>
      <c r="L162" s="302">
        <f>SUM(J162:K162)</f>
        <v>15.474829236541158</v>
      </c>
      <c r="M162" s="236"/>
      <c r="N162" s="236"/>
    </row>
    <row r="163" spans="1:14" x14ac:dyDescent="0.25">
      <c r="A163" s="237" t="str">
        <f>name!E$5</f>
        <v>Professional occupations</v>
      </c>
      <c r="B163" s="302">
        <v>3.4894660598110065</v>
      </c>
      <c r="C163" s="302">
        <v>4.3813526467794137</v>
      </c>
      <c r="D163" s="302">
        <f t="shared" ref="D163:D170" si="49">SUM(B163:C163)</f>
        <v>7.8708187065904198</v>
      </c>
      <c r="E163" s="303"/>
      <c r="F163" s="302">
        <v>4.4494309841751312</v>
      </c>
      <c r="G163" s="302">
        <v>4.9540128796396079</v>
      </c>
      <c r="H163" s="302">
        <f t="shared" ref="H163:H170" si="50">SUM(F163:G163)</f>
        <v>9.40344386381474</v>
      </c>
      <c r="I163" s="303"/>
      <c r="J163" s="302">
        <v>5.6154627759476039</v>
      </c>
      <c r="K163" s="302">
        <v>6.328911257259997</v>
      </c>
      <c r="L163" s="302">
        <f t="shared" ref="L163:L170" si="51">SUM(J163:K163)</f>
        <v>11.944374033207602</v>
      </c>
      <c r="M163" s="236"/>
      <c r="N163" s="236"/>
    </row>
    <row r="164" spans="1:14" x14ac:dyDescent="0.25">
      <c r="A164" s="237" t="str">
        <f>name!E$6</f>
        <v>Associate professional occupations</v>
      </c>
      <c r="B164" s="302">
        <v>2.9480321182639271</v>
      </c>
      <c r="C164" s="302">
        <v>4.3115285361560582</v>
      </c>
      <c r="D164" s="302">
        <f t="shared" si="49"/>
        <v>7.2595606544199853</v>
      </c>
      <c r="E164" s="303"/>
      <c r="F164" s="302">
        <v>3.3506508521747751</v>
      </c>
      <c r="G164" s="302">
        <v>4.617803276055918</v>
      </c>
      <c r="H164" s="302">
        <f t="shared" si="50"/>
        <v>7.9684541282306931</v>
      </c>
      <c r="I164" s="303"/>
      <c r="J164" s="302">
        <v>3.6582359755028246</v>
      </c>
      <c r="K164" s="302">
        <v>4.7325932856771642</v>
      </c>
      <c r="L164" s="302">
        <f t="shared" si="51"/>
        <v>8.390829261179988</v>
      </c>
      <c r="M164" s="236"/>
      <c r="N164" s="236"/>
    </row>
    <row r="165" spans="1:14" x14ac:dyDescent="0.25">
      <c r="A165" s="237" t="str">
        <f>name!E$7</f>
        <v>Administrative and secretarial occupations</v>
      </c>
      <c r="B165" s="302">
        <v>6.306974194055929</v>
      </c>
      <c r="C165" s="302">
        <v>3.2265151842703781</v>
      </c>
      <c r="D165" s="302">
        <f t="shared" si="49"/>
        <v>9.5334893783263066</v>
      </c>
      <c r="E165" s="303"/>
      <c r="F165" s="302">
        <v>6.0371008378154549</v>
      </c>
      <c r="G165" s="302">
        <v>3.5827192488642514</v>
      </c>
      <c r="H165" s="302">
        <f t="shared" si="50"/>
        <v>9.6198200866797059</v>
      </c>
      <c r="I165" s="303"/>
      <c r="J165" s="302">
        <v>5.0874979553532667</v>
      </c>
      <c r="K165" s="302">
        <v>4.1999510155378399</v>
      </c>
      <c r="L165" s="302">
        <f t="shared" si="51"/>
        <v>9.2874489708911057</v>
      </c>
      <c r="M165" s="236"/>
      <c r="N165" s="236"/>
    </row>
    <row r="166" spans="1:14" x14ac:dyDescent="0.25">
      <c r="A166" s="237" t="str">
        <f>name!E$8</f>
        <v>Skilled trades occupations</v>
      </c>
      <c r="B166" s="302">
        <v>0.77895530159347215</v>
      </c>
      <c r="C166" s="302">
        <v>8.9600741914264947</v>
      </c>
      <c r="D166" s="302">
        <f t="shared" si="49"/>
        <v>9.7390294930199666</v>
      </c>
      <c r="E166" s="303"/>
      <c r="F166" s="302">
        <v>0.82974682667768362</v>
      </c>
      <c r="G166" s="302">
        <v>6.8826593123129731</v>
      </c>
      <c r="H166" s="302">
        <f t="shared" si="50"/>
        <v>7.7124061389906569</v>
      </c>
      <c r="I166" s="303"/>
      <c r="J166" s="302">
        <v>0.93476173495459003</v>
      </c>
      <c r="K166" s="302">
        <v>6.5869347492854828</v>
      </c>
      <c r="L166" s="302">
        <f t="shared" si="51"/>
        <v>7.5216964842400724</v>
      </c>
      <c r="M166" s="236"/>
      <c r="N166" s="236"/>
    </row>
    <row r="167" spans="1:14" x14ac:dyDescent="0.25">
      <c r="A167" s="237" t="str">
        <f>name!E$9</f>
        <v>Caring, leisure and other service occupations</v>
      </c>
      <c r="B167" s="302">
        <v>0.5815022053448019</v>
      </c>
      <c r="C167" s="302">
        <v>0.18649609707487649</v>
      </c>
      <c r="D167" s="302">
        <f t="shared" si="49"/>
        <v>0.76799830241967837</v>
      </c>
      <c r="E167" s="303"/>
      <c r="F167" s="302">
        <v>0.60354815985976562</v>
      </c>
      <c r="G167" s="302">
        <v>0.18952819668122695</v>
      </c>
      <c r="H167" s="302">
        <f t="shared" si="50"/>
        <v>0.79307635654099262</v>
      </c>
      <c r="I167" s="303"/>
      <c r="J167" s="302">
        <v>0.84055140555520691</v>
      </c>
      <c r="K167" s="302">
        <v>0.22610885510612672</v>
      </c>
      <c r="L167" s="302">
        <f t="shared" si="51"/>
        <v>1.0666602606613336</v>
      </c>
      <c r="M167" s="236"/>
      <c r="N167" s="236"/>
    </row>
    <row r="168" spans="1:14" x14ac:dyDescent="0.25">
      <c r="A168" s="237" t="str">
        <f>name!E$10</f>
        <v>Sales and customer service occupations</v>
      </c>
      <c r="B168" s="302">
        <v>16.601945527615054</v>
      </c>
      <c r="C168" s="302">
        <v>9.2406176524105703</v>
      </c>
      <c r="D168" s="302">
        <f t="shared" si="49"/>
        <v>25.842563180025625</v>
      </c>
      <c r="E168" s="303"/>
      <c r="F168" s="302">
        <v>14.382529238179513</v>
      </c>
      <c r="G168" s="302">
        <v>8.99249807846404</v>
      </c>
      <c r="H168" s="302">
        <f t="shared" si="50"/>
        <v>23.375027316643553</v>
      </c>
      <c r="I168" s="303"/>
      <c r="J168" s="302">
        <v>12.13126671752182</v>
      </c>
      <c r="K168" s="302">
        <v>8.4125457193477615</v>
      </c>
      <c r="L168" s="302">
        <f t="shared" si="51"/>
        <v>20.54381243686958</v>
      </c>
      <c r="M168" s="236"/>
      <c r="N168" s="236"/>
    </row>
    <row r="169" spans="1:14" x14ac:dyDescent="0.25">
      <c r="A169" s="237" t="str">
        <f>name!E$11</f>
        <v>Process, plant and machine operatives</v>
      </c>
      <c r="B169" s="302">
        <v>1.7287431667195186</v>
      </c>
      <c r="C169" s="302">
        <v>6.5964833927347355</v>
      </c>
      <c r="D169" s="302">
        <f t="shared" si="49"/>
        <v>8.3252265594542543</v>
      </c>
      <c r="E169" s="303"/>
      <c r="F169" s="302">
        <v>1.4618940111553602</v>
      </c>
      <c r="G169" s="302">
        <v>5.2664538665373692</v>
      </c>
      <c r="H169" s="302">
        <f t="shared" si="50"/>
        <v>6.7283478776927295</v>
      </c>
      <c r="I169" s="303"/>
      <c r="J169" s="302">
        <v>2.4166198756559387</v>
      </c>
      <c r="K169" s="302">
        <v>5.4271088969822827</v>
      </c>
      <c r="L169" s="302">
        <f t="shared" si="51"/>
        <v>7.8437287726382214</v>
      </c>
      <c r="M169" s="236"/>
      <c r="N169" s="236"/>
    </row>
    <row r="170" spans="1:14" x14ac:dyDescent="0.25">
      <c r="A170" s="237" t="str">
        <f>name!E$12</f>
        <v>Elementary occupations</v>
      </c>
      <c r="B170" s="302">
        <v>4.525155270888642</v>
      </c>
      <c r="C170" s="302">
        <v>6.3839286466545548</v>
      </c>
      <c r="D170" s="302">
        <f t="shared" si="49"/>
        <v>10.909083917543196</v>
      </c>
      <c r="E170" s="303"/>
      <c r="F170" s="302">
        <v>3.4991090761655683</v>
      </c>
      <c r="G170" s="302">
        <v>4.8979453557859047</v>
      </c>
      <c r="H170" s="302">
        <f t="shared" si="50"/>
        <v>8.3970544319514726</v>
      </c>
      <c r="I170" s="303"/>
      <c r="J170" s="302">
        <v>2.9415911394239211</v>
      </c>
      <c r="K170" s="302">
        <v>3.8280294043470042</v>
      </c>
      <c r="L170" s="302">
        <f t="shared" si="51"/>
        <v>6.7696205437709249</v>
      </c>
      <c r="M170" s="236"/>
      <c r="N170" s="236"/>
    </row>
    <row r="171" spans="1:14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5">
      <c r="A172" s="244" t="s">
        <v>33</v>
      </c>
      <c r="B172" s="311">
        <f>SUM(B162:B170)</f>
        <v>40.352036189367965</v>
      </c>
      <c r="C172" s="311">
        <f t="shared" ref="C172:D172" si="52">SUM(C162:C170)</f>
        <v>51.713963810632045</v>
      </c>
      <c r="D172" s="311">
        <f t="shared" si="52"/>
        <v>92.066000000000017</v>
      </c>
      <c r="E172" s="311"/>
      <c r="F172" s="311">
        <f t="shared" ref="F172:H172" si="53">SUM(F162:F170)</f>
        <v>39.191312570760687</v>
      </c>
      <c r="G172" s="311">
        <f t="shared" si="53"/>
        <v>47.882687429239276</v>
      </c>
      <c r="H172" s="311">
        <f t="shared" si="53"/>
        <v>87.07399999999997</v>
      </c>
      <c r="I172" s="311"/>
      <c r="J172" s="311">
        <f t="shared" ref="J172:L172" si="54">SUM(J162:J170)</f>
        <v>39.594865403871218</v>
      </c>
      <c r="K172" s="311">
        <f t="shared" si="54"/>
        <v>49.248134596128772</v>
      </c>
      <c r="L172" s="311">
        <f t="shared" si="54"/>
        <v>88.842999999999989</v>
      </c>
      <c r="M172" s="236"/>
      <c r="N172" s="236"/>
    </row>
    <row r="173" spans="1:14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ht="13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ht="13" x14ac:dyDescent="0.3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ht="13" x14ac:dyDescent="0.3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5">
      <c r="A179" s="237" t="str">
        <f>name!E$4</f>
        <v>Managers, directors and senior officials</v>
      </c>
      <c r="B179" s="302">
        <v>0.47653506925016964</v>
      </c>
      <c r="C179" s="302">
        <v>2.0198907311733363</v>
      </c>
      <c r="D179" s="302">
        <f>SUM(B179:C179)</f>
        <v>2.496425800423506</v>
      </c>
      <c r="E179" s="303"/>
      <c r="F179" s="302">
        <v>0.638968006857626</v>
      </c>
      <c r="G179" s="302">
        <v>2.3883661752420147</v>
      </c>
      <c r="H179" s="302">
        <f>SUM(F179:G179)</f>
        <v>3.0273341820996409</v>
      </c>
      <c r="I179" s="303"/>
      <c r="J179" s="302">
        <v>0.97046656523243335</v>
      </c>
      <c r="K179" s="302">
        <v>2.8248300864815232</v>
      </c>
      <c r="L179" s="302">
        <f>SUM(J179:K179)</f>
        <v>3.7952966517139566</v>
      </c>
      <c r="M179" s="236"/>
      <c r="N179" s="236"/>
    </row>
    <row r="180" spans="1:14" x14ac:dyDescent="0.25">
      <c r="A180" s="237" t="str">
        <f>name!E$5</f>
        <v>Professional occupations</v>
      </c>
      <c r="B180" s="302">
        <v>0.40099412478915031</v>
      </c>
      <c r="C180" s="302">
        <v>1.2512478977305432</v>
      </c>
      <c r="D180" s="302">
        <f t="shared" ref="D180:D187" si="55">SUM(B180:C180)</f>
        <v>1.6522420225196934</v>
      </c>
      <c r="E180" s="303"/>
      <c r="F180" s="302">
        <v>0.59745029335238398</v>
      </c>
      <c r="G180" s="302">
        <v>1.6159463049359812</v>
      </c>
      <c r="H180" s="302">
        <f t="shared" ref="H180:H187" si="56">SUM(F180:G180)</f>
        <v>2.213396598288365</v>
      </c>
      <c r="I180" s="303"/>
      <c r="J180" s="302">
        <v>0.87586730264278956</v>
      </c>
      <c r="K180" s="302">
        <v>2.1819091942948927</v>
      </c>
      <c r="L180" s="302">
        <f t="shared" ref="L180:L187" si="57">SUM(J180:K180)</f>
        <v>3.0577764969376822</v>
      </c>
      <c r="M180" s="236"/>
      <c r="N180" s="236"/>
    </row>
    <row r="181" spans="1:14" x14ac:dyDescent="0.25">
      <c r="A181" s="237" t="str">
        <f>name!E$6</f>
        <v>Associate professional occupations</v>
      </c>
      <c r="B181" s="302">
        <v>0.44761765320786723</v>
      </c>
      <c r="C181" s="302">
        <v>1.19146684412086</v>
      </c>
      <c r="D181" s="302">
        <f t="shared" si="55"/>
        <v>1.6390844973287273</v>
      </c>
      <c r="E181" s="303"/>
      <c r="F181" s="302">
        <v>0.56247819404896959</v>
      </c>
      <c r="G181" s="302">
        <v>1.3900605802344477</v>
      </c>
      <c r="H181" s="302">
        <f t="shared" si="56"/>
        <v>1.9525387742834173</v>
      </c>
      <c r="I181" s="303"/>
      <c r="J181" s="302">
        <v>0.70497898640168499</v>
      </c>
      <c r="K181" s="302">
        <v>1.4354502618202234</v>
      </c>
      <c r="L181" s="302">
        <f t="shared" si="57"/>
        <v>2.1404292482219085</v>
      </c>
      <c r="M181" s="236"/>
      <c r="N181" s="236"/>
    </row>
    <row r="182" spans="1:14" x14ac:dyDescent="0.25">
      <c r="A182" s="237" t="str">
        <f>name!E$7</f>
        <v>Administrative and secretarial occupations</v>
      </c>
      <c r="B182" s="302">
        <v>2.1992030852978321</v>
      </c>
      <c r="C182" s="302">
        <v>1.247572050843232</v>
      </c>
      <c r="D182" s="302">
        <f t="shared" si="55"/>
        <v>3.4467751361410643</v>
      </c>
      <c r="E182" s="303"/>
      <c r="F182" s="302">
        <v>2.1660685200699299</v>
      </c>
      <c r="G182" s="302">
        <v>1.5346855495080844</v>
      </c>
      <c r="H182" s="302">
        <f t="shared" si="56"/>
        <v>3.7007540695780143</v>
      </c>
      <c r="I182" s="303"/>
      <c r="J182" s="302">
        <v>2.1037589080049681</v>
      </c>
      <c r="K182" s="302">
        <v>1.8094083966064622</v>
      </c>
      <c r="L182" s="302">
        <f t="shared" si="57"/>
        <v>3.9131673046114304</v>
      </c>
      <c r="M182" s="236"/>
      <c r="N182" s="236"/>
    </row>
    <row r="183" spans="1:14" x14ac:dyDescent="0.25">
      <c r="A183" s="237" t="str">
        <f>name!E$8</f>
        <v>Skilled trades occupations</v>
      </c>
      <c r="B183" s="302">
        <v>4.7985360469271397E-2</v>
      </c>
      <c r="C183" s="302">
        <v>2.0063687975089088</v>
      </c>
      <c r="D183" s="302">
        <f t="shared" si="55"/>
        <v>2.0543541579781803</v>
      </c>
      <c r="E183" s="303"/>
      <c r="F183" s="302">
        <v>5.5733895304112532E-2</v>
      </c>
      <c r="G183" s="302">
        <v>1.3959544419181642</v>
      </c>
      <c r="H183" s="302">
        <f t="shared" si="56"/>
        <v>1.4516883372222766</v>
      </c>
      <c r="I183" s="303"/>
      <c r="J183" s="302">
        <v>0.10381835249991314</v>
      </c>
      <c r="K183" s="302">
        <v>1.2811728258156974</v>
      </c>
      <c r="L183" s="302">
        <f t="shared" si="57"/>
        <v>1.3849911783156106</v>
      </c>
      <c r="M183" s="236"/>
      <c r="N183" s="236"/>
    </row>
    <row r="184" spans="1:14" x14ac:dyDescent="0.25">
      <c r="A184" s="237" t="str">
        <f>name!E$9</f>
        <v>Caring, leisure and other service occupations</v>
      </c>
      <c r="B184" s="302">
        <v>0.81096613971075215</v>
      </c>
      <c r="C184" s="302">
        <v>0.72073575171104098</v>
      </c>
      <c r="D184" s="302">
        <f t="shared" si="55"/>
        <v>1.5317018914217932</v>
      </c>
      <c r="E184" s="303"/>
      <c r="F184" s="302">
        <v>1.0327067371393874</v>
      </c>
      <c r="G184" s="302">
        <v>0.87571933015513481</v>
      </c>
      <c r="H184" s="302">
        <f t="shared" si="56"/>
        <v>1.9084260672945224</v>
      </c>
      <c r="I184" s="303"/>
      <c r="J184" s="302">
        <v>1.1297598702253322</v>
      </c>
      <c r="K184" s="302">
        <v>1.0783151416081613</v>
      </c>
      <c r="L184" s="302">
        <f t="shared" si="57"/>
        <v>2.2080750118334933</v>
      </c>
      <c r="M184" s="236"/>
      <c r="N184" s="236"/>
    </row>
    <row r="185" spans="1:14" x14ac:dyDescent="0.25">
      <c r="A185" s="237" t="str">
        <f>name!E$10</f>
        <v>Sales and customer service occupations</v>
      </c>
      <c r="B185" s="302">
        <v>0.58953650139787894</v>
      </c>
      <c r="C185" s="302">
        <v>0.54830258416413558</v>
      </c>
      <c r="D185" s="302">
        <f t="shared" si="55"/>
        <v>1.1378390855620144</v>
      </c>
      <c r="E185" s="303"/>
      <c r="F185" s="302">
        <v>0.56379493778445799</v>
      </c>
      <c r="G185" s="302">
        <v>0.58775166722520034</v>
      </c>
      <c r="H185" s="302">
        <f t="shared" si="56"/>
        <v>1.1515466050096583</v>
      </c>
      <c r="I185" s="303"/>
      <c r="J185" s="302">
        <v>0.7459675033740889</v>
      </c>
      <c r="K185" s="302">
        <v>0.80080615579196279</v>
      </c>
      <c r="L185" s="302">
        <f t="shared" si="57"/>
        <v>1.5467736591660517</v>
      </c>
      <c r="M185" s="236"/>
      <c r="N185" s="236"/>
    </row>
    <row r="186" spans="1:14" x14ac:dyDescent="0.25">
      <c r="A186" s="237" t="str">
        <f>name!E$11</f>
        <v>Process, plant and machine operatives</v>
      </c>
      <c r="B186" s="302">
        <v>0.4569683521447454</v>
      </c>
      <c r="C186" s="302">
        <v>12.840065176290667</v>
      </c>
      <c r="D186" s="302">
        <f t="shared" si="55"/>
        <v>13.297033528435412</v>
      </c>
      <c r="E186" s="303"/>
      <c r="F186" s="302">
        <v>0.50831336410900307</v>
      </c>
      <c r="G186" s="302">
        <v>11.991355086355037</v>
      </c>
      <c r="H186" s="302">
        <f t="shared" si="56"/>
        <v>12.499668450464041</v>
      </c>
      <c r="I186" s="303"/>
      <c r="J186" s="302">
        <v>1.0214184346707647</v>
      </c>
      <c r="K186" s="302">
        <v>13.696372635799849</v>
      </c>
      <c r="L186" s="302">
        <f t="shared" si="57"/>
        <v>14.717791070470613</v>
      </c>
      <c r="M186" s="236"/>
      <c r="N186" s="236"/>
    </row>
    <row r="187" spans="1:14" x14ac:dyDescent="0.25">
      <c r="A187" s="237" t="str">
        <f>name!E$12</f>
        <v>Elementary occupations</v>
      </c>
      <c r="B187" s="302">
        <v>1.4068350191887096</v>
      </c>
      <c r="C187" s="302">
        <v>4.7947088610008892</v>
      </c>
      <c r="D187" s="302">
        <f t="shared" si="55"/>
        <v>6.2015438801895986</v>
      </c>
      <c r="E187" s="303"/>
      <c r="F187" s="302">
        <v>1.0882200150171575</v>
      </c>
      <c r="G187" s="302">
        <v>3.9544269007428756</v>
      </c>
      <c r="H187" s="302">
        <f t="shared" si="56"/>
        <v>5.0426469157600327</v>
      </c>
      <c r="I187" s="303"/>
      <c r="J187" s="302">
        <v>1.3088147567456621</v>
      </c>
      <c r="K187" s="302">
        <v>3.6878846219835792</v>
      </c>
      <c r="L187" s="302">
        <f t="shared" si="57"/>
        <v>4.9966993787292413</v>
      </c>
      <c r="M187" s="236"/>
      <c r="N187" s="236"/>
    </row>
    <row r="188" spans="1:14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5">
      <c r="A189" s="244" t="s">
        <v>33</v>
      </c>
      <c r="B189" s="311">
        <f>SUM(B179:B187)</f>
        <v>6.8366413054563759</v>
      </c>
      <c r="C189" s="311">
        <f t="shared" ref="C189:D189" si="58">SUM(C179:C187)</f>
        <v>26.620358694543611</v>
      </c>
      <c r="D189" s="311">
        <f t="shared" si="58"/>
        <v>33.456999999999987</v>
      </c>
      <c r="E189" s="311"/>
      <c r="F189" s="311">
        <f t="shared" ref="F189:H189" si="59">SUM(F179:F187)</f>
        <v>7.213733963683028</v>
      </c>
      <c r="G189" s="311">
        <f t="shared" si="59"/>
        <v>25.734266036316939</v>
      </c>
      <c r="H189" s="311">
        <f t="shared" si="59"/>
        <v>32.947999999999965</v>
      </c>
      <c r="I189" s="311"/>
      <c r="J189" s="311">
        <f t="shared" ref="J189:L189" si="60">SUM(J179:J187)</f>
        <v>8.9648506797976388</v>
      </c>
      <c r="K189" s="311">
        <f t="shared" si="60"/>
        <v>28.79614932020235</v>
      </c>
      <c r="L189" s="311">
        <f t="shared" si="60"/>
        <v>37.760999999999989</v>
      </c>
      <c r="M189" s="236"/>
      <c r="N189" s="236"/>
    </row>
    <row r="190" spans="1:14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ht="13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ht="13" x14ac:dyDescent="0.3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ht="13" x14ac:dyDescent="0.3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5">
      <c r="A196" s="237" t="str">
        <f>name!E$4</f>
        <v>Managers, directors and senior officials</v>
      </c>
      <c r="B196" s="302">
        <v>1.2593040366265449</v>
      </c>
      <c r="C196" s="302">
        <v>1.4241132232408042</v>
      </c>
      <c r="D196" s="302">
        <f>SUM(B196:C196)</f>
        <v>2.6834172598673494</v>
      </c>
      <c r="E196" s="303"/>
      <c r="F196" s="302">
        <v>1.7068936680401787</v>
      </c>
      <c r="G196" s="302">
        <v>1.7431283717075539</v>
      </c>
      <c r="H196" s="302">
        <f>SUM(F196:G196)</f>
        <v>3.4500220397477328</v>
      </c>
      <c r="I196" s="303"/>
      <c r="J196" s="302">
        <v>2.3246624015097113</v>
      </c>
      <c r="K196" s="302">
        <v>2.5560024150088423</v>
      </c>
      <c r="L196" s="302">
        <f>SUM(J196:K196)</f>
        <v>4.8806648165185536</v>
      </c>
      <c r="M196" s="236"/>
      <c r="N196" s="236"/>
    </row>
    <row r="197" spans="1:14" x14ac:dyDescent="0.25">
      <c r="A197" s="237" t="str">
        <f>name!E$5</f>
        <v>Professional occupations</v>
      </c>
      <c r="B197" s="302">
        <v>0.35786249439385304</v>
      </c>
      <c r="C197" s="302">
        <v>0.38904205601244984</v>
      </c>
      <c r="D197" s="302">
        <f t="shared" ref="D197:D204" si="61">SUM(B197:C197)</f>
        <v>0.74690455040630288</v>
      </c>
      <c r="E197" s="303"/>
      <c r="F197" s="302">
        <v>0.58445209874975312</v>
      </c>
      <c r="G197" s="302">
        <v>0.59512702489218083</v>
      </c>
      <c r="H197" s="302">
        <f t="shared" ref="H197:H204" si="62">SUM(F197:G197)</f>
        <v>1.179579123641934</v>
      </c>
      <c r="I197" s="303"/>
      <c r="J197" s="302">
        <v>0.7473939760558812</v>
      </c>
      <c r="K197" s="302">
        <v>0.8741705133649309</v>
      </c>
      <c r="L197" s="302">
        <f t="shared" ref="L197:L204" si="63">SUM(J197:K197)</f>
        <v>1.6215644894208121</v>
      </c>
      <c r="M197" s="236"/>
      <c r="N197" s="236"/>
    </row>
    <row r="198" spans="1:14" x14ac:dyDescent="0.25">
      <c r="A198" s="237" t="str">
        <f>name!E$6</f>
        <v>Associate professional occupations</v>
      </c>
      <c r="B198" s="302">
        <v>0.37994068032468148</v>
      </c>
      <c r="C198" s="302">
        <v>0.39619832308342084</v>
      </c>
      <c r="D198" s="302">
        <f t="shared" si="61"/>
        <v>0.77613900340810238</v>
      </c>
      <c r="E198" s="303"/>
      <c r="F198" s="302">
        <v>0.55498034360120485</v>
      </c>
      <c r="G198" s="302">
        <v>0.53533663906234508</v>
      </c>
      <c r="H198" s="302">
        <f t="shared" si="62"/>
        <v>1.0903169826635499</v>
      </c>
      <c r="I198" s="303"/>
      <c r="J198" s="302">
        <v>0.72404800571993355</v>
      </c>
      <c r="K198" s="302">
        <v>0.70760724726853996</v>
      </c>
      <c r="L198" s="302">
        <f t="shared" si="63"/>
        <v>1.4316552529884734</v>
      </c>
      <c r="M198" s="236"/>
      <c r="N198" s="236"/>
    </row>
    <row r="199" spans="1:14" x14ac:dyDescent="0.25">
      <c r="A199" s="237" t="str">
        <f>name!E$7</f>
        <v>Administrative and secretarial occupations</v>
      </c>
      <c r="B199" s="302">
        <v>0.83426435992434678</v>
      </c>
      <c r="C199" s="302">
        <v>0.36827064358998801</v>
      </c>
      <c r="D199" s="302">
        <f t="shared" si="61"/>
        <v>1.2025350035143347</v>
      </c>
      <c r="E199" s="303"/>
      <c r="F199" s="302">
        <v>1.0421104374761252</v>
      </c>
      <c r="G199" s="302">
        <v>0.43637412984288032</v>
      </c>
      <c r="H199" s="302">
        <f t="shared" si="62"/>
        <v>1.4784845673190055</v>
      </c>
      <c r="I199" s="303"/>
      <c r="J199" s="302">
        <v>1.3081730115880688</v>
      </c>
      <c r="K199" s="302">
        <v>0.66659838197880128</v>
      </c>
      <c r="L199" s="302">
        <f t="shared" si="63"/>
        <v>1.97477139356687</v>
      </c>
      <c r="M199" s="236"/>
      <c r="N199" s="236"/>
    </row>
    <row r="200" spans="1:14" x14ac:dyDescent="0.25">
      <c r="A200" s="237" t="str">
        <f>name!E$8</f>
        <v>Skilled trades occupations</v>
      </c>
      <c r="B200" s="302">
        <v>0.88760519722899878</v>
      </c>
      <c r="C200" s="302">
        <v>1.9124780191962005</v>
      </c>
      <c r="D200" s="302">
        <f t="shared" si="61"/>
        <v>2.8000832164251994</v>
      </c>
      <c r="E200" s="303"/>
      <c r="F200" s="302">
        <v>1.0098134454136087</v>
      </c>
      <c r="G200" s="302">
        <v>1.6398054394240722</v>
      </c>
      <c r="H200" s="302">
        <f t="shared" si="62"/>
        <v>2.6496188848376807</v>
      </c>
      <c r="I200" s="303"/>
      <c r="J200" s="302">
        <v>1.0497018496711989</v>
      </c>
      <c r="K200" s="302">
        <v>1.3492485342037457</v>
      </c>
      <c r="L200" s="302">
        <f t="shared" si="63"/>
        <v>2.3989503838749444</v>
      </c>
      <c r="M200" s="236"/>
      <c r="N200" s="236"/>
    </row>
    <row r="201" spans="1:14" x14ac:dyDescent="0.25">
      <c r="A201" s="237" t="str">
        <f>name!E$9</f>
        <v>Caring, leisure and other service occupations</v>
      </c>
      <c r="B201" s="302">
        <v>0.83097733539827512</v>
      </c>
      <c r="C201" s="302">
        <v>0.17883793852444807</v>
      </c>
      <c r="D201" s="302">
        <f t="shared" si="61"/>
        <v>1.0098152739227233</v>
      </c>
      <c r="E201" s="303"/>
      <c r="F201" s="302">
        <v>0.9071287508036785</v>
      </c>
      <c r="G201" s="302">
        <v>0.22966037785277044</v>
      </c>
      <c r="H201" s="302">
        <f t="shared" si="62"/>
        <v>1.1367891286564489</v>
      </c>
      <c r="I201" s="303"/>
      <c r="J201" s="302">
        <v>1.0588079005038917</v>
      </c>
      <c r="K201" s="302">
        <v>0.26545082432523387</v>
      </c>
      <c r="L201" s="302">
        <f t="shared" si="63"/>
        <v>1.3242587248291255</v>
      </c>
      <c r="M201" s="236"/>
      <c r="N201" s="236"/>
    </row>
    <row r="202" spans="1:14" x14ac:dyDescent="0.25">
      <c r="A202" s="237" t="str">
        <f>name!E$10</f>
        <v>Sales and customer service occupations</v>
      </c>
      <c r="B202" s="302">
        <v>1.0888766428645968</v>
      </c>
      <c r="C202" s="302">
        <v>0.7129179379916325</v>
      </c>
      <c r="D202" s="302">
        <f t="shared" si="61"/>
        <v>1.8017945808562295</v>
      </c>
      <c r="E202" s="303"/>
      <c r="F202" s="302">
        <v>1.2754982517865763</v>
      </c>
      <c r="G202" s="302">
        <v>0.78874875495249241</v>
      </c>
      <c r="H202" s="302">
        <f t="shared" si="62"/>
        <v>2.0642470067390688</v>
      </c>
      <c r="I202" s="303"/>
      <c r="J202" s="302">
        <v>1.6955946945021947</v>
      </c>
      <c r="K202" s="302">
        <v>1.0429609126294364</v>
      </c>
      <c r="L202" s="302">
        <f t="shared" si="63"/>
        <v>2.738555607131631</v>
      </c>
      <c r="M202" s="236"/>
      <c r="N202" s="236"/>
    </row>
    <row r="203" spans="1:14" x14ac:dyDescent="0.25">
      <c r="A203" s="237" t="str">
        <f>name!E$11</f>
        <v>Process, plant and machine operatives</v>
      </c>
      <c r="B203" s="302">
        <v>0.16024903030242665</v>
      </c>
      <c r="C203" s="302">
        <v>0.69006390169176235</v>
      </c>
      <c r="D203" s="302">
        <f t="shared" si="61"/>
        <v>0.850312931994189</v>
      </c>
      <c r="E203" s="303"/>
      <c r="F203" s="302">
        <v>0.16540392052096731</v>
      </c>
      <c r="G203" s="302">
        <v>0.81981463925941223</v>
      </c>
      <c r="H203" s="302">
        <f t="shared" si="62"/>
        <v>0.98521855978037953</v>
      </c>
      <c r="I203" s="303"/>
      <c r="J203" s="302">
        <v>0.38613246720801364</v>
      </c>
      <c r="K203" s="302">
        <v>1.2194655847656737</v>
      </c>
      <c r="L203" s="302">
        <f t="shared" si="63"/>
        <v>1.6055980519736872</v>
      </c>
      <c r="M203" s="236"/>
      <c r="N203" s="236"/>
    </row>
    <row r="204" spans="1:14" x14ac:dyDescent="0.25">
      <c r="A204" s="237" t="str">
        <f>name!E$12</f>
        <v>Elementary occupations</v>
      </c>
      <c r="B204" s="302">
        <v>5.8326803280264423</v>
      </c>
      <c r="C204" s="302">
        <v>4.2023178515790915</v>
      </c>
      <c r="D204" s="302">
        <f t="shared" si="61"/>
        <v>10.034998179605534</v>
      </c>
      <c r="E204" s="303"/>
      <c r="F204" s="302">
        <v>6.2850497970023467</v>
      </c>
      <c r="G204" s="302">
        <v>4.3826739096118672</v>
      </c>
      <c r="H204" s="302">
        <f t="shared" si="62"/>
        <v>10.667723706614215</v>
      </c>
      <c r="I204" s="303"/>
      <c r="J204" s="302">
        <v>6.6832617149412332</v>
      </c>
      <c r="K204" s="302">
        <v>4.6927195647546815</v>
      </c>
      <c r="L204" s="302">
        <f t="shared" si="63"/>
        <v>11.375981279695914</v>
      </c>
      <c r="M204" s="236"/>
      <c r="N204" s="236"/>
    </row>
    <row r="205" spans="1:14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5">
      <c r="A206" s="244" t="s">
        <v>33</v>
      </c>
      <c r="B206" s="311">
        <f>SUM(B196:B204)</f>
        <v>11.631760105090166</v>
      </c>
      <c r="C206" s="311">
        <f t="shared" ref="C206:D206" si="64">SUM(C196:C204)</f>
        <v>10.274239894909797</v>
      </c>
      <c r="D206" s="311">
        <f t="shared" si="64"/>
        <v>21.905999999999963</v>
      </c>
      <c r="E206" s="311"/>
      <c r="F206" s="311">
        <f t="shared" ref="F206:H206" si="65">SUM(F196:F204)</f>
        <v>13.531330713394439</v>
      </c>
      <c r="G206" s="311">
        <f t="shared" si="65"/>
        <v>11.170669286605575</v>
      </c>
      <c r="H206" s="311">
        <f t="shared" si="65"/>
        <v>24.702000000000019</v>
      </c>
      <c r="I206" s="311"/>
      <c r="J206" s="311">
        <f t="shared" ref="J206:L206" si="66">SUM(J196:J204)</f>
        <v>15.977776021700128</v>
      </c>
      <c r="K206" s="311">
        <f t="shared" si="66"/>
        <v>13.374223978299884</v>
      </c>
      <c r="L206" s="311">
        <f t="shared" si="66"/>
        <v>29.352000000000011</v>
      </c>
      <c r="M206" s="236"/>
      <c r="N206" s="236"/>
    </row>
    <row r="207" spans="1:14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ht="13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ht="13" x14ac:dyDescent="0.3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ht="13" x14ac:dyDescent="0.3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5">
      <c r="A213" s="237" t="str">
        <f>name!E$4</f>
        <v>Managers, directors and senior officials</v>
      </c>
      <c r="B213" s="302">
        <v>4.1315879907142361E-2</v>
      </c>
      <c r="C213" s="302">
        <v>0.1104859492510533</v>
      </c>
      <c r="D213" s="302">
        <f>SUM(B213:C213)</f>
        <v>0.15180182915819568</v>
      </c>
      <c r="E213" s="303"/>
      <c r="F213" s="302">
        <v>5.749515335536428E-2</v>
      </c>
      <c r="G213" s="302">
        <v>0.14150803215375424</v>
      </c>
      <c r="H213" s="302">
        <f>SUM(F213:G213)</f>
        <v>0.19900318550911852</v>
      </c>
      <c r="I213" s="303"/>
      <c r="J213" s="302">
        <v>5.6564724334372644E-2</v>
      </c>
      <c r="K213" s="302">
        <v>0.14879394307749685</v>
      </c>
      <c r="L213" s="302">
        <f>SUM(J213:K213)</f>
        <v>0.20535866741186951</v>
      </c>
      <c r="M213" s="236"/>
      <c r="N213" s="236"/>
    </row>
    <row r="214" spans="1:14" x14ac:dyDescent="0.25">
      <c r="A214" s="237" t="str">
        <f>name!E$5</f>
        <v>Professional occupations</v>
      </c>
      <c r="B214" s="302">
        <v>7.3818955410873202E-2</v>
      </c>
      <c r="C214" s="302">
        <v>0.26899323079933735</v>
      </c>
      <c r="D214" s="302">
        <f t="shared" ref="D214:D221" si="67">SUM(B214:C214)</f>
        <v>0.34281218621021053</v>
      </c>
      <c r="E214" s="303"/>
      <c r="F214" s="302">
        <v>0.10291084574779782</v>
      </c>
      <c r="G214" s="302">
        <v>0.37367046941923887</v>
      </c>
      <c r="H214" s="302">
        <f t="shared" ref="H214:H221" si="68">SUM(F214:G214)</f>
        <v>0.47658131516703672</v>
      </c>
      <c r="I214" s="303"/>
      <c r="J214" s="302">
        <v>0.1099204170142212</v>
      </c>
      <c r="K214" s="302">
        <v>0.3771354427475645</v>
      </c>
      <c r="L214" s="302">
        <f t="shared" ref="L214:L221" si="69">SUM(J214:K214)</f>
        <v>0.48705585976178567</v>
      </c>
      <c r="M214" s="236"/>
      <c r="N214" s="236"/>
    </row>
    <row r="215" spans="1:14" x14ac:dyDescent="0.25">
      <c r="A215" s="237" t="str">
        <f>name!E$6</f>
        <v>Associate professional occupations</v>
      </c>
      <c r="B215" s="302">
        <v>0.11384856233491968</v>
      </c>
      <c r="C215" s="302">
        <v>0.29972167879476319</v>
      </c>
      <c r="D215" s="302">
        <f t="shared" si="67"/>
        <v>0.41357024112968288</v>
      </c>
      <c r="E215" s="303"/>
      <c r="F215" s="302">
        <v>0.17733578511971035</v>
      </c>
      <c r="G215" s="302">
        <v>0.41456529326155866</v>
      </c>
      <c r="H215" s="302">
        <f t="shared" si="68"/>
        <v>0.59190107838126904</v>
      </c>
      <c r="I215" s="303"/>
      <c r="J215" s="302">
        <v>0.17804677978759254</v>
      </c>
      <c r="K215" s="302">
        <v>0.39094721916632497</v>
      </c>
      <c r="L215" s="302">
        <f t="shared" si="69"/>
        <v>0.56899399895391745</v>
      </c>
      <c r="M215" s="236"/>
      <c r="N215" s="236"/>
    </row>
    <row r="216" spans="1:14" x14ac:dyDescent="0.25">
      <c r="A216" s="237" t="str">
        <f>name!E$7</f>
        <v>Administrative and secretarial occupations</v>
      </c>
      <c r="B216" s="302">
        <v>0.14396432466371703</v>
      </c>
      <c r="C216" s="302">
        <v>5.0194904704995352E-2</v>
      </c>
      <c r="D216" s="302">
        <f t="shared" si="67"/>
        <v>0.19415922936871238</v>
      </c>
      <c r="E216" s="303"/>
      <c r="F216" s="302">
        <v>0.13706769474150657</v>
      </c>
      <c r="G216" s="302">
        <v>6.0419999416068973E-2</v>
      </c>
      <c r="H216" s="302">
        <f t="shared" si="68"/>
        <v>0.19748769415757556</v>
      </c>
      <c r="I216" s="303"/>
      <c r="J216" s="302">
        <v>0.11087227223333126</v>
      </c>
      <c r="K216" s="302">
        <v>5.7034179997551317E-2</v>
      </c>
      <c r="L216" s="302">
        <f t="shared" si="69"/>
        <v>0.16790645223088257</v>
      </c>
      <c r="M216" s="236"/>
      <c r="N216" s="236"/>
    </row>
    <row r="217" spans="1:14" x14ac:dyDescent="0.25">
      <c r="A217" s="237" t="str">
        <f>name!E$8</f>
        <v>Skilled trades occupations</v>
      </c>
      <c r="B217" s="302">
        <v>1.7832919328677563E-2</v>
      </c>
      <c r="C217" s="302">
        <v>0.10182502126478846</v>
      </c>
      <c r="D217" s="302">
        <f t="shared" si="67"/>
        <v>0.11965794059346602</v>
      </c>
      <c r="E217" s="303"/>
      <c r="F217" s="302">
        <v>3.0223480814557661E-2</v>
      </c>
      <c r="G217" s="302">
        <v>0.10317399977002543</v>
      </c>
      <c r="H217" s="302">
        <f t="shared" si="68"/>
        <v>0.13339748058458309</v>
      </c>
      <c r="I217" s="303"/>
      <c r="J217" s="302">
        <v>3.4164435804789298E-2</v>
      </c>
      <c r="K217" s="302">
        <v>9.3349475875152771E-2</v>
      </c>
      <c r="L217" s="302">
        <f t="shared" si="69"/>
        <v>0.12751391167994208</v>
      </c>
      <c r="M217" s="236"/>
      <c r="N217" s="236"/>
    </row>
    <row r="218" spans="1:14" x14ac:dyDescent="0.25">
      <c r="A218" s="237" t="str">
        <f>name!E$9</f>
        <v>Caring, leisure and other service occupations</v>
      </c>
      <c r="B218" s="302">
        <v>7.5725197158118082E-2</v>
      </c>
      <c r="C218" s="302">
        <v>2.6157438679906084E-2</v>
      </c>
      <c r="D218" s="302">
        <f t="shared" si="67"/>
        <v>0.10188263583802416</v>
      </c>
      <c r="E218" s="303"/>
      <c r="F218" s="302">
        <v>7.2595727661268192E-2</v>
      </c>
      <c r="G218" s="302">
        <v>3.5667113617730582E-2</v>
      </c>
      <c r="H218" s="302">
        <f t="shared" si="68"/>
        <v>0.10826284127899877</v>
      </c>
      <c r="I218" s="303"/>
      <c r="J218" s="302">
        <v>7.391201714074988E-2</v>
      </c>
      <c r="K218" s="302">
        <v>4.2146639846184615E-2</v>
      </c>
      <c r="L218" s="302">
        <f t="shared" si="69"/>
        <v>0.11605865698693449</v>
      </c>
      <c r="M218" s="236"/>
      <c r="N218" s="236"/>
    </row>
    <row r="219" spans="1:14" x14ac:dyDescent="0.25">
      <c r="A219" s="237" t="str">
        <f>name!E$10</f>
        <v>Sales and customer service occupations</v>
      </c>
      <c r="B219" s="302">
        <v>5.0758927017071971E-2</v>
      </c>
      <c r="C219" s="302">
        <v>4.834314539908597E-2</v>
      </c>
      <c r="D219" s="302">
        <f t="shared" si="67"/>
        <v>9.9102072416157941E-2</v>
      </c>
      <c r="E219" s="303"/>
      <c r="F219" s="302">
        <v>4.9214196016385825E-2</v>
      </c>
      <c r="G219" s="302">
        <v>5.3764614176502391E-2</v>
      </c>
      <c r="H219" s="302">
        <f t="shared" si="68"/>
        <v>0.10297881019288821</v>
      </c>
      <c r="I219" s="303"/>
      <c r="J219" s="302">
        <v>4.9458998949228415E-2</v>
      </c>
      <c r="K219" s="302">
        <v>6.8522402844487837E-2</v>
      </c>
      <c r="L219" s="302">
        <f t="shared" si="69"/>
        <v>0.11798140179371625</v>
      </c>
      <c r="M219" s="236"/>
      <c r="N219" s="236"/>
    </row>
    <row r="220" spans="1:14" x14ac:dyDescent="0.25">
      <c r="A220" s="237" t="str">
        <f>name!E$11</f>
        <v>Process, plant and machine operatives</v>
      </c>
      <c r="B220" s="302">
        <v>1.198403377317912E-2</v>
      </c>
      <c r="C220" s="302">
        <v>2.5031856619956279E-2</v>
      </c>
      <c r="D220" s="302">
        <f t="shared" si="67"/>
        <v>3.7015890393135395E-2</v>
      </c>
      <c r="E220" s="303"/>
      <c r="F220" s="302">
        <v>2.4286618593666636E-2</v>
      </c>
      <c r="G220" s="302">
        <v>2.8156038118545935E-2</v>
      </c>
      <c r="H220" s="302">
        <f t="shared" si="68"/>
        <v>5.2442656712212571E-2</v>
      </c>
      <c r="I220" s="303"/>
      <c r="J220" s="302">
        <v>3.1451401164502395E-2</v>
      </c>
      <c r="K220" s="302">
        <v>2.8485903148854429E-2</v>
      </c>
      <c r="L220" s="302">
        <f t="shared" si="69"/>
        <v>5.9937304313356823E-2</v>
      </c>
      <c r="M220" s="236"/>
      <c r="N220" s="236"/>
    </row>
    <row r="221" spans="1:14" x14ac:dyDescent="0.25">
      <c r="A221" s="237" t="str">
        <f>name!E$12</f>
        <v>Elementary occupations</v>
      </c>
      <c r="B221" s="302">
        <v>0.13606608732439118</v>
      </c>
      <c r="C221" s="302">
        <v>0.11193188756802148</v>
      </c>
      <c r="D221" s="302">
        <f t="shared" si="67"/>
        <v>0.24799797489241265</v>
      </c>
      <c r="E221" s="303"/>
      <c r="F221" s="302">
        <v>0.14641202409510901</v>
      </c>
      <c r="G221" s="302">
        <v>0.10153291392121025</v>
      </c>
      <c r="H221" s="302">
        <f t="shared" si="68"/>
        <v>0.24794493801631926</v>
      </c>
      <c r="I221" s="303"/>
      <c r="J221" s="302">
        <v>0.13459457316122397</v>
      </c>
      <c r="K221" s="302">
        <v>0.12059917370636972</v>
      </c>
      <c r="L221" s="302">
        <f t="shared" si="69"/>
        <v>0.25519374686759366</v>
      </c>
      <c r="M221" s="236"/>
      <c r="N221" s="236"/>
    </row>
    <row r="222" spans="1:14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5">
      <c r="A223" s="244" t="s">
        <v>33</v>
      </c>
      <c r="B223" s="311">
        <f>SUM(B213:B221)</f>
        <v>0.66531488691809026</v>
      </c>
      <c r="C223" s="311">
        <f t="shared" ref="C223:D223" si="70">SUM(C213:C221)</f>
        <v>1.0426851130819075</v>
      </c>
      <c r="D223" s="311">
        <f t="shared" si="70"/>
        <v>1.707999999999998</v>
      </c>
      <c r="E223" s="311"/>
      <c r="F223" s="311">
        <f t="shared" ref="F223:H223" si="71">SUM(F213:F221)</f>
        <v>0.79754152614536633</v>
      </c>
      <c r="G223" s="311">
        <f t="shared" si="71"/>
        <v>1.3124584738546354</v>
      </c>
      <c r="H223" s="311">
        <f t="shared" si="71"/>
        <v>2.1100000000000017</v>
      </c>
      <c r="I223" s="311"/>
      <c r="J223" s="311">
        <f t="shared" ref="J223:L223" si="72">SUM(J213:J221)</f>
        <v>0.77898561959001156</v>
      </c>
      <c r="K223" s="311">
        <f t="shared" si="72"/>
        <v>1.327014380409987</v>
      </c>
      <c r="L223" s="311">
        <f t="shared" si="72"/>
        <v>2.1059999999999981</v>
      </c>
      <c r="M223" s="236"/>
      <c r="N223" s="236"/>
    </row>
    <row r="224" spans="1:14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ht="13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ht="13" x14ac:dyDescent="0.3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ht="13" x14ac:dyDescent="0.3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5">
      <c r="A230" s="237" t="str">
        <f>name!E$4</f>
        <v>Managers, directors and senior officials</v>
      </c>
      <c r="B230" s="302">
        <v>0.25951187637975476</v>
      </c>
      <c r="C230" s="302">
        <v>0.66082375824167006</v>
      </c>
      <c r="D230" s="302">
        <f>SUM(B230:C230)</f>
        <v>0.92033563462142487</v>
      </c>
      <c r="E230" s="303"/>
      <c r="F230" s="302">
        <v>0.29254275039831373</v>
      </c>
      <c r="G230" s="302">
        <v>0.72819199139088764</v>
      </c>
      <c r="H230" s="302">
        <f>SUM(F230:G230)</f>
        <v>1.0207347417892014</v>
      </c>
      <c r="I230" s="303"/>
      <c r="J230" s="302">
        <v>0.36080876440784559</v>
      </c>
      <c r="K230" s="302">
        <v>0.72017797739561384</v>
      </c>
      <c r="L230" s="302">
        <f>SUM(J230:K230)</f>
        <v>1.0809867418034593</v>
      </c>
      <c r="M230" s="236"/>
      <c r="N230" s="236"/>
    </row>
    <row r="231" spans="1:14" x14ac:dyDescent="0.25">
      <c r="A231" s="237" t="str">
        <f>name!E$5</f>
        <v>Professional occupations</v>
      </c>
      <c r="B231" s="302">
        <v>0.47598021465994916</v>
      </c>
      <c r="C231" s="302">
        <v>2.2499728116092119</v>
      </c>
      <c r="D231" s="302">
        <f t="shared" ref="D231:D238" si="73">SUM(B231:C231)</f>
        <v>2.7259530262691611</v>
      </c>
      <c r="E231" s="303"/>
      <c r="F231" s="302">
        <v>0.5959591905411078</v>
      </c>
      <c r="G231" s="302">
        <v>2.4827443639988287</v>
      </c>
      <c r="H231" s="302">
        <f t="shared" ref="H231:H238" si="74">SUM(F231:G231)</f>
        <v>3.0787035545399366</v>
      </c>
      <c r="I231" s="303"/>
      <c r="J231" s="302">
        <v>0.75759112005946005</v>
      </c>
      <c r="K231" s="302">
        <v>2.6662953209077513</v>
      </c>
      <c r="L231" s="302">
        <f t="shared" ref="L231:L238" si="75">SUM(J231:K231)</f>
        <v>3.4238864409672116</v>
      </c>
      <c r="M231" s="236"/>
      <c r="N231" s="236"/>
    </row>
    <row r="232" spans="1:14" x14ac:dyDescent="0.25">
      <c r="A232" s="237" t="str">
        <f>name!E$6</f>
        <v>Associate professional occupations</v>
      </c>
      <c r="B232" s="302">
        <v>0.38474186466049959</v>
      </c>
      <c r="C232" s="302">
        <v>0.81448478475150543</v>
      </c>
      <c r="D232" s="302">
        <f t="shared" si="73"/>
        <v>1.199226649412005</v>
      </c>
      <c r="E232" s="303"/>
      <c r="F232" s="302">
        <v>0.4211734339070059</v>
      </c>
      <c r="G232" s="302">
        <v>0.86539945321663347</v>
      </c>
      <c r="H232" s="302">
        <f t="shared" si="74"/>
        <v>1.2865728871236395</v>
      </c>
      <c r="I232" s="303"/>
      <c r="J232" s="302">
        <v>0.46479285392772907</v>
      </c>
      <c r="K232" s="302">
        <v>0.88461281996746377</v>
      </c>
      <c r="L232" s="302">
        <f t="shared" si="75"/>
        <v>1.3494056738951929</v>
      </c>
      <c r="M232" s="236"/>
      <c r="N232" s="236"/>
    </row>
    <row r="233" spans="1:14" x14ac:dyDescent="0.25">
      <c r="A233" s="237" t="str">
        <f>name!E$7</f>
        <v>Administrative and secretarial occupations</v>
      </c>
      <c r="B233" s="302">
        <v>0.49571876720699914</v>
      </c>
      <c r="C233" s="302">
        <v>0.19627903097952487</v>
      </c>
      <c r="D233" s="302">
        <f t="shared" si="73"/>
        <v>0.69199779818652396</v>
      </c>
      <c r="E233" s="303"/>
      <c r="F233" s="302">
        <v>0.35429201300604279</v>
      </c>
      <c r="G233" s="302">
        <v>0.20610931213959782</v>
      </c>
      <c r="H233" s="302">
        <f t="shared" si="74"/>
        <v>0.56040132514564056</v>
      </c>
      <c r="I233" s="303"/>
      <c r="J233" s="302">
        <v>0.24273024709863017</v>
      </c>
      <c r="K233" s="302">
        <v>0.21706791006669118</v>
      </c>
      <c r="L233" s="302">
        <f t="shared" si="75"/>
        <v>0.45979815716532135</v>
      </c>
      <c r="M233" s="236"/>
      <c r="N233" s="236"/>
    </row>
    <row r="234" spans="1:14" x14ac:dyDescent="0.25">
      <c r="A234" s="237" t="str">
        <f>name!E$8</f>
        <v>Skilled trades occupations</v>
      </c>
      <c r="B234" s="302">
        <v>2.5735305641544609E-2</v>
      </c>
      <c r="C234" s="302">
        <v>0.33701432218038735</v>
      </c>
      <c r="D234" s="302">
        <f t="shared" si="73"/>
        <v>0.36274962782193199</v>
      </c>
      <c r="E234" s="303"/>
      <c r="F234" s="302">
        <v>2.9470177234764382E-2</v>
      </c>
      <c r="G234" s="302">
        <v>0.31528226774948076</v>
      </c>
      <c r="H234" s="302">
        <f t="shared" si="74"/>
        <v>0.34475244498424512</v>
      </c>
      <c r="I234" s="303"/>
      <c r="J234" s="302">
        <v>5.7584259672444744E-2</v>
      </c>
      <c r="K234" s="302">
        <v>0.32121055125174691</v>
      </c>
      <c r="L234" s="302">
        <f t="shared" si="75"/>
        <v>0.37879481092419165</v>
      </c>
      <c r="M234" s="236"/>
      <c r="N234" s="236"/>
    </row>
    <row r="235" spans="1:14" x14ac:dyDescent="0.25">
      <c r="A235" s="237" t="str">
        <f>name!E$9</f>
        <v>Caring, leisure and other service occupations</v>
      </c>
      <c r="B235" s="302">
        <v>9.7577642592317243E-2</v>
      </c>
      <c r="C235" s="302">
        <v>7.3232184507044704E-2</v>
      </c>
      <c r="D235" s="302">
        <f t="shared" si="73"/>
        <v>0.17080982709936193</v>
      </c>
      <c r="E235" s="303"/>
      <c r="F235" s="302">
        <v>8.5830646097583396E-2</v>
      </c>
      <c r="G235" s="302">
        <v>7.117380813292265E-2</v>
      </c>
      <c r="H235" s="302">
        <f t="shared" si="74"/>
        <v>0.15700445423050605</v>
      </c>
      <c r="I235" s="303"/>
      <c r="J235" s="302">
        <v>0.104049677550954</v>
      </c>
      <c r="K235" s="302">
        <v>0.1043944364167034</v>
      </c>
      <c r="L235" s="302">
        <f t="shared" si="75"/>
        <v>0.20844411396765739</v>
      </c>
      <c r="M235" s="236"/>
      <c r="N235" s="236"/>
    </row>
    <row r="236" spans="1:14" x14ac:dyDescent="0.25">
      <c r="A236" s="237" t="str">
        <f>name!E$10</f>
        <v>Sales and customer service occupations</v>
      </c>
      <c r="B236" s="302">
        <v>0.1960922671978641</v>
      </c>
      <c r="C236" s="302">
        <v>0.1017671685016185</v>
      </c>
      <c r="D236" s="302">
        <f t="shared" si="73"/>
        <v>0.29785943569948259</v>
      </c>
      <c r="E236" s="303"/>
      <c r="F236" s="302">
        <v>0.15350973534261667</v>
      </c>
      <c r="G236" s="302">
        <v>0.11523784541533698</v>
      </c>
      <c r="H236" s="302">
        <f t="shared" si="74"/>
        <v>0.26874758075795363</v>
      </c>
      <c r="I236" s="303"/>
      <c r="J236" s="302">
        <v>0.16485543564744667</v>
      </c>
      <c r="K236" s="302">
        <v>0.1577060117999452</v>
      </c>
      <c r="L236" s="302">
        <f t="shared" si="75"/>
        <v>0.3225614474473919</v>
      </c>
      <c r="M236" s="236"/>
      <c r="N236" s="236"/>
    </row>
    <row r="237" spans="1:14" x14ac:dyDescent="0.25">
      <c r="A237" s="237" t="str">
        <f>name!E$11</f>
        <v>Process, plant and machine operatives</v>
      </c>
      <c r="B237" s="302">
        <v>1.2957006378903946E-2</v>
      </c>
      <c r="C237" s="302">
        <v>4.8707249215414368E-2</v>
      </c>
      <c r="D237" s="302">
        <f t="shared" si="73"/>
        <v>6.1664255594318318E-2</v>
      </c>
      <c r="E237" s="303"/>
      <c r="F237" s="302">
        <v>1.0318631445106984E-2</v>
      </c>
      <c r="G237" s="302">
        <v>6.0431243065740492E-2</v>
      </c>
      <c r="H237" s="302">
        <f t="shared" si="74"/>
        <v>7.074987451084748E-2</v>
      </c>
      <c r="I237" s="303"/>
      <c r="J237" s="302">
        <v>1.449366894146501E-2</v>
      </c>
      <c r="K237" s="302">
        <v>7.106820556207856E-2</v>
      </c>
      <c r="L237" s="302">
        <f t="shared" si="75"/>
        <v>8.5561874503543564E-2</v>
      </c>
      <c r="M237" s="236"/>
      <c r="N237" s="236"/>
    </row>
    <row r="238" spans="1:14" x14ac:dyDescent="0.25">
      <c r="A238" s="237" t="str">
        <f>name!E$12</f>
        <v>Elementary occupations</v>
      </c>
      <c r="B238" s="302">
        <v>4.2003580042621655E-2</v>
      </c>
      <c r="C238" s="302">
        <v>6.5400165253173478E-2</v>
      </c>
      <c r="D238" s="302">
        <f t="shared" si="73"/>
        <v>0.10740374529579513</v>
      </c>
      <c r="E238" s="303"/>
      <c r="F238" s="302">
        <v>2.7894814993207468E-2</v>
      </c>
      <c r="G238" s="302">
        <v>5.7438321924805746E-2</v>
      </c>
      <c r="H238" s="302">
        <f t="shared" si="74"/>
        <v>8.5333136918013211E-2</v>
      </c>
      <c r="I238" s="303"/>
      <c r="J238" s="302">
        <v>2.6493174253649426E-2</v>
      </c>
      <c r="K238" s="302">
        <v>5.4067565072381654E-2</v>
      </c>
      <c r="L238" s="302">
        <f t="shared" si="75"/>
        <v>8.0560739326031083E-2</v>
      </c>
      <c r="M238" s="236"/>
      <c r="N238" s="236"/>
    </row>
    <row r="239" spans="1:14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5">
      <c r="A240" s="244" t="s">
        <v>33</v>
      </c>
      <c r="B240" s="311">
        <f>SUM(B230:B238)</f>
        <v>1.9903185247604542</v>
      </c>
      <c r="C240" s="311">
        <f t="shared" ref="C240:D240" si="76">SUM(C230:C238)</f>
        <v>4.5476814752395507</v>
      </c>
      <c r="D240" s="311">
        <f t="shared" si="76"/>
        <v>6.5380000000000056</v>
      </c>
      <c r="E240" s="311"/>
      <c r="F240" s="311">
        <f t="shared" ref="F240:H240" si="77">SUM(F230:F238)</f>
        <v>1.9709913929657488</v>
      </c>
      <c r="G240" s="311">
        <f t="shared" si="77"/>
        <v>4.9020086070342339</v>
      </c>
      <c r="H240" s="311">
        <f t="shared" si="77"/>
        <v>6.8729999999999851</v>
      </c>
      <c r="I240" s="311"/>
      <c r="J240" s="311">
        <f t="shared" ref="J240:L240" si="78">SUM(J230:J238)</f>
        <v>2.1933992015596253</v>
      </c>
      <c r="K240" s="311">
        <f t="shared" si="78"/>
        <v>5.196600798440377</v>
      </c>
      <c r="L240" s="311">
        <f t="shared" si="78"/>
        <v>7.3900000000000015</v>
      </c>
      <c r="M240" s="236"/>
      <c r="N240" s="236"/>
    </row>
    <row r="241" spans="1:14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ht="13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ht="13" x14ac:dyDescent="0.3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ht="13" x14ac:dyDescent="0.3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5">
      <c r="A247" s="237" t="str">
        <f>name!E$4</f>
        <v>Managers, directors and senior officials</v>
      </c>
      <c r="B247" s="302">
        <v>0.44923657468432476</v>
      </c>
      <c r="C247" s="302">
        <v>0.93978008302135241</v>
      </c>
      <c r="D247" s="302">
        <f>SUM(B247:C247)</f>
        <v>1.3890166577056773</v>
      </c>
      <c r="E247" s="303"/>
      <c r="F247" s="302">
        <v>0.53605089029114006</v>
      </c>
      <c r="G247" s="302">
        <v>0.97697343747032139</v>
      </c>
      <c r="H247" s="302">
        <f>SUM(F247:G247)</f>
        <v>1.5130243277614615</v>
      </c>
      <c r="I247" s="303"/>
      <c r="J247" s="302">
        <v>0.62032974157798459</v>
      </c>
      <c r="K247" s="302">
        <v>0.89621782319198839</v>
      </c>
      <c r="L247" s="302">
        <f>SUM(J247:K247)</f>
        <v>1.5165475647699731</v>
      </c>
      <c r="M247" s="236"/>
      <c r="N247" s="236"/>
    </row>
    <row r="248" spans="1:14" x14ac:dyDescent="0.25">
      <c r="A248" s="237" t="str">
        <f>name!E$5</f>
        <v>Professional occupations</v>
      </c>
      <c r="B248" s="302">
        <v>0.58538028796586816</v>
      </c>
      <c r="C248" s="302">
        <v>1.2576820497066716</v>
      </c>
      <c r="D248" s="302">
        <f t="shared" ref="D248:D255" si="79">SUM(B248:C248)</f>
        <v>1.8430623376725399</v>
      </c>
      <c r="E248" s="303"/>
      <c r="F248" s="302">
        <v>0.76240023444406413</v>
      </c>
      <c r="G248" s="302">
        <v>1.3776920389168323</v>
      </c>
      <c r="H248" s="302">
        <f t="shared" ref="H248:H255" si="80">SUM(F248:G248)</f>
        <v>2.1400922733608967</v>
      </c>
      <c r="I248" s="303"/>
      <c r="J248" s="302">
        <v>0.95166343051116653</v>
      </c>
      <c r="K248" s="302">
        <v>1.5382057829476374</v>
      </c>
      <c r="L248" s="302">
        <f t="shared" ref="L248:L255" si="81">SUM(J248:K248)</f>
        <v>2.4898692134588041</v>
      </c>
      <c r="M248" s="236"/>
      <c r="N248" s="236"/>
    </row>
    <row r="249" spans="1:14" x14ac:dyDescent="0.25">
      <c r="A249" s="237" t="str">
        <f>name!E$6</f>
        <v>Associate professional occupations</v>
      </c>
      <c r="B249" s="302">
        <v>0.96042498527834119</v>
      </c>
      <c r="C249" s="302">
        <v>1.3697978037289287</v>
      </c>
      <c r="D249" s="302">
        <f t="shared" si="79"/>
        <v>2.3302227890072698</v>
      </c>
      <c r="E249" s="303"/>
      <c r="F249" s="302">
        <v>1.0034557518454823</v>
      </c>
      <c r="G249" s="302">
        <v>1.4286069335928653</v>
      </c>
      <c r="H249" s="302">
        <f t="shared" si="80"/>
        <v>2.4320626854383476</v>
      </c>
      <c r="I249" s="303"/>
      <c r="J249" s="302">
        <v>1.02772011901363</v>
      </c>
      <c r="K249" s="302">
        <v>1.1945644197339365</v>
      </c>
      <c r="L249" s="302">
        <f t="shared" si="81"/>
        <v>2.2222845387475667</v>
      </c>
      <c r="M249" s="236"/>
      <c r="N249" s="236"/>
    </row>
    <row r="250" spans="1:14" x14ac:dyDescent="0.25">
      <c r="A250" s="237" t="str">
        <f>name!E$7</f>
        <v>Administrative and secretarial occupations</v>
      </c>
      <c r="B250" s="302">
        <v>2.2987902635167181</v>
      </c>
      <c r="C250" s="302">
        <v>0.93040813630196484</v>
      </c>
      <c r="D250" s="302">
        <f t="shared" si="79"/>
        <v>3.2291983998186828</v>
      </c>
      <c r="E250" s="303"/>
      <c r="F250" s="302">
        <v>2.1210226950556512</v>
      </c>
      <c r="G250" s="302">
        <v>0.99584503857140649</v>
      </c>
      <c r="H250" s="302">
        <f t="shared" si="80"/>
        <v>3.1168677336270578</v>
      </c>
      <c r="I250" s="303"/>
      <c r="J250" s="302">
        <v>1.4792162083817044</v>
      </c>
      <c r="K250" s="302">
        <v>0.9372346469204873</v>
      </c>
      <c r="L250" s="302">
        <f t="shared" si="81"/>
        <v>2.4164508553021919</v>
      </c>
      <c r="M250" s="236"/>
      <c r="N250" s="236"/>
    </row>
    <row r="251" spans="1:14" x14ac:dyDescent="0.25">
      <c r="A251" s="237" t="str">
        <f>name!E$8</f>
        <v>Skilled trades occupations</v>
      </c>
      <c r="B251" s="302">
        <v>2.9958859298349638E-2</v>
      </c>
      <c r="C251" s="302">
        <v>9.6445884949634117E-2</v>
      </c>
      <c r="D251" s="302">
        <f t="shared" si="79"/>
        <v>0.12640474424798376</v>
      </c>
      <c r="E251" s="303"/>
      <c r="F251" s="302">
        <v>2.5527756355156733E-2</v>
      </c>
      <c r="G251" s="302">
        <v>7.3779217581540865E-2</v>
      </c>
      <c r="H251" s="302">
        <f t="shared" si="80"/>
        <v>9.9306973936697601E-2</v>
      </c>
      <c r="I251" s="303"/>
      <c r="J251" s="302">
        <v>3.697013295598349E-2</v>
      </c>
      <c r="K251" s="302">
        <v>6.128015412725097E-2</v>
      </c>
      <c r="L251" s="302">
        <f t="shared" si="81"/>
        <v>9.8250287083234467E-2</v>
      </c>
      <c r="M251" s="236"/>
      <c r="N251" s="236"/>
    </row>
    <row r="252" spans="1:14" x14ac:dyDescent="0.25">
      <c r="A252" s="237" t="str">
        <f>name!E$9</f>
        <v>Caring, leisure and other service occupations</v>
      </c>
      <c r="B252" s="302">
        <v>6.5923470267063924E-2</v>
      </c>
      <c r="C252" s="302">
        <v>3.2442817584089463E-2</v>
      </c>
      <c r="D252" s="302">
        <f t="shared" si="79"/>
        <v>9.8366287851153394E-2</v>
      </c>
      <c r="E252" s="303"/>
      <c r="F252" s="302">
        <v>4.7606587551256171E-2</v>
      </c>
      <c r="G252" s="302">
        <v>3.6501521604315669E-2</v>
      </c>
      <c r="H252" s="302">
        <f t="shared" si="80"/>
        <v>8.4108109155571847E-2</v>
      </c>
      <c r="I252" s="303"/>
      <c r="J252" s="302">
        <v>5.7968756305910252E-2</v>
      </c>
      <c r="K252" s="302">
        <v>4.6841049479528447E-2</v>
      </c>
      <c r="L252" s="302">
        <f t="shared" si="81"/>
        <v>0.10480980578543869</v>
      </c>
      <c r="M252" s="236"/>
      <c r="N252" s="236"/>
    </row>
    <row r="253" spans="1:14" x14ac:dyDescent="0.25">
      <c r="A253" s="237" t="str">
        <f>name!E$10</f>
        <v>Sales and customer service occupations</v>
      </c>
      <c r="B253" s="302">
        <v>0.61550612215626654</v>
      </c>
      <c r="C253" s="302">
        <v>0.33979699242008943</v>
      </c>
      <c r="D253" s="302">
        <f t="shared" si="79"/>
        <v>0.95530311457635597</v>
      </c>
      <c r="E253" s="303"/>
      <c r="F253" s="302">
        <v>0.53587917930602447</v>
      </c>
      <c r="G253" s="302">
        <v>0.33086432772531521</v>
      </c>
      <c r="H253" s="302">
        <f t="shared" si="80"/>
        <v>0.86674350703133962</v>
      </c>
      <c r="I253" s="303"/>
      <c r="J253" s="302">
        <v>0.58482971257368144</v>
      </c>
      <c r="K253" s="302">
        <v>0.40226442426682602</v>
      </c>
      <c r="L253" s="302">
        <f t="shared" si="81"/>
        <v>0.98709413684050751</v>
      </c>
      <c r="M253" s="236"/>
      <c r="N253" s="236"/>
    </row>
    <row r="254" spans="1:14" x14ac:dyDescent="0.25">
      <c r="A254" s="237" t="str">
        <f>name!E$11</f>
        <v>Process, plant and machine operatives</v>
      </c>
      <c r="B254" s="302">
        <v>1.3298137877930419E-2</v>
      </c>
      <c r="C254" s="302">
        <v>5.7984000243045418E-2</v>
      </c>
      <c r="D254" s="302">
        <f t="shared" si="79"/>
        <v>7.1282138120975835E-2</v>
      </c>
      <c r="E254" s="303"/>
      <c r="F254" s="302">
        <v>8.8120671518773369E-3</v>
      </c>
      <c r="G254" s="302">
        <v>6.7587581007506448E-2</v>
      </c>
      <c r="H254" s="302">
        <f t="shared" si="80"/>
        <v>7.6399648159383785E-2</v>
      </c>
      <c r="I254" s="303"/>
      <c r="J254" s="302">
        <v>1.3915223004116255E-2</v>
      </c>
      <c r="K254" s="302">
        <v>9.7115905767728453E-2</v>
      </c>
      <c r="L254" s="302">
        <f t="shared" si="81"/>
        <v>0.11103112877184471</v>
      </c>
      <c r="M254" s="236"/>
      <c r="N254" s="236"/>
    </row>
    <row r="255" spans="1:14" x14ac:dyDescent="0.25">
      <c r="A255" s="237" t="str">
        <f>name!E$12</f>
        <v>Elementary occupations</v>
      </c>
      <c r="B255" s="302">
        <v>9.9643459185369918E-2</v>
      </c>
      <c r="C255" s="302">
        <v>7.6500071814021936E-2</v>
      </c>
      <c r="D255" s="302">
        <f t="shared" si="79"/>
        <v>0.17614353099939184</v>
      </c>
      <c r="E255" s="303"/>
      <c r="F255" s="302">
        <v>4.8437544357197576E-2</v>
      </c>
      <c r="G255" s="302">
        <v>6.3957197172056376E-2</v>
      </c>
      <c r="H255" s="302">
        <f t="shared" si="80"/>
        <v>0.11239474152925395</v>
      </c>
      <c r="I255" s="303"/>
      <c r="J255" s="302">
        <v>4.9224163863393754E-2</v>
      </c>
      <c r="K255" s="302">
        <v>5.8438305377044489E-2</v>
      </c>
      <c r="L255" s="302">
        <f t="shared" si="81"/>
        <v>0.10766246924043824</v>
      </c>
      <c r="M255" s="236"/>
      <c r="N255" s="236"/>
    </row>
    <row r="256" spans="1:14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5">
      <c r="A257" s="244" t="s">
        <v>33</v>
      </c>
      <c r="B257" s="311">
        <f>SUM(B247:B255)</f>
        <v>5.1181621602302325</v>
      </c>
      <c r="C257" s="311">
        <f t="shared" ref="C257:D257" si="82">SUM(C247:C255)</f>
        <v>5.100837839769798</v>
      </c>
      <c r="D257" s="311">
        <f t="shared" si="82"/>
        <v>10.21900000000003</v>
      </c>
      <c r="E257" s="311"/>
      <c r="F257" s="311">
        <f t="shared" ref="F257:H257" si="83">SUM(F247:F255)</f>
        <v>5.089192706357851</v>
      </c>
      <c r="G257" s="311">
        <f t="shared" si="83"/>
        <v>5.3518072936421612</v>
      </c>
      <c r="H257" s="311">
        <f t="shared" si="83"/>
        <v>10.44100000000001</v>
      </c>
      <c r="I257" s="311"/>
      <c r="J257" s="311">
        <f t="shared" ref="J257:L257" si="84">SUM(J247:J255)</f>
        <v>4.8218374881875707</v>
      </c>
      <c r="K257" s="311">
        <f t="shared" si="84"/>
        <v>5.2321625118124286</v>
      </c>
      <c r="L257" s="311">
        <f t="shared" si="84"/>
        <v>10.053999999999998</v>
      </c>
      <c r="M257" s="236"/>
      <c r="N257" s="236"/>
    </row>
    <row r="258" spans="1:14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ht="13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ht="13" x14ac:dyDescent="0.3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ht="13" x14ac:dyDescent="0.3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5">
      <c r="A264" s="237" t="str">
        <f>name!E$4</f>
        <v>Managers, directors and senior officials</v>
      </c>
      <c r="B264" s="302">
        <v>0.42877600162331725</v>
      </c>
      <c r="C264" s="302">
        <v>0.624468100071363</v>
      </c>
      <c r="D264" s="302">
        <f>SUM(B264:C264)</f>
        <v>1.0532441016946803</v>
      </c>
      <c r="E264" s="303"/>
      <c r="F264" s="302">
        <v>0.55657748100062021</v>
      </c>
      <c r="G264" s="302">
        <v>1.1043621491285298</v>
      </c>
      <c r="H264" s="302">
        <f>SUM(F264:G264)</f>
        <v>1.6609396301291501</v>
      </c>
      <c r="I264" s="303"/>
      <c r="J264" s="302">
        <v>0.73123611374274278</v>
      </c>
      <c r="K264" s="302">
        <v>1.3357406737769002</v>
      </c>
      <c r="L264" s="302">
        <f>SUM(J264:K264)</f>
        <v>2.0669767875196428</v>
      </c>
      <c r="M264" s="236"/>
      <c r="N264" s="236"/>
    </row>
    <row r="265" spans="1:14" x14ac:dyDescent="0.25">
      <c r="A265" s="237" t="str">
        <f>name!E$5</f>
        <v>Professional occupations</v>
      </c>
      <c r="B265" s="302">
        <v>0.56235235681876661</v>
      </c>
      <c r="C265" s="302">
        <v>0.53117653873774773</v>
      </c>
      <c r="D265" s="302">
        <f t="shared" ref="D265:D272" si="85">SUM(B265:C265)</f>
        <v>1.0935288955565143</v>
      </c>
      <c r="E265" s="303"/>
      <c r="F265" s="302">
        <v>0.76393756112659339</v>
      </c>
      <c r="G265" s="302">
        <v>0.99909630816216377</v>
      </c>
      <c r="H265" s="302">
        <f t="shared" ref="H265:H272" si="86">SUM(F265:G265)</f>
        <v>1.763033869288757</v>
      </c>
      <c r="I265" s="303"/>
      <c r="J265" s="302">
        <v>0.98612993250803549</v>
      </c>
      <c r="K265" s="302">
        <v>1.2355120787482099</v>
      </c>
      <c r="L265" s="302">
        <f t="shared" ref="L265:L272" si="87">SUM(J265:K265)</f>
        <v>2.2216420112562454</v>
      </c>
      <c r="M265" s="236"/>
      <c r="N265" s="236"/>
    </row>
    <row r="266" spans="1:14" x14ac:dyDescent="0.25">
      <c r="A266" s="237" t="str">
        <f>name!E$6</f>
        <v>Associate professional occupations</v>
      </c>
      <c r="B266" s="302">
        <v>0.57800049830466971</v>
      </c>
      <c r="C266" s="302">
        <v>0.57482117159379553</v>
      </c>
      <c r="D266" s="302">
        <f t="shared" si="85"/>
        <v>1.1528216698984652</v>
      </c>
      <c r="E266" s="303"/>
      <c r="F266" s="302">
        <v>0.7421977762259081</v>
      </c>
      <c r="G266" s="302">
        <v>1.0011261608348536</v>
      </c>
      <c r="H266" s="302">
        <f t="shared" si="86"/>
        <v>1.7433239370607616</v>
      </c>
      <c r="I266" s="303"/>
      <c r="J266" s="302">
        <v>0.90876355700172662</v>
      </c>
      <c r="K266" s="302">
        <v>0.96855696382584511</v>
      </c>
      <c r="L266" s="302">
        <f t="shared" si="87"/>
        <v>1.8773205208275718</v>
      </c>
      <c r="M266" s="236"/>
      <c r="N266" s="236"/>
    </row>
    <row r="267" spans="1:14" x14ac:dyDescent="0.25">
      <c r="A267" s="237" t="str">
        <f>name!E$7</f>
        <v>Administrative and secretarial occupations</v>
      </c>
      <c r="B267" s="302">
        <v>1.5679943109614087</v>
      </c>
      <c r="C267" s="302">
        <v>0.25334283927184514</v>
      </c>
      <c r="D267" s="302">
        <f t="shared" si="85"/>
        <v>1.8213371502332538</v>
      </c>
      <c r="E267" s="303"/>
      <c r="F267" s="302">
        <v>1.6884904085725847</v>
      </c>
      <c r="G267" s="302">
        <v>0.42667705959455748</v>
      </c>
      <c r="H267" s="302">
        <f t="shared" si="86"/>
        <v>2.115167468167142</v>
      </c>
      <c r="I267" s="303"/>
      <c r="J267" s="302">
        <v>1.332596719486977</v>
      </c>
      <c r="K267" s="302">
        <v>0.4372374126065281</v>
      </c>
      <c r="L267" s="302">
        <f t="shared" si="87"/>
        <v>1.7698341320935052</v>
      </c>
      <c r="M267" s="236"/>
      <c r="N267" s="236"/>
    </row>
    <row r="268" spans="1:14" x14ac:dyDescent="0.25">
      <c r="A268" s="237" t="str">
        <f>name!E$8</f>
        <v>Skilled trades occupations</v>
      </c>
      <c r="B268" s="302">
        <v>7.0368075238595881E-2</v>
      </c>
      <c r="C268" s="302">
        <v>0.40327044272805124</v>
      </c>
      <c r="D268" s="302">
        <f t="shared" si="85"/>
        <v>0.47363851796664713</v>
      </c>
      <c r="E268" s="303"/>
      <c r="F268" s="302">
        <v>0.10484997230678846</v>
      </c>
      <c r="G268" s="302">
        <v>0.37411844851167614</v>
      </c>
      <c r="H268" s="302">
        <f t="shared" si="86"/>
        <v>0.47896842081846458</v>
      </c>
      <c r="I268" s="303"/>
      <c r="J268" s="302">
        <v>0.19554508033731985</v>
      </c>
      <c r="K268" s="302">
        <v>0.41004041860426715</v>
      </c>
      <c r="L268" s="302">
        <f t="shared" si="87"/>
        <v>0.60558549894158697</v>
      </c>
      <c r="M268" s="236"/>
      <c r="N268" s="236"/>
    </row>
    <row r="269" spans="1:14" x14ac:dyDescent="0.25">
      <c r="A269" s="237" t="str">
        <f>name!E$9</f>
        <v>Caring, leisure and other service occupations</v>
      </c>
      <c r="B269" s="302">
        <v>0.19783120943814858</v>
      </c>
      <c r="C269" s="302">
        <v>9.9578445175285593E-2</v>
      </c>
      <c r="D269" s="302">
        <f t="shared" si="85"/>
        <v>0.29740965461343416</v>
      </c>
      <c r="E269" s="303"/>
      <c r="F269" s="302">
        <v>0.20631810419653279</v>
      </c>
      <c r="G269" s="302">
        <v>0.15330243008542296</v>
      </c>
      <c r="H269" s="302">
        <f t="shared" si="86"/>
        <v>0.35962053428195573</v>
      </c>
      <c r="I269" s="303"/>
      <c r="J269" s="302">
        <v>0.26555574558787909</v>
      </c>
      <c r="K269" s="302">
        <v>0.19989232035487395</v>
      </c>
      <c r="L269" s="302">
        <f t="shared" si="87"/>
        <v>0.46544806594275301</v>
      </c>
      <c r="M269" s="236"/>
      <c r="N269" s="236"/>
    </row>
    <row r="270" spans="1:14" x14ac:dyDescent="0.25">
      <c r="A270" s="237" t="str">
        <f>name!E$10</f>
        <v>Sales and customer service occupations</v>
      </c>
      <c r="B270" s="302">
        <v>0.74240838647093277</v>
      </c>
      <c r="C270" s="302">
        <v>0.40593960718906852</v>
      </c>
      <c r="D270" s="302">
        <f t="shared" si="85"/>
        <v>1.1483479936600012</v>
      </c>
      <c r="E270" s="303"/>
      <c r="F270" s="302">
        <v>0.73081432953570069</v>
      </c>
      <c r="G270" s="302">
        <v>0.62649269455708367</v>
      </c>
      <c r="H270" s="302">
        <f t="shared" si="86"/>
        <v>1.3573070240927843</v>
      </c>
      <c r="I270" s="303"/>
      <c r="J270" s="302">
        <v>0.80664375787430753</v>
      </c>
      <c r="K270" s="302">
        <v>0.61619303485332411</v>
      </c>
      <c r="L270" s="302">
        <f t="shared" si="87"/>
        <v>1.4228367927276317</v>
      </c>
      <c r="M270" s="236"/>
      <c r="N270" s="236"/>
    </row>
    <row r="271" spans="1:14" x14ac:dyDescent="0.25">
      <c r="A271" s="237" t="str">
        <f>name!E$11</f>
        <v>Process, plant and machine operatives</v>
      </c>
      <c r="B271" s="302">
        <v>1.1781144088614443E-2</v>
      </c>
      <c r="C271" s="302">
        <v>9.0899896975963915E-2</v>
      </c>
      <c r="D271" s="302">
        <f t="shared" si="85"/>
        <v>0.10268104106457836</v>
      </c>
      <c r="E271" s="303"/>
      <c r="F271" s="302">
        <v>1.2962818583707656E-2</v>
      </c>
      <c r="G271" s="302">
        <v>0.11751321324378287</v>
      </c>
      <c r="H271" s="302">
        <f t="shared" si="86"/>
        <v>0.13047603182749054</v>
      </c>
      <c r="I271" s="303"/>
      <c r="J271" s="302">
        <v>2.6406925242514867E-2</v>
      </c>
      <c r="K271" s="302">
        <v>0.11677300662585245</v>
      </c>
      <c r="L271" s="302">
        <f t="shared" si="87"/>
        <v>0.14317993186836731</v>
      </c>
      <c r="M271" s="236"/>
      <c r="N271" s="236"/>
    </row>
    <row r="272" spans="1:14" x14ac:dyDescent="0.25">
      <c r="A272" s="237" t="str">
        <f>name!E$12</f>
        <v>Elementary occupations</v>
      </c>
      <c r="B272" s="302">
        <v>0.42129215053483826</v>
      </c>
      <c r="C272" s="302">
        <v>0.15869882477758784</v>
      </c>
      <c r="D272" s="302">
        <f t="shared" si="85"/>
        <v>0.57999097531242616</v>
      </c>
      <c r="E272" s="303"/>
      <c r="F272" s="302">
        <v>0.44186413817366949</v>
      </c>
      <c r="G272" s="302">
        <v>0.18929894615982959</v>
      </c>
      <c r="H272" s="302">
        <f t="shared" si="86"/>
        <v>0.6311630843334991</v>
      </c>
      <c r="I272" s="303"/>
      <c r="J272" s="302">
        <v>0.46787546620810716</v>
      </c>
      <c r="K272" s="302">
        <v>0.1973007926145833</v>
      </c>
      <c r="L272" s="302">
        <f t="shared" si="87"/>
        <v>0.66517625882269049</v>
      </c>
      <c r="M272" s="236"/>
      <c r="N272" s="236"/>
    </row>
    <row r="273" spans="1:14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5">
      <c r="A274" s="244" t="s">
        <v>33</v>
      </c>
      <c r="B274" s="311">
        <f>SUM(B264:B272)</f>
        <v>4.5808041334792922</v>
      </c>
      <c r="C274" s="311">
        <f t="shared" ref="C274:D274" si="88">SUM(C264:C272)</f>
        <v>3.1421958665207086</v>
      </c>
      <c r="D274" s="311">
        <f t="shared" si="88"/>
        <v>7.7229999999999999</v>
      </c>
      <c r="E274" s="311"/>
      <c r="F274" s="311">
        <f t="shared" ref="F274:H274" si="89">SUM(F264:F272)</f>
        <v>5.248012589722105</v>
      </c>
      <c r="G274" s="311">
        <f t="shared" si="89"/>
        <v>4.9919874102779005</v>
      </c>
      <c r="H274" s="311">
        <f t="shared" si="89"/>
        <v>10.240000000000006</v>
      </c>
      <c r="I274" s="311"/>
      <c r="J274" s="311">
        <f t="shared" ref="J274:L274" si="90">SUM(J264:J272)</f>
        <v>5.720753297989611</v>
      </c>
      <c r="K274" s="311">
        <f t="shared" si="90"/>
        <v>5.5172467020103841</v>
      </c>
      <c r="L274" s="311">
        <f t="shared" si="90"/>
        <v>11.237999999999994</v>
      </c>
      <c r="M274" s="236"/>
      <c r="N274" s="236"/>
    </row>
    <row r="275" spans="1:14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ht="13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ht="13" x14ac:dyDescent="0.3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ht="13" x14ac:dyDescent="0.3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5">
      <c r="A281" s="237" t="str">
        <f>name!E$4</f>
        <v>Managers, directors and senior officials</v>
      </c>
      <c r="B281" s="302">
        <v>1.0299649047342934</v>
      </c>
      <c r="C281" s="302">
        <v>2.1063453493078748</v>
      </c>
      <c r="D281" s="302">
        <f>SUM(B281:C281)</f>
        <v>3.1363102540421681</v>
      </c>
      <c r="E281" s="303"/>
      <c r="F281" s="302">
        <v>0.90797052347271689</v>
      </c>
      <c r="G281" s="302">
        <v>2.0066066739125392</v>
      </c>
      <c r="H281" s="302">
        <f>SUM(F281:G281)</f>
        <v>2.9145771973852561</v>
      </c>
      <c r="I281" s="303"/>
      <c r="J281" s="302">
        <v>1.1578385223500345</v>
      </c>
      <c r="K281" s="302">
        <v>2.1140057301470034</v>
      </c>
      <c r="L281" s="302">
        <f>SUM(J281:K281)</f>
        <v>3.2718442524970381</v>
      </c>
      <c r="M281" s="236"/>
      <c r="N281" s="236"/>
    </row>
    <row r="282" spans="1:14" x14ac:dyDescent="0.25">
      <c r="A282" s="237" t="str">
        <f>name!E$5</f>
        <v>Professional occupations</v>
      </c>
      <c r="B282" s="302">
        <v>2.6403089277187801</v>
      </c>
      <c r="C282" s="302">
        <v>6.3965284852682682</v>
      </c>
      <c r="D282" s="302">
        <f t="shared" ref="D282:D289" si="91">SUM(B282:C282)</f>
        <v>9.0368374129870475</v>
      </c>
      <c r="E282" s="303"/>
      <c r="F282" s="302">
        <v>2.4546010153244993</v>
      </c>
      <c r="G282" s="302">
        <v>6.8269314829402319</v>
      </c>
      <c r="H282" s="302">
        <f t="shared" ref="H282:H289" si="92">SUM(F282:G282)</f>
        <v>9.2815324982647311</v>
      </c>
      <c r="I282" s="303"/>
      <c r="J282" s="302">
        <v>3.3581993502745782</v>
      </c>
      <c r="K282" s="302">
        <v>7.4431224173271504</v>
      </c>
      <c r="L282" s="302">
        <f t="shared" ref="L282:L289" si="93">SUM(J282:K282)</f>
        <v>10.801321767601728</v>
      </c>
      <c r="M282" s="236"/>
      <c r="N282" s="236"/>
    </row>
    <row r="283" spans="1:14" x14ac:dyDescent="0.25">
      <c r="A283" s="237" t="str">
        <f>name!E$6</f>
        <v>Associate professional occupations</v>
      </c>
      <c r="B283" s="302">
        <v>2.0890630432616315</v>
      </c>
      <c r="C283" s="302">
        <v>3.1369668354053846</v>
      </c>
      <c r="D283" s="302">
        <f t="shared" si="91"/>
        <v>5.2260298786670161</v>
      </c>
      <c r="E283" s="303"/>
      <c r="F283" s="302">
        <v>1.5956731932330961</v>
      </c>
      <c r="G283" s="302">
        <v>3.0161039433058865</v>
      </c>
      <c r="H283" s="302">
        <f t="shared" si="92"/>
        <v>4.6117771365389828</v>
      </c>
      <c r="I283" s="303"/>
      <c r="J283" s="302">
        <v>1.9958701313727014</v>
      </c>
      <c r="K283" s="302">
        <v>2.8532357673961561</v>
      </c>
      <c r="L283" s="302">
        <f t="shared" si="93"/>
        <v>4.8491058987688573</v>
      </c>
      <c r="M283" s="236"/>
      <c r="N283" s="236"/>
    </row>
    <row r="284" spans="1:14" x14ac:dyDescent="0.25">
      <c r="A284" s="237" t="str">
        <f>name!E$7</f>
        <v>Administrative and secretarial occupations</v>
      </c>
      <c r="B284" s="302">
        <v>5.0091240686682683</v>
      </c>
      <c r="C284" s="302">
        <v>2.0249624509665853</v>
      </c>
      <c r="D284" s="302">
        <f t="shared" si="91"/>
        <v>7.0340865196348537</v>
      </c>
      <c r="E284" s="303"/>
      <c r="F284" s="302">
        <v>3.331598350412686</v>
      </c>
      <c r="G284" s="302">
        <v>1.6829766997415805</v>
      </c>
      <c r="H284" s="302">
        <f t="shared" si="92"/>
        <v>5.0145750501542663</v>
      </c>
      <c r="I284" s="303"/>
      <c r="J284" s="302">
        <v>2.5872945182553466</v>
      </c>
      <c r="K284" s="302">
        <v>2.0210615115441595</v>
      </c>
      <c r="L284" s="302">
        <f t="shared" si="93"/>
        <v>4.6083560297995056</v>
      </c>
      <c r="M284" s="236"/>
      <c r="N284" s="236"/>
    </row>
    <row r="285" spans="1:14" x14ac:dyDescent="0.25">
      <c r="A285" s="237" t="str">
        <f>name!E$8</f>
        <v>Skilled trades occupations</v>
      </c>
      <c r="B285" s="302">
        <v>0.10517966651811608</v>
      </c>
      <c r="C285" s="302">
        <v>0.54794645687254406</v>
      </c>
      <c r="D285" s="302">
        <f t="shared" si="91"/>
        <v>0.65312612339066012</v>
      </c>
      <c r="E285" s="303"/>
      <c r="F285" s="302">
        <v>7.2421514191394629E-2</v>
      </c>
      <c r="G285" s="302">
        <v>0.35784760703228141</v>
      </c>
      <c r="H285" s="302">
        <f t="shared" si="92"/>
        <v>0.43026912122367605</v>
      </c>
      <c r="I285" s="303"/>
      <c r="J285" s="302">
        <v>0.13848139125817621</v>
      </c>
      <c r="K285" s="302">
        <v>0.2871600423969547</v>
      </c>
      <c r="L285" s="302">
        <f t="shared" si="93"/>
        <v>0.42564143365513091</v>
      </c>
      <c r="M285" s="236"/>
      <c r="N285" s="236"/>
    </row>
    <row r="286" spans="1:14" x14ac:dyDescent="0.25">
      <c r="A286" s="237" t="str">
        <f>name!E$9</f>
        <v>Caring, leisure and other service occupations</v>
      </c>
      <c r="B286" s="302">
        <v>0.35597955583792457</v>
      </c>
      <c r="C286" s="302">
        <v>0.12537992471217146</v>
      </c>
      <c r="D286" s="302">
        <f t="shared" si="91"/>
        <v>0.48135948055009603</v>
      </c>
      <c r="E286" s="303"/>
      <c r="F286" s="302">
        <v>0.33688837860331616</v>
      </c>
      <c r="G286" s="302">
        <v>0.12937642180960027</v>
      </c>
      <c r="H286" s="302">
        <f t="shared" si="92"/>
        <v>0.4662648004129164</v>
      </c>
      <c r="I286" s="303"/>
      <c r="J286" s="302">
        <v>0.440881459430286</v>
      </c>
      <c r="K286" s="302">
        <v>0.20160349518579188</v>
      </c>
      <c r="L286" s="302">
        <f t="shared" si="93"/>
        <v>0.64248495461607791</v>
      </c>
      <c r="M286" s="236"/>
      <c r="N286" s="236"/>
    </row>
    <row r="287" spans="1:14" x14ac:dyDescent="0.25">
      <c r="A287" s="237" t="str">
        <f>name!E$10</f>
        <v>Sales and customer service occupations</v>
      </c>
      <c r="B287" s="302">
        <v>0.83410458920759079</v>
      </c>
      <c r="C287" s="302">
        <v>0.62011773118299718</v>
      </c>
      <c r="D287" s="302">
        <f t="shared" si="91"/>
        <v>1.454222320390588</v>
      </c>
      <c r="E287" s="303"/>
      <c r="F287" s="302">
        <v>0.53267424171274957</v>
      </c>
      <c r="G287" s="302">
        <v>0.46453030690062014</v>
      </c>
      <c r="H287" s="302">
        <f t="shared" si="92"/>
        <v>0.99720454861336971</v>
      </c>
      <c r="I287" s="303"/>
      <c r="J287" s="302">
        <v>0.60809334166339613</v>
      </c>
      <c r="K287" s="302">
        <v>0.59642975258756703</v>
      </c>
      <c r="L287" s="302">
        <f t="shared" si="93"/>
        <v>1.204523094250963</v>
      </c>
      <c r="M287" s="236"/>
      <c r="N287" s="236"/>
    </row>
    <row r="288" spans="1:14" x14ac:dyDescent="0.25">
      <c r="A288" s="237" t="str">
        <f>name!E$11</f>
        <v>Process, plant and machine operatives</v>
      </c>
      <c r="B288" s="302">
        <v>4.6874833260913434E-2</v>
      </c>
      <c r="C288" s="302">
        <v>0.31561779310299631</v>
      </c>
      <c r="D288" s="302">
        <f t="shared" si="91"/>
        <v>0.36249262636390978</v>
      </c>
      <c r="E288" s="303"/>
      <c r="F288" s="302">
        <v>2.6452690837262271E-2</v>
      </c>
      <c r="G288" s="302">
        <v>0.21919831751474136</v>
      </c>
      <c r="H288" s="302">
        <f t="shared" si="92"/>
        <v>0.24565100835200362</v>
      </c>
      <c r="I288" s="303"/>
      <c r="J288" s="302">
        <v>3.9801121107847434E-2</v>
      </c>
      <c r="K288" s="302">
        <v>0.21690055278096704</v>
      </c>
      <c r="L288" s="302">
        <f t="shared" si="93"/>
        <v>0.25670167388881449</v>
      </c>
      <c r="M288" s="236"/>
      <c r="N288" s="236"/>
    </row>
    <row r="289" spans="1:14" x14ac:dyDescent="0.25">
      <c r="A289" s="237" t="str">
        <f>name!E$12</f>
        <v>Elementary occupations</v>
      </c>
      <c r="B289" s="302">
        <v>0.71641523552553443</v>
      </c>
      <c r="C289" s="302">
        <v>0.49112014844811491</v>
      </c>
      <c r="D289" s="302">
        <f t="shared" si="91"/>
        <v>1.2075353839736493</v>
      </c>
      <c r="E289" s="303"/>
      <c r="F289" s="302">
        <v>0.4020692036743716</v>
      </c>
      <c r="G289" s="302">
        <v>0.36507943538044385</v>
      </c>
      <c r="H289" s="302">
        <f t="shared" si="92"/>
        <v>0.76714863905481545</v>
      </c>
      <c r="I289" s="303"/>
      <c r="J289" s="302">
        <v>0.43967795150805539</v>
      </c>
      <c r="K289" s="302">
        <v>0.39334294341382692</v>
      </c>
      <c r="L289" s="302">
        <f t="shared" si="93"/>
        <v>0.83302089492188225</v>
      </c>
      <c r="M289" s="236"/>
      <c r="N289" s="236"/>
    </row>
    <row r="290" spans="1:14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5">
      <c r="A291" s="244" t="s">
        <v>33</v>
      </c>
      <c r="B291" s="311">
        <f>SUM(B281:B289)</f>
        <v>12.827014824733054</v>
      </c>
      <c r="C291" s="311">
        <f t="shared" ref="C291:D291" si="94">SUM(C281:C289)</f>
        <v>15.764985175266938</v>
      </c>
      <c r="D291" s="311">
        <f t="shared" si="94"/>
        <v>28.591999999999992</v>
      </c>
      <c r="E291" s="311"/>
      <c r="F291" s="311">
        <f t="shared" ref="F291:H291" si="95">SUM(F281:F289)</f>
        <v>9.660349111462093</v>
      </c>
      <c r="G291" s="311">
        <f t="shared" si="95"/>
        <v>15.068650888537926</v>
      </c>
      <c r="H291" s="311">
        <f t="shared" si="95"/>
        <v>24.729000000000017</v>
      </c>
      <c r="I291" s="311"/>
      <c r="J291" s="311">
        <f t="shared" ref="J291:L291" si="96">SUM(J281:J289)</f>
        <v>10.766137787220424</v>
      </c>
      <c r="K291" s="311">
        <f t="shared" si="96"/>
        <v>16.126862212779578</v>
      </c>
      <c r="L291" s="311">
        <f t="shared" si="96"/>
        <v>26.892999999999994</v>
      </c>
      <c r="M291" s="236"/>
      <c r="N291" s="236"/>
    </row>
    <row r="292" spans="1:14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ht="13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ht="13" x14ac:dyDescent="0.3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ht="13" x14ac:dyDescent="0.3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5">
      <c r="A298" s="237" t="str">
        <f>name!E$4</f>
        <v>Managers, directors and senior officials</v>
      </c>
      <c r="B298" s="302">
        <v>0.89992048448444006</v>
      </c>
      <c r="C298" s="302">
        <v>1.9692828968543832</v>
      </c>
      <c r="D298" s="302">
        <f>SUM(B298:C298)</f>
        <v>2.8692033813388234</v>
      </c>
      <c r="E298" s="303"/>
      <c r="F298" s="302">
        <v>0.94247301118939186</v>
      </c>
      <c r="G298" s="302">
        <v>1.7245473924117465</v>
      </c>
      <c r="H298" s="302">
        <f>SUM(F298:G298)</f>
        <v>2.6670204036011382</v>
      </c>
      <c r="I298" s="303"/>
      <c r="J298" s="302">
        <v>1.2465063470273716</v>
      </c>
      <c r="K298" s="302">
        <v>1.8362464382142112</v>
      </c>
      <c r="L298" s="302">
        <f>SUM(J298:K298)</f>
        <v>3.082752785241583</v>
      </c>
      <c r="M298" s="236"/>
      <c r="N298" s="236"/>
    </row>
    <row r="299" spans="1:14" x14ac:dyDescent="0.25">
      <c r="A299" s="237" t="str">
        <f>name!E$5</f>
        <v>Professional occupations</v>
      </c>
      <c r="B299" s="302">
        <v>1.4208844537907777</v>
      </c>
      <c r="C299" s="302">
        <v>2.147412245102204</v>
      </c>
      <c r="D299" s="302">
        <f t="shared" ref="D299:D306" si="97">SUM(B299:C299)</f>
        <v>3.5682966988929818</v>
      </c>
      <c r="E299" s="303"/>
      <c r="F299" s="302">
        <v>1.5618528893283357</v>
      </c>
      <c r="G299" s="302">
        <v>2.1128472849177062</v>
      </c>
      <c r="H299" s="302">
        <f t="shared" ref="H299:H306" si="98">SUM(F299:G299)</f>
        <v>3.6747001742460421</v>
      </c>
      <c r="I299" s="303"/>
      <c r="J299" s="302">
        <v>2.067926316080027</v>
      </c>
      <c r="K299" s="302">
        <v>2.6568782000303335</v>
      </c>
      <c r="L299" s="302">
        <f t="shared" ref="L299:L306" si="99">SUM(J299:K299)</f>
        <v>4.7248045161103605</v>
      </c>
      <c r="M299" s="236"/>
      <c r="N299" s="236"/>
    </row>
    <row r="300" spans="1:14" x14ac:dyDescent="0.25">
      <c r="A300" s="237" t="str">
        <f>name!E$6</f>
        <v>Associate professional occupations</v>
      </c>
      <c r="B300" s="302">
        <v>1.7183446758145047</v>
      </c>
      <c r="C300" s="302">
        <v>3.5300052776183364</v>
      </c>
      <c r="D300" s="302">
        <f t="shared" si="97"/>
        <v>5.2483499534328413</v>
      </c>
      <c r="E300" s="303"/>
      <c r="F300" s="302">
        <v>1.7487067252701318</v>
      </c>
      <c r="G300" s="302">
        <v>2.9944730045236403</v>
      </c>
      <c r="H300" s="302">
        <f t="shared" si="98"/>
        <v>4.7431797297937717</v>
      </c>
      <c r="I300" s="303"/>
      <c r="J300" s="302">
        <v>2.0985831426967745</v>
      </c>
      <c r="K300" s="302">
        <v>2.8958274209842094</v>
      </c>
      <c r="L300" s="302">
        <f t="shared" si="99"/>
        <v>4.9944105636809839</v>
      </c>
      <c r="M300" s="236"/>
      <c r="N300" s="236"/>
    </row>
    <row r="301" spans="1:14" x14ac:dyDescent="0.25">
      <c r="A301" s="237" t="str">
        <f>name!E$7</f>
        <v>Administrative and secretarial occupations</v>
      </c>
      <c r="B301" s="302">
        <v>3.8377046875262439</v>
      </c>
      <c r="C301" s="302">
        <v>2.2919862922195637</v>
      </c>
      <c r="D301" s="302">
        <f t="shared" si="97"/>
        <v>6.1296909797458081</v>
      </c>
      <c r="E301" s="303"/>
      <c r="F301" s="302">
        <v>3.0833767914847696</v>
      </c>
      <c r="G301" s="302">
        <v>2.0240969144895993</v>
      </c>
      <c r="H301" s="302">
        <f t="shared" si="98"/>
        <v>5.1074737059743693</v>
      </c>
      <c r="I301" s="303"/>
      <c r="J301" s="302">
        <v>2.6346051031848665</v>
      </c>
      <c r="K301" s="302">
        <v>2.2672886798193503</v>
      </c>
      <c r="L301" s="302">
        <f t="shared" si="99"/>
        <v>4.9018937830042173</v>
      </c>
      <c r="M301" s="236"/>
      <c r="N301" s="236"/>
    </row>
    <row r="302" spans="1:14" x14ac:dyDescent="0.25">
      <c r="A302" s="237" t="str">
        <f>name!E$8</f>
        <v>Skilled trades occupations</v>
      </c>
      <c r="B302" s="302">
        <v>0.16126904807716713</v>
      </c>
      <c r="C302" s="302">
        <v>1.0233234018658497</v>
      </c>
      <c r="D302" s="302">
        <f t="shared" si="97"/>
        <v>1.1845924499430169</v>
      </c>
      <c r="E302" s="303"/>
      <c r="F302" s="302">
        <v>0.14362561579626923</v>
      </c>
      <c r="G302" s="302">
        <v>0.50549633264454441</v>
      </c>
      <c r="H302" s="302">
        <f t="shared" si="98"/>
        <v>0.64912194844081361</v>
      </c>
      <c r="I302" s="303"/>
      <c r="J302" s="302">
        <v>0.21866011142977529</v>
      </c>
      <c r="K302" s="302">
        <v>0.43300187721132788</v>
      </c>
      <c r="L302" s="302">
        <f t="shared" si="99"/>
        <v>0.65166198864110314</v>
      </c>
      <c r="M302" s="236"/>
      <c r="N302" s="236"/>
    </row>
    <row r="303" spans="1:14" x14ac:dyDescent="0.25">
      <c r="A303" s="237" t="str">
        <f>name!E$9</f>
        <v>Caring, leisure and other service occupations</v>
      </c>
      <c r="B303" s="302">
        <v>2.2605135150365143</v>
      </c>
      <c r="C303" s="302">
        <v>0.85028554460275829</v>
      </c>
      <c r="D303" s="302">
        <f t="shared" si="97"/>
        <v>3.1107990596392727</v>
      </c>
      <c r="E303" s="303"/>
      <c r="F303" s="302">
        <v>1.8820233872752388</v>
      </c>
      <c r="G303" s="302">
        <v>0.68532370601421722</v>
      </c>
      <c r="H303" s="302">
        <f t="shared" si="98"/>
        <v>2.567347093289456</v>
      </c>
      <c r="I303" s="303"/>
      <c r="J303" s="302">
        <v>2.3394106904984722</v>
      </c>
      <c r="K303" s="302">
        <v>0.85043650629410505</v>
      </c>
      <c r="L303" s="302">
        <f t="shared" si="99"/>
        <v>3.1898471967925772</v>
      </c>
      <c r="M303" s="236"/>
      <c r="N303" s="236"/>
    </row>
    <row r="304" spans="1:14" x14ac:dyDescent="0.25">
      <c r="A304" s="237" t="str">
        <f>name!E$10</f>
        <v>Sales and customer service occupations</v>
      </c>
      <c r="B304" s="302">
        <v>1.3632771948755793</v>
      </c>
      <c r="C304" s="302">
        <v>2.8337291514906049</v>
      </c>
      <c r="D304" s="302">
        <f t="shared" si="97"/>
        <v>4.1970063463661837</v>
      </c>
      <c r="E304" s="303"/>
      <c r="F304" s="302">
        <v>1.1582639784619828</v>
      </c>
      <c r="G304" s="302">
        <v>2.0655291841630192</v>
      </c>
      <c r="H304" s="302">
        <f t="shared" si="98"/>
        <v>3.223793162625002</v>
      </c>
      <c r="I304" s="303"/>
      <c r="J304" s="302">
        <v>1.7251251544590134</v>
      </c>
      <c r="K304" s="302">
        <v>2.5959238822142727</v>
      </c>
      <c r="L304" s="302">
        <f t="shared" si="99"/>
        <v>4.3210490366732861</v>
      </c>
      <c r="M304" s="236"/>
      <c r="N304" s="236"/>
    </row>
    <row r="305" spans="1:14" x14ac:dyDescent="0.25">
      <c r="A305" s="237" t="str">
        <f>name!E$11</f>
        <v>Process, plant and machine operatives</v>
      </c>
      <c r="B305" s="302">
        <v>0.12555493614022842</v>
      </c>
      <c r="C305" s="302">
        <v>1.8466738412224386</v>
      </c>
      <c r="D305" s="302">
        <f t="shared" si="97"/>
        <v>1.972228777362667</v>
      </c>
      <c r="E305" s="303"/>
      <c r="F305" s="302">
        <v>8.8278817280130581E-2</v>
      </c>
      <c r="G305" s="302">
        <v>1.1828822693623553</v>
      </c>
      <c r="H305" s="302">
        <f t="shared" si="98"/>
        <v>1.2711610866424858</v>
      </c>
      <c r="I305" s="303"/>
      <c r="J305" s="302">
        <v>0.11589253849499762</v>
      </c>
      <c r="K305" s="302">
        <v>1.1636474117503626</v>
      </c>
      <c r="L305" s="302">
        <f t="shared" si="99"/>
        <v>1.2795399502453602</v>
      </c>
      <c r="M305" s="236"/>
      <c r="N305" s="236"/>
    </row>
    <row r="306" spans="1:14" x14ac:dyDescent="0.25">
      <c r="A306" s="237" t="str">
        <f>name!E$12</f>
        <v>Elementary occupations</v>
      </c>
      <c r="B306" s="302">
        <v>4.3596848919943501</v>
      </c>
      <c r="C306" s="302">
        <v>7.6011474612840706</v>
      </c>
      <c r="D306" s="302">
        <f t="shared" si="97"/>
        <v>11.96083235327842</v>
      </c>
      <c r="E306" s="303"/>
      <c r="F306" s="302">
        <v>3.3323062818660243</v>
      </c>
      <c r="G306" s="302">
        <v>4.9318964135208292</v>
      </c>
      <c r="H306" s="302">
        <f t="shared" si="98"/>
        <v>8.264202695386853</v>
      </c>
      <c r="I306" s="303"/>
      <c r="J306" s="302">
        <v>3.0069943082902633</v>
      </c>
      <c r="K306" s="302">
        <v>5.5300458713202456</v>
      </c>
      <c r="L306" s="302">
        <f t="shared" si="99"/>
        <v>8.5370401796105089</v>
      </c>
      <c r="M306" s="236"/>
      <c r="N306" s="236"/>
    </row>
    <row r="307" spans="1:14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5">
      <c r="A308" s="244" t="s">
        <v>33</v>
      </c>
      <c r="B308" s="311">
        <f>SUM(B298:B306)</f>
        <v>16.147153887739805</v>
      </c>
      <c r="C308" s="311">
        <f t="shared" ref="C308:D308" si="100">SUM(C298:C306)</f>
        <v>24.093846112260213</v>
      </c>
      <c r="D308" s="311">
        <f t="shared" si="100"/>
        <v>40.241000000000014</v>
      </c>
      <c r="E308" s="311"/>
      <c r="F308" s="311">
        <f t="shared" ref="F308:H308" si="101">SUM(F298:F306)</f>
        <v>13.940907497952276</v>
      </c>
      <c r="G308" s="311">
        <f t="shared" si="101"/>
        <v>18.227092502047658</v>
      </c>
      <c r="H308" s="311">
        <f t="shared" si="101"/>
        <v>32.167999999999935</v>
      </c>
      <c r="I308" s="311"/>
      <c r="J308" s="311">
        <f t="shared" ref="J308:L308" si="102">SUM(J298:J306)</f>
        <v>15.453703712161561</v>
      </c>
      <c r="K308" s="311">
        <f t="shared" si="102"/>
        <v>20.229296287838419</v>
      </c>
      <c r="L308" s="311">
        <f t="shared" si="102"/>
        <v>35.682999999999986</v>
      </c>
      <c r="M308" s="236"/>
      <c r="N308" s="236"/>
    </row>
    <row r="309" spans="1:14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ht="13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ht="13" x14ac:dyDescent="0.3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ht="13" x14ac:dyDescent="0.3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5">
      <c r="A315" s="237" t="str">
        <f>name!E$4</f>
        <v>Managers, directors and senior officials</v>
      </c>
      <c r="B315" s="302">
        <v>0.44210457366924244</v>
      </c>
      <c r="C315" s="302">
        <v>0.68961589333463758</v>
      </c>
      <c r="D315" s="302">
        <f>SUM(B315:C315)</f>
        <v>1.1317204670038801</v>
      </c>
      <c r="E315" s="303"/>
      <c r="F315" s="302">
        <v>0.50984367127278418</v>
      </c>
      <c r="G315" s="302">
        <v>0.6226666457619987</v>
      </c>
      <c r="H315" s="302">
        <f>SUM(F315:G315)</f>
        <v>1.1325103170347828</v>
      </c>
      <c r="I315" s="303"/>
      <c r="J315" s="302">
        <v>0.62048915882108757</v>
      </c>
      <c r="K315" s="302">
        <v>0.62673100732044762</v>
      </c>
      <c r="L315" s="302">
        <f>SUM(J315:K315)</f>
        <v>1.2472201661415352</v>
      </c>
      <c r="M315" s="236"/>
      <c r="N315" s="236"/>
    </row>
    <row r="316" spans="1:14" x14ac:dyDescent="0.25">
      <c r="A316" s="237" t="str">
        <f>name!E$5</f>
        <v>Professional occupations</v>
      </c>
      <c r="B316" s="302">
        <v>1.7388897296823829</v>
      </c>
      <c r="C316" s="302">
        <v>1.071666590222218</v>
      </c>
      <c r="D316" s="302">
        <f t="shared" ref="D316:D323" si="103">SUM(B316:C316)</f>
        <v>2.8105563199046006</v>
      </c>
      <c r="E316" s="303"/>
      <c r="F316" s="302">
        <v>1.9978544706600436</v>
      </c>
      <c r="G316" s="302">
        <v>1.1303866194875707</v>
      </c>
      <c r="H316" s="302">
        <f t="shared" ref="H316:H323" si="104">SUM(F316:G316)</f>
        <v>3.1282410901476143</v>
      </c>
      <c r="I316" s="303"/>
      <c r="J316" s="302">
        <v>2.4775964968459183</v>
      </c>
      <c r="K316" s="302">
        <v>1.3383095021792633</v>
      </c>
      <c r="L316" s="302">
        <f t="shared" ref="L316:L323" si="105">SUM(J316:K316)</f>
        <v>3.8159059990251816</v>
      </c>
      <c r="M316" s="236"/>
      <c r="N316" s="236"/>
    </row>
    <row r="317" spans="1:14" x14ac:dyDescent="0.25">
      <c r="A317" s="237" t="str">
        <f>name!E$6</f>
        <v>Associate professional occupations</v>
      </c>
      <c r="B317" s="302">
        <v>1.969124299855713</v>
      </c>
      <c r="C317" s="302">
        <v>2.5261989590467575</v>
      </c>
      <c r="D317" s="302">
        <f t="shared" si="103"/>
        <v>4.4953232589024701</v>
      </c>
      <c r="E317" s="303"/>
      <c r="F317" s="302">
        <v>2.1574713744100849</v>
      </c>
      <c r="G317" s="302">
        <v>2.4829181539564642</v>
      </c>
      <c r="H317" s="302">
        <f t="shared" si="104"/>
        <v>4.6403895283665495</v>
      </c>
      <c r="I317" s="303"/>
      <c r="J317" s="302">
        <v>2.9852977982244502</v>
      </c>
      <c r="K317" s="302">
        <v>2.5515912369623615</v>
      </c>
      <c r="L317" s="302">
        <f t="shared" si="105"/>
        <v>5.5368890351868121</v>
      </c>
      <c r="M317" s="236"/>
      <c r="N317" s="236"/>
    </row>
    <row r="318" spans="1:14" x14ac:dyDescent="0.25">
      <c r="A318" s="237" t="str">
        <f>name!E$7</f>
        <v>Administrative and secretarial occupations</v>
      </c>
      <c r="B318" s="302">
        <v>3.926911587005224</v>
      </c>
      <c r="C318" s="302">
        <v>1.232738949578297</v>
      </c>
      <c r="D318" s="302">
        <f t="shared" si="103"/>
        <v>5.1596505365835208</v>
      </c>
      <c r="E318" s="303"/>
      <c r="F318" s="302">
        <v>3.370771716613068</v>
      </c>
      <c r="G318" s="302">
        <v>1.1826852051086743</v>
      </c>
      <c r="H318" s="302">
        <f t="shared" si="104"/>
        <v>4.5534569217217422</v>
      </c>
      <c r="I318" s="303"/>
      <c r="J318" s="302">
        <v>2.4469660661416301</v>
      </c>
      <c r="K318" s="302">
        <v>1.1402567560444055</v>
      </c>
      <c r="L318" s="302">
        <f t="shared" si="105"/>
        <v>3.5872228221860354</v>
      </c>
      <c r="M318" s="236"/>
      <c r="N318" s="236"/>
    </row>
    <row r="319" spans="1:14" x14ac:dyDescent="0.25">
      <c r="A319" s="237" t="str">
        <f>name!E$8</f>
        <v>Skilled trades occupations</v>
      </c>
      <c r="B319" s="302">
        <v>3.4678818757377591E-2</v>
      </c>
      <c r="C319" s="302">
        <v>0.34694311915696141</v>
      </c>
      <c r="D319" s="302">
        <f t="shared" si="103"/>
        <v>0.38162193791433902</v>
      </c>
      <c r="E319" s="303"/>
      <c r="F319" s="302">
        <v>3.3836318875863775E-2</v>
      </c>
      <c r="G319" s="302">
        <v>0.15675056893634157</v>
      </c>
      <c r="H319" s="302">
        <f t="shared" si="104"/>
        <v>0.19058688781220534</v>
      </c>
      <c r="I319" s="303"/>
      <c r="J319" s="302">
        <v>7.9213713716187212E-2</v>
      </c>
      <c r="K319" s="302">
        <v>0.13888360065890493</v>
      </c>
      <c r="L319" s="302">
        <f t="shared" si="105"/>
        <v>0.21809731437509214</v>
      </c>
      <c r="M319" s="236"/>
      <c r="N319" s="236"/>
    </row>
    <row r="320" spans="1:14" x14ac:dyDescent="0.25">
      <c r="A320" s="237" t="str">
        <f>name!E$9</f>
        <v>Caring, leisure and other service occupations</v>
      </c>
      <c r="B320" s="302">
        <v>0.64037897549282041</v>
      </c>
      <c r="C320" s="302">
        <v>0.15611981819883811</v>
      </c>
      <c r="D320" s="302">
        <f t="shared" si="103"/>
        <v>0.79649879369165855</v>
      </c>
      <c r="E320" s="303"/>
      <c r="F320" s="302">
        <v>0.56382242096945157</v>
      </c>
      <c r="G320" s="302">
        <v>0.13087364544823971</v>
      </c>
      <c r="H320" s="302">
        <f t="shared" si="104"/>
        <v>0.69469606641769133</v>
      </c>
      <c r="I320" s="303"/>
      <c r="J320" s="302">
        <v>0.65572267738626966</v>
      </c>
      <c r="K320" s="302">
        <v>0.13611110798078913</v>
      </c>
      <c r="L320" s="302">
        <f t="shared" si="105"/>
        <v>0.79183378536705873</v>
      </c>
      <c r="M320" s="236"/>
      <c r="N320" s="236"/>
    </row>
    <row r="321" spans="1:14" x14ac:dyDescent="0.25">
      <c r="A321" s="237" t="str">
        <f>name!E$10</f>
        <v>Sales and customer service occupations</v>
      </c>
      <c r="B321" s="302">
        <v>0.32543262273896351</v>
      </c>
      <c r="C321" s="302">
        <v>0.14190946169166091</v>
      </c>
      <c r="D321" s="302">
        <f t="shared" si="103"/>
        <v>0.46734208443062442</v>
      </c>
      <c r="E321" s="303"/>
      <c r="F321" s="302">
        <v>0.30196841434999622</v>
      </c>
      <c r="G321" s="302">
        <v>0.11063730171211937</v>
      </c>
      <c r="H321" s="302">
        <f t="shared" si="104"/>
        <v>0.4126057160621156</v>
      </c>
      <c r="I321" s="303"/>
      <c r="J321" s="302">
        <v>0.37542173246844612</v>
      </c>
      <c r="K321" s="302">
        <v>0.15394966544459288</v>
      </c>
      <c r="L321" s="302">
        <f t="shared" si="105"/>
        <v>0.529371397913039</v>
      </c>
      <c r="M321" s="236"/>
      <c r="N321" s="236"/>
    </row>
    <row r="322" spans="1:14" x14ac:dyDescent="0.25">
      <c r="A322" s="237" t="str">
        <f>name!E$11</f>
        <v>Process, plant and machine operatives</v>
      </c>
      <c r="B322" s="302">
        <v>2.2432627611353961E-2</v>
      </c>
      <c r="C322" s="302">
        <v>0.23554072919154345</v>
      </c>
      <c r="D322" s="302">
        <f t="shared" si="103"/>
        <v>0.2579733568028974</v>
      </c>
      <c r="E322" s="303"/>
      <c r="F322" s="302">
        <v>1.4103155033306636E-2</v>
      </c>
      <c r="G322" s="302">
        <v>0.1596149655362607</v>
      </c>
      <c r="H322" s="302">
        <f t="shared" si="104"/>
        <v>0.17371812056956734</v>
      </c>
      <c r="I322" s="303"/>
      <c r="J322" s="302">
        <v>2.4175832141158166E-2</v>
      </c>
      <c r="K322" s="302">
        <v>0.17411407272783846</v>
      </c>
      <c r="L322" s="302">
        <f t="shared" si="105"/>
        <v>0.19828990486899664</v>
      </c>
      <c r="M322" s="236"/>
      <c r="N322" s="236"/>
    </row>
    <row r="323" spans="1:14" x14ac:dyDescent="0.25">
      <c r="A323" s="237" t="str">
        <f>name!E$12</f>
        <v>Elementary occupations</v>
      </c>
      <c r="B323" s="302">
        <v>0.2677804769583213</v>
      </c>
      <c r="C323" s="302">
        <v>0.23453276780767129</v>
      </c>
      <c r="D323" s="302">
        <f t="shared" si="103"/>
        <v>0.50231324476599259</v>
      </c>
      <c r="E323" s="303"/>
      <c r="F323" s="302">
        <v>0.19340358199869581</v>
      </c>
      <c r="G323" s="302">
        <v>0.16139176986902054</v>
      </c>
      <c r="H323" s="302">
        <f t="shared" si="104"/>
        <v>0.35479535186771638</v>
      </c>
      <c r="I323" s="303"/>
      <c r="J323" s="302">
        <v>0.17712663938707096</v>
      </c>
      <c r="K323" s="302">
        <v>0.12304293554919829</v>
      </c>
      <c r="L323" s="302">
        <f t="shared" si="105"/>
        <v>0.30016957493626928</v>
      </c>
      <c r="M323" s="236"/>
      <c r="N323" s="236"/>
    </row>
    <row r="324" spans="1:14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5">
      <c r="A325" s="244" t="s">
        <v>33</v>
      </c>
      <c r="B325" s="311">
        <f>SUM(B315:B323)</f>
        <v>9.3677337117714004</v>
      </c>
      <c r="C325" s="311">
        <f t="shared" ref="C325:D325" si="106">SUM(C315:C323)</f>
        <v>6.6352662882285856</v>
      </c>
      <c r="D325" s="311">
        <f t="shared" si="106"/>
        <v>16.002999999999986</v>
      </c>
      <c r="E325" s="311"/>
      <c r="F325" s="311">
        <f t="shared" ref="F325:H325" si="107">SUM(F315:F323)</f>
        <v>9.1430751241832962</v>
      </c>
      <c r="G325" s="311">
        <f t="shared" si="107"/>
        <v>6.1379248758166893</v>
      </c>
      <c r="H325" s="311">
        <f t="shared" si="107"/>
        <v>15.280999999999985</v>
      </c>
      <c r="I325" s="311"/>
      <c r="J325" s="311">
        <f t="shared" ref="J325:L325" si="108">SUM(J315:J323)</f>
        <v>9.8420101151322168</v>
      </c>
      <c r="K325" s="311">
        <f t="shared" si="108"/>
        <v>6.3829898848678015</v>
      </c>
      <c r="L325" s="311">
        <f t="shared" si="108"/>
        <v>16.225000000000019</v>
      </c>
      <c r="M325" s="236"/>
      <c r="N325" s="236"/>
    </row>
    <row r="326" spans="1:14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ht="13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ht="13" x14ac:dyDescent="0.3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ht="13" x14ac:dyDescent="0.3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5">
      <c r="A332" s="237" t="str">
        <f>name!E$4</f>
        <v>Managers, directors and senior officials</v>
      </c>
      <c r="B332" s="302">
        <v>0.44101729828285557</v>
      </c>
      <c r="C332" s="302">
        <v>0.61926542835079157</v>
      </c>
      <c r="D332" s="302">
        <f>SUM(B332:C332)</f>
        <v>1.0602827266336472</v>
      </c>
      <c r="E332" s="303"/>
      <c r="F332" s="302">
        <v>0.53819416411554688</v>
      </c>
      <c r="G332" s="302">
        <v>0.6336276229671709</v>
      </c>
      <c r="H332" s="302">
        <f>SUM(F332:G332)</f>
        <v>1.1718217870827177</v>
      </c>
      <c r="I332" s="303"/>
      <c r="J332" s="302">
        <v>0.63475729922176971</v>
      </c>
      <c r="K332" s="302">
        <v>0.66600645533961345</v>
      </c>
      <c r="L332" s="302">
        <f>SUM(J332:K332)</f>
        <v>1.300763754561383</v>
      </c>
      <c r="M332" s="236"/>
      <c r="N332" s="236"/>
    </row>
    <row r="333" spans="1:14" x14ac:dyDescent="0.25">
      <c r="A333" s="237" t="str">
        <f>name!E$5</f>
        <v>Professional occupations</v>
      </c>
      <c r="B333" s="302">
        <v>12.392114094579538</v>
      </c>
      <c r="C333" s="302">
        <v>7.357067270702724</v>
      </c>
      <c r="D333" s="302">
        <f t="shared" ref="D333:D340" si="109">SUM(B333:C333)</f>
        <v>19.749181365282261</v>
      </c>
      <c r="E333" s="303"/>
      <c r="F333" s="302">
        <v>14.134149006807148</v>
      </c>
      <c r="G333" s="302">
        <v>7.9323742885916255</v>
      </c>
      <c r="H333" s="302">
        <f t="shared" ref="H333:H340" si="110">SUM(F333:G333)</f>
        <v>22.066523295398774</v>
      </c>
      <c r="I333" s="303"/>
      <c r="J333" s="302">
        <v>17.383076485253216</v>
      </c>
      <c r="K333" s="302">
        <v>9.1623158406853999</v>
      </c>
      <c r="L333" s="302">
        <f t="shared" ref="L333:L340" si="111">SUM(J333:K333)</f>
        <v>26.545392325938614</v>
      </c>
      <c r="M333" s="236"/>
      <c r="N333" s="236"/>
    </row>
    <row r="334" spans="1:14" x14ac:dyDescent="0.25">
      <c r="A334" s="237" t="str">
        <f>name!E$6</f>
        <v>Associate professional occupations</v>
      </c>
      <c r="B334" s="302">
        <v>2.0177730638832791</v>
      </c>
      <c r="C334" s="302">
        <v>1.7162091592083348</v>
      </c>
      <c r="D334" s="302">
        <f t="shared" si="109"/>
        <v>3.7339822230916138</v>
      </c>
      <c r="E334" s="303"/>
      <c r="F334" s="302">
        <v>2.2172092269424777</v>
      </c>
      <c r="G334" s="302">
        <v>1.7426670223054892</v>
      </c>
      <c r="H334" s="302">
        <f t="shared" si="110"/>
        <v>3.9598762492479667</v>
      </c>
      <c r="I334" s="303"/>
      <c r="J334" s="302">
        <v>2.4847660071935289</v>
      </c>
      <c r="K334" s="302">
        <v>1.4562247150253944</v>
      </c>
      <c r="L334" s="302">
        <f t="shared" si="111"/>
        <v>3.9409907222189231</v>
      </c>
      <c r="M334" s="236"/>
      <c r="N334" s="236"/>
    </row>
    <row r="335" spans="1:14" x14ac:dyDescent="0.25">
      <c r="A335" s="237" t="str">
        <f>name!E$7</f>
        <v>Administrative and secretarial occupations</v>
      </c>
      <c r="B335" s="302">
        <v>2.8021817250514984</v>
      </c>
      <c r="C335" s="302">
        <v>0.4814906666588325</v>
      </c>
      <c r="D335" s="302">
        <f t="shared" si="109"/>
        <v>3.283672391710331</v>
      </c>
      <c r="E335" s="303"/>
      <c r="F335" s="302">
        <v>2.4320566882462633</v>
      </c>
      <c r="G335" s="302">
        <v>0.39912624539391872</v>
      </c>
      <c r="H335" s="302">
        <f t="shared" si="110"/>
        <v>2.8311829336401821</v>
      </c>
      <c r="I335" s="303"/>
      <c r="J335" s="302">
        <v>1.1608981813474879</v>
      </c>
      <c r="K335" s="302">
        <v>0.37161556419681147</v>
      </c>
      <c r="L335" s="302">
        <f t="shared" si="111"/>
        <v>1.5325137455442994</v>
      </c>
      <c r="M335" s="236"/>
      <c r="N335" s="236"/>
    </row>
    <row r="336" spans="1:14" x14ac:dyDescent="0.25">
      <c r="A336" s="237" t="str">
        <f>name!E$8</f>
        <v>Skilled trades occupations</v>
      </c>
      <c r="B336" s="302">
        <v>0.37416218505982279</v>
      </c>
      <c r="C336" s="302">
        <v>0.47346960884044004</v>
      </c>
      <c r="D336" s="302">
        <f t="shared" si="109"/>
        <v>0.84763179390026289</v>
      </c>
      <c r="E336" s="303"/>
      <c r="F336" s="302">
        <v>0.30280794197994165</v>
      </c>
      <c r="G336" s="302">
        <v>0.31430064756595072</v>
      </c>
      <c r="H336" s="302">
        <f t="shared" si="110"/>
        <v>0.61710858954589232</v>
      </c>
      <c r="I336" s="303"/>
      <c r="J336" s="302">
        <v>0.28579049517992489</v>
      </c>
      <c r="K336" s="302">
        <v>0.22250893448431047</v>
      </c>
      <c r="L336" s="302">
        <f t="shared" si="111"/>
        <v>0.50829942966423536</v>
      </c>
      <c r="M336" s="236"/>
      <c r="N336" s="236"/>
    </row>
    <row r="337" spans="1:14" x14ac:dyDescent="0.25">
      <c r="A337" s="237" t="str">
        <f>name!E$9</f>
        <v>Caring, leisure and other service occupations</v>
      </c>
      <c r="B337" s="302">
        <v>11.460341584465461</v>
      </c>
      <c r="C337" s="302">
        <v>0.97559450153234539</v>
      </c>
      <c r="D337" s="302">
        <f t="shared" si="109"/>
        <v>12.435936085997806</v>
      </c>
      <c r="E337" s="303"/>
      <c r="F337" s="302">
        <v>10.629373013757402</v>
      </c>
      <c r="G337" s="302">
        <v>0.84529100949121316</v>
      </c>
      <c r="H337" s="302">
        <f t="shared" si="110"/>
        <v>11.474664023248614</v>
      </c>
      <c r="I337" s="303"/>
      <c r="J337" s="302">
        <v>12.708789078781122</v>
      </c>
      <c r="K337" s="302">
        <v>0.98426122288563855</v>
      </c>
      <c r="L337" s="302">
        <f t="shared" si="111"/>
        <v>13.69305030166676</v>
      </c>
      <c r="M337" s="236"/>
      <c r="N337" s="236"/>
    </row>
    <row r="338" spans="1:14" x14ac:dyDescent="0.25">
      <c r="A338" s="237" t="str">
        <f>name!E$10</f>
        <v>Sales and customer service occupations</v>
      </c>
      <c r="B338" s="302">
        <v>0.22435526667043057</v>
      </c>
      <c r="C338" s="302">
        <v>7.8168872378705623E-2</v>
      </c>
      <c r="D338" s="302">
        <f t="shared" si="109"/>
        <v>0.30252413904913622</v>
      </c>
      <c r="E338" s="303"/>
      <c r="F338" s="302">
        <v>0.19451395930760101</v>
      </c>
      <c r="G338" s="302">
        <v>6.2048819242763495E-2</v>
      </c>
      <c r="H338" s="302">
        <f t="shared" si="110"/>
        <v>0.25656277855036452</v>
      </c>
      <c r="I338" s="303"/>
      <c r="J338" s="302">
        <v>0.20828521002235043</v>
      </c>
      <c r="K338" s="302">
        <v>7.1854804668710595E-2</v>
      </c>
      <c r="L338" s="302">
        <f t="shared" si="111"/>
        <v>0.28014001469106103</v>
      </c>
      <c r="M338" s="236"/>
      <c r="N338" s="236"/>
    </row>
    <row r="339" spans="1:14" x14ac:dyDescent="0.25">
      <c r="A339" s="237" t="str">
        <f>name!E$11</f>
        <v>Process, plant and machine operatives</v>
      </c>
      <c r="B339" s="302">
        <v>0.15042598700755172</v>
      </c>
      <c r="C339" s="302">
        <v>0.64161777339427239</v>
      </c>
      <c r="D339" s="302">
        <f t="shared" si="109"/>
        <v>0.79204376040182412</v>
      </c>
      <c r="E339" s="303"/>
      <c r="F339" s="302">
        <v>0.16753602254747973</v>
      </c>
      <c r="G339" s="302">
        <v>0.61143331382325949</v>
      </c>
      <c r="H339" s="302">
        <f t="shared" si="110"/>
        <v>0.77896933637073928</v>
      </c>
      <c r="I339" s="303"/>
      <c r="J339" s="302">
        <v>0.20578156564574412</v>
      </c>
      <c r="K339" s="302">
        <v>0.71114092807728591</v>
      </c>
      <c r="L339" s="302">
        <f t="shared" si="111"/>
        <v>0.91692249372303003</v>
      </c>
      <c r="M339" s="236"/>
      <c r="N339" s="236"/>
    </row>
    <row r="340" spans="1:14" x14ac:dyDescent="0.25">
      <c r="A340" s="237" t="str">
        <f>name!E$12</f>
        <v>Elementary occupations</v>
      </c>
      <c r="B340" s="302">
        <v>2.3457742918881088</v>
      </c>
      <c r="C340" s="302">
        <v>0.2589712220450941</v>
      </c>
      <c r="D340" s="302">
        <f t="shared" si="109"/>
        <v>2.604745513933203</v>
      </c>
      <c r="E340" s="303"/>
      <c r="F340" s="302">
        <v>1.7513303745321642</v>
      </c>
      <c r="G340" s="302">
        <v>0.15496063238258992</v>
      </c>
      <c r="H340" s="302">
        <f t="shared" si="110"/>
        <v>1.9062910069147541</v>
      </c>
      <c r="I340" s="303"/>
      <c r="J340" s="302">
        <v>0.35760424147519276</v>
      </c>
      <c r="K340" s="302">
        <v>8.8322970516392013E-2</v>
      </c>
      <c r="L340" s="302">
        <f t="shared" si="111"/>
        <v>0.4459272119915848</v>
      </c>
      <c r="M340" s="236"/>
      <c r="N340" s="236"/>
    </row>
    <row r="341" spans="1:14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5">
      <c r="A342" s="244" t="s">
        <v>33</v>
      </c>
      <c r="B342" s="311">
        <f>SUM(B332:B340)</f>
        <v>32.208145496888548</v>
      </c>
      <c r="C342" s="311">
        <f t="shared" ref="C342:D342" si="112">SUM(C332:C340)</f>
        <v>12.601854503111543</v>
      </c>
      <c r="D342" s="311">
        <f t="shared" si="112"/>
        <v>44.810000000000088</v>
      </c>
      <c r="E342" s="311"/>
      <c r="F342" s="311">
        <f t="shared" ref="F342:H342" si="113">SUM(F332:F340)</f>
        <v>32.367170398236027</v>
      </c>
      <c r="G342" s="311">
        <f t="shared" si="113"/>
        <v>12.695829601763981</v>
      </c>
      <c r="H342" s="311">
        <f t="shared" si="113"/>
        <v>45.063000000000017</v>
      </c>
      <c r="I342" s="311"/>
      <c r="J342" s="311">
        <f t="shared" ref="J342:L342" si="114">SUM(J332:J340)</f>
        <v>35.429748564120338</v>
      </c>
      <c r="K342" s="311">
        <f t="shared" si="114"/>
        <v>13.734251435879559</v>
      </c>
      <c r="L342" s="311">
        <f t="shared" si="114"/>
        <v>49.163999999999895</v>
      </c>
      <c r="M342" s="236"/>
      <c r="N342" s="236"/>
    </row>
    <row r="343" spans="1:14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ht="13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ht="13" x14ac:dyDescent="0.3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ht="13" x14ac:dyDescent="0.3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5">
      <c r="A349" s="237" t="str">
        <f>name!E$4</f>
        <v>Managers, directors and senior officials</v>
      </c>
      <c r="B349" s="302">
        <v>1.4490498800660381</v>
      </c>
      <c r="C349" s="302">
        <v>0.96350057647318321</v>
      </c>
      <c r="D349" s="302">
        <f>SUM(B349:C349)</f>
        <v>2.4125504565392211</v>
      </c>
      <c r="E349" s="303"/>
      <c r="F349" s="302">
        <v>2.0013726822636992</v>
      </c>
      <c r="G349" s="302">
        <v>1.2405907179639075</v>
      </c>
      <c r="H349" s="302">
        <f>SUM(F349:G349)</f>
        <v>3.2419634002276068</v>
      </c>
      <c r="I349" s="303"/>
      <c r="J349" s="302">
        <v>2.6523151910399001</v>
      </c>
      <c r="K349" s="302">
        <v>1.3147599415726476</v>
      </c>
      <c r="L349" s="302">
        <f>SUM(J349:K349)</f>
        <v>3.967075132612548</v>
      </c>
      <c r="M349" s="236"/>
      <c r="N349" s="236"/>
    </row>
    <row r="350" spans="1:14" x14ac:dyDescent="0.25">
      <c r="A350" s="237" t="str">
        <f>name!E$5</f>
        <v>Professional occupations</v>
      </c>
      <c r="B350" s="302">
        <v>14.051839803206589</v>
      </c>
      <c r="C350" s="302">
        <v>4.6732826121631241</v>
      </c>
      <c r="D350" s="302">
        <f t="shared" ref="D350:D357" si="115">SUM(B350:C350)</f>
        <v>18.725122415369711</v>
      </c>
      <c r="E350" s="303"/>
      <c r="F350" s="302">
        <v>18.101374735755048</v>
      </c>
      <c r="G350" s="302">
        <v>6.3190365528057999</v>
      </c>
      <c r="H350" s="302">
        <f t="shared" ref="H350:H357" si="116">SUM(F350:G350)</f>
        <v>24.42041128856085</v>
      </c>
      <c r="I350" s="303"/>
      <c r="J350" s="302">
        <v>23.216577955478908</v>
      </c>
      <c r="K350" s="302">
        <v>7.1673160490557599</v>
      </c>
      <c r="L350" s="302">
        <f t="shared" ref="L350:L357" si="117">SUM(J350:K350)</f>
        <v>30.383894004534667</v>
      </c>
      <c r="M350" s="236"/>
      <c r="N350" s="236"/>
    </row>
    <row r="351" spans="1:14" x14ac:dyDescent="0.25">
      <c r="A351" s="237" t="str">
        <f>name!E$6</f>
        <v>Associate professional occupations</v>
      </c>
      <c r="B351" s="302">
        <v>6.106624410311241</v>
      </c>
      <c r="C351" s="302">
        <v>2.3878279931946302</v>
      </c>
      <c r="D351" s="302">
        <f t="shared" si="115"/>
        <v>8.4944524035058713</v>
      </c>
      <c r="E351" s="303"/>
      <c r="F351" s="302">
        <v>7.8217865372951767</v>
      </c>
      <c r="G351" s="302">
        <v>2.7133726105222742</v>
      </c>
      <c r="H351" s="302">
        <f t="shared" si="116"/>
        <v>10.535159147817451</v>
      </c>
      <c r="I351" s="303"/>
      <c r="J351" s="302">
        <v>9.3300786654472141</v>
      </c>
      <c r="K351" s="302">
        <v>2.7359366056237522</v>
      </c>
      <c r="L351" s="302">
        <f t="shared" si="117"/>
        <v>12.066015271070967</v>
      </c>
      <c r="M351" s="236"/>
      <c r="N351" s="236"/>
    </row>
    <row r="352" spans="1:14" x14ac:dyDescent="0.25">
      <c r="A352" s="237" t="str">
        <f>name!E$7</f>
        <v>Administrative and secretarial occupations</v>
      </c>
      <c r="B352" s="302">
        <v>5.0134902311467711</v>
      </c>
      <c r="C352" s="302">
        <v>0.79376221842600247</v>
      </c>
      <c r="D352" s="302">
        <f t="shared" si="115"/>
        <v>5.8072524495727738</v>
      </c>
      <c r="E352" s="303"/>
      <c r="F352" s="302">
        <v>5.1674077979499016</v>
      </c>
      <c r="G352" s="302">
        <v>0.80765092415760797</v>
      </c>
      <c r="H352" s="302">
        <f t="shared" si="116"/>
        <v>5.9750587221075095</v>
      </c>
      <c r="I352" s="303"/>
      <c r="J352" s="302">
        <v>2.6085788903725908</v>
      </c>
      <c r="K352" s="302">
        <v>0.71206614026339221</v>
      </c>
      <c r="L352" s="302">
        <f t="shared" si="117"/>
        <v>3.3206450306359829</v>
      </c>
      <c r="M352" s="236"/>
      <c r="N352" s="236"/>
    </row>
    <row r="353" spans="1:14" x14ac:dyDescent="0.25">
      <c r="A353" s="237" t="str">
        <f>name!E$8</f>
        <v>Skilled trades occupations</v>
      </c>
      <c r="B353" s="302">
        <v>0.32061830975705474</v>
      </c>
      <c r="C353" s="302">
        <v>0.56267364589639712</v>
      </c>
      <c r="D353" s="302">
        <f t="shared" si="115"/>
        <v>0.88329195565345187</v>
      </c>
      <c r="E353" s="303"/>
      <c r="F353" s="302">
        <v>0.29679272272547613</v>
      </c>
      <c r="G353" s="302">
        <v>0.5470795052225278</v>
      </c>
      <c r="H353" s="302">
        <f t="shared" si="116"/>
        <v>0.84387222794800398</v>
      </c>
      <c r="I353" s="303"/>
      <c r="J353" s="302">
        <v>0.17085679508721677</v>
      </c>
      <c r="K353" s="302">
        <v>0.52696323480353013</v>
      </c>
      <c r="L353" s="302">
        <f t="shared" si="117"/>
        <v>0.69782002989074687</v>
      </c>
      <c r="M353" s="236"/>
      <c r="N353" s="236"/>
    </row>
    <row r="354" spans="1:14" x14ac:dyDescent="0.25">
      <c r="A354" s="237" t="str">
        <f>name!E$9</f>
        <v>Caring, leisure and other service occupations</v>
      </c>
      <c r="B354" s="302">
        <v>19.429486128759432</v>
      </c>
      <c r="C354" s="302">
        <v>2.3165294381964197</v>
      </c>
      <c r="D354" s="302">
        <f t="shared" si="115"/>
        <v>21.746015566955851</v>
      </c>
      <c r="E354" s="303"/>
      <c r="F354" s="302">
        <v>21.599602313084276</v>
      </c>
      <c r="G354" s="302">
        <v>2.5090625390220467</v>
      </c>
      <c r="H354" s="302">
        <f t="shared" si="116"/>
        <v>24.108664852106322</v>
      </c>
      <c r="I354" s="303"/>
      <c r="J354" s="302">
        <v>25.148253195865845</v>
      </c>
      <c r="K354" s="302">
        <v>3.522233373116106</v>
      </c>
      <c r="L354" s="302">
        <f t="shared" si="117"/>
        <v>28.67048656898195</v>
      </c>
      <c r="M354" s="236"/>
      <c r="N354" s="236"/>
    </row>
    <row r="355" spans="1:14" x14ac:dyDescent="0.25">
      <c r="A355" s="237" t="str">
        <f>name!E$10</f>
        <v>Sales and customer service occupations</v>
      </c>
      <c r="B355" s="302">
        <v>0.64549842978674687</v>
      </c>
      <c r="C355" s="302">
        <v>0.18085039917837514</v>
      </c>
      <c r="D355" s="302">
        <f t="shared" si="115"/>
        <v>0.82634882896512196</v>
      </c>
      <c r="E355" s="303"/>
      <c r="F355" s="302">
        <v>0.67646317912225684</v>
      </c>
      <c r="G355" s="302">
        <v>0.18491048762384921</v>
      </c>
      <c r="H355" s="302">
        <f t="shared" si="116"/>
        <v>0.86137366674610605</v>
      </c>
      <c r="I355" s="303"/>
      <c r="J355" s="302">
        <v>0.76785674498823797</v>
      </c>
      <c r="K355" s="302">
        <v>0.190107699503792</v>
      </c>
      <c r="L355" s="302">
        <f t="shared" si="117"/>
        <v>0.95796444449203</v>
      </c>
      <c r="M355" s="236"/>
      <c r="N355" s="236"/>
    </row>
    <row r="356" spans="1:14" x14ac:dyDescent="0.25">
      <c r="A356" s="237" t="str">
        <f>name!E$11</f>
        <v>Process, plant and machine operatives</v>
      </c>
      <c r="B356" s="302">
        <v>6.3237396638064158E-2</v>
      </c>
      <c r="C356" s="302">
        <v>0.36332589084094419</v>
      </c>
      <c r="D356" s="302">
        <f t="shared" si="115"/>
        <v>0.42656328747900835</v>
      </c>
      <c r="E356" s="303"/>
      <c r="F356" s="302">
        <v>5.5465821416653467E-2</v>
      </c>
      <c r="G356" s="302">
        <v>0.35195234822495158</v>
      </c>
      <c r="H356" s="302">
        <f t="shared" si="116"/>
        <v>0.40741816964160504</v>
      </c>
      <c r="I356" s="303"/>
      <c r="J356" s="302">
        <v>3.4751917750150178E-2</v>
      </c>
      <c r="K356" s="302">
        <v>0.33483541437206443</v>
      </c>
      <c r="L356" s="302">
        <f t="shared" si="117"/>
        <v>0.36958733212221462</v>
      </c>
      <c r="M356" s="236"/>
      <c r="N356" s="236"/>
    </row>
    <row r="357" spans="1:14" x14ac:dyDescent="0.25">
      <c r="A357" s="237" t="str">
        <f>name!E$12</f>
        <v>Elementary occupations</v>
      </c>
      <c r="B357" s="302">
        <v>1.0463755982937599</v>
      </c>
      <c r="C357" s="302">
        <v>0.49902703766533657</v>
      </c>
      <c r="D357" s="302">
        <f t="shared" si="115"/>
        <v>1.5454026359590964</v>
      </c>
      <c r="E357" s="303"/>
      <c r="F357" s="302">
        <v>0.90784586696916991</v>
      </c>
      <c r="G357" s="302">
        <v>0.46823265787548923</v>
      </c>
      <c r="H357" s="302">
        <f t="shared" si="116"/>
        <v>1.3760785248446592</v>
      </c>
      <c r="I357" s="303"/>
      <c r="J357" s="302">
        <v>0.34492613994806942</v>
      </c>
      <c r="K357" s="302">
        <v>0.424586045710863</v>
      </c>
      <c r="L357" s="302">
        <f t="shared" si="117"/>
        <v>0.76951218565893242</v>
      </c>
      <c r="M357" s="236"/>
      <c r="N357" s="236"/>
    </row>
    <row r="358" spans="1:14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5">
      <c r="A359" s="244" t="s">
        <v>33</v>
      </c>
      <c r="B359" s="311">
        <f>SUM(B349:B357)</f>
        <v>48.126220187965693</v>
      </c>
      <c r="C359" s="311">
        <f t="shared" ref="C359:D359" si="118">SUM(C349:C357)</f>
        <v>12.740779812034413</v>
      </c>
      <c r="D359" s="311">
        <f t="shared" si="118"/>
        <v>60.867000000000118</v>
      </c>
      <c r="E359" s="311"/>
      <c r="F359" s="311">
        <f t="shared" ref="F359:H359" si="119">SUM(F349:F357)</f>
        <v>56.628111656581659</v>
      </c>
      <c r="G359" s="311">
        <f t="shared" si="119"/>
        <v>15.141888343418454</v>
      </c>
      <c r="H359" s="311">
        <f t="shared" si="119"/>
        <v>71.77000000000011</v>
      </c>
      <c r="I359" s="311"/>
      <c r="J359" s="311">
        <f t="shared" ref="J359:L359" si="120">SUM(J349:J357)</f>
        <v>64.27419549597812</v>
      </c>
      <c r="K359" s="311">
        <f t="shared" si="120"/>
        <v>16.928804504021908</v>
      </c>
      <c r="L359" s="311">
        <f t="shared" si="120"/>
        <v>81.203000000000031</v>
      </c>
      <c r="M359" s="236"/>
      <c r="N359" s="236"/>
    </row>
    <row r="360" spans="1:14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ht="13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ht="13" x14ac:dyDescent="0.3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ht="13" x14ac:dyDescent="0.3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5">
      <c r="A366" s="237" t="str">
        <f>name!E$4</f>
        <v>Managers, directors and senior officials</v>
      </c>
      <c r="B366" s="302">
        <v>0.31311895696372288</v>
      </c>
      <c r="C366" s="302">
        <v>0.51856837886837637</v>
      </c>
      <c r="D366" s="302">
        <f>SUM(B366:C366)</f>
        <v>0.83168733583209931</v>
      </c>
      <c r="E366" s="303"/>
      <c r="F366" s="302">
        <v>0.38957335399062487</v>
      </c>
      <c r="G366" s="302">
        <v>0.5644146827078057</v>
      </c>
      <c r="H366" s="302">
        <f>SUM(F366:G366)</f>
        <v>0.95398803669843057</v>
      </c>
      <c r="I366" s="303"/>
      <c r="J366" s="302">
        <v>0.43811865496268743</v>
      </c>
      <c r="K366" s="302">
        <v>0.60751275275771488</v>
      </c>
      <c r="L366" s="302">
        <f>SUM(J366:K366)</f>
        <v>1.0456314077204023</v>
      </c>
      <c r="M366" s="236"/>
      <c r="N366" s="236"/>
    </row>
    <row r="367" spans="1:14" x14ac:dyDescent="0.25">
      <c r="A367" s="237" t="str">
        <f>name!E$5</f>
        <v>Professional occupations</v>
      </c>
      <c r="B367" s="302">
        <v>0.6614662900963203</v>
      </c>
      <c r="C367" s="302">
        <v>0.97341615090031131</v>
      </c>
      <c r="D367" s="302">
        <f t="shared" ref="D367:D374" si="121">SUM(B367:C367)</f>
        <v>1.6348824409966316</v>
      </c>
      <c r="E367" s="303"/>
      <c r="F367" s="302">
        <v>0.886280234941204</v>
      </c>
      <c r="G367" s="302">
        <v>1.111503676591052</v>
      </c>
      <c r="H367" s="302">
        <f t="shared" ref="H367:H374" si="122">SUM(F367:G367)</f>
        <v>1.997783911532256</v>
      </c>
      <c r="I367" s="303"/>
      <c r="J367" s="302">
        <v>0.95547610577045905</v>
      </c>
      <c r="K367" s="302">
        <v>1.2278270426001436</v>
      </c>
      <c r="L367" s="302">
        <f t="shared" ref="L367:L374" si="123">SUM(J367:K367)</f>
        <v>2.1833031483706025</v>
      </c>
      <c r="M367" s="236"/>
      <c r="N367" s="236"/>
    </row>
    <row r="368" spans="1:14" x14ac:dyDescent="0.25">
      <c r="A368" s="237" t="str">
        <f>name!E$6</f>
        <v>Associate professional occupations</v>
      </c>
      <c r="B368" s="302">
        <v>1.2711560687196599</v>
      </c>
      <c r="C368" s="302">
        <v>2.2119151003721726</v>
      </c>
      <c r="D368" s="302">
        <f t="shared" si="121"/>
        <v>3.4830711690918328</v>
      </c>
      <c r="E368" s="303"/>
      <c r="F368" s="302">
        <v>1.3581293618269383</v>
      </c>
      <c r="G368" s="302">
        <v>2.3653707436095415</v>
      </c>
      <c r="H368" s="302">
        <f t="shared" si="122"/>
        <v>3.7235001054364796</v>
      </c>
      <c r="I368" s="303"/>
      <c r="J368" s="302">
        <v>1.3983742778761927</v>
      </c>
      <c r="K368" s="302">
        <v>2.3199486199770645</v>
      </c>
      <c r="L368" s="302">
        <f t="shared" si="123"/>
        <v>3.7183228978532572</v>
      </c>
      <c r="M368" s="236"/>
      <c r="N368" s="236"/>
    </row>
    <row r="369" spans="1:14" x14ac:dyDescent="0.25">
      <c r="A369" s="237" t="str">
        <f>name!E$7</f>
        <v>Administrative and secretarial occupations</v>
      </c>
      <c r="B369" s="302">
        <v>1.3069797124162319</v>
      </c>
      <c r="C369" s="302">
        <v>0.48958774100907859</v>
      </c>
      <c r="D369" s="302">
        <f t="shared" si="121"/>
        <v>1.7965674534253104</v>
      </c>
      <c r="E369" s="303"/>
      <c r="F369" s="302">
        <v>1.3288969655815177</v>
      </c>
      <c r="G369" s="302">
        <v>0.45694907743855706</v>
      </c>
      <c r="H369" s="302">
        <f t="shared" si="122"/>
        <v>1.7858460430200749</v>
      </c>
      <c r="I369" s="303"/>
      <c r="J369" s="302">
        <v>1.1602585557130771</v>
      </c>
      <c r="K369" s="302">
        <v>0.4778310192933119</v>
      </c>
      <c r="L369" s="302">
        <f t="shared" si="123"/>
        <v>1.6380895750063891</v>
      </c>
      <c r="M369" s="236"/>
      <c r="N369" s="236"/>
    </row>
    <row r="370" spans="1:14" x14ac:dyDescent="0.25">
      <c r="A370" s="237" t="str">
        <f>name!E$8</f>
        <v>Skilled trades occupations</v>
      </c>
      <c r="B370" s="302">
        <v>0.21733955626338308</v>
      </c>
      <c r="C370" s="302">
        <v>0.44337757536417244</v>
      </c>
      <c r="D370" s="302">
        <f t="shared" si="121"/>
        <v>0.66071713162755552</v>
      </c>
      <c r="E370" s="303"/>
      <c r="F370" s="302">
        <v>0.21232516265012721</v>
      </c>
      <c r="G370" s="302">
        <v>0.32982096161751467</v>
      </c>
      <c r="H370" s="302">
        <f t="shared" si="122"/>
        <v>0.54214612426764186</v>
      </c>
      <c r="I370" s="303"/>
      <c r="J370" s="302">
        <v>0.23666654760642569</v>
      </c>
      <c r="K370" s="302">
        <v>0.24280530969576475</v>
      </c>
      <c r="L370" s="302">
        <f t="shared" si="123"/>
        <v>0.47947185730219044</v>
      </c>
      <c r="M370" s="236"/>
      <c r="N370" s="236"/>
    </row>
    <row r="371" spans="1:14" x14ac:dyDescent="0.25">
      <c r="A371" s="237" t="str">
        <f>name!E$9</f>
        <v>Caring, leisure and other service occupations</v>
      </c>
      <c r="B371" s="302">
        <v>0.91049854924654328</v>
      </c>
      <c r="C371" s="302">
        <v>0.45984567235940527</v>
      </c>
      <c r="D371" s="302">
        <f t="shared" si="121"/>
        <v>1.3703442216059485</v>
      </c>
      <c r="E371" s="303"/>
      <c r="F371" s="302">
        <v>0.79559628586476372</v>
      </c>
      <c r="G371" s="302">
        <v>0.36961497693475992</v>
      </c>
      <c r="H371" s="302">
        <f t="shared" si="122"/>
        <v>1.1652112627995237</v>
      </c>
      <c r="I371" s="303"/>
      <c r="J371" s="302">
        <v>0.73888682525069438</v>
      </c>
      <c r="K371" s="302">
        <v>0.42426095876394027</v>
      </c>
      <c r="L371" s="302">
        <f t="shared" si="123"/>
        <v>1.1631477840146347</v>
      </c>
      <c r="M371" s="236"/>
      <c r="N371" s="236"/>
    </row>
    <row r="372" spans="1:14" x14ac:dyDescent="0.25">
      <c r="A372" s="237" t="str">
        <f>name!E$10</f>
        <v>Sales and customer service occupations</v>
      </c>
      <c r="B372" s="302">
        <v>0.3655668513216504</v>
      </c>
      <c r="C372" s="302">
        <v>0.45354199786957394</v>
      </c>
      <c r="D372" s="302">
        <f t="shared" si="121"/>
        <v>0.8191088491912244</v>
      </c>
      <c r="E372" s="303"/>
      <c r="F372" s="302">
        <v>0.36114407902550433</v>
      </c>
      <c r="G372" s="302">
        <v>0.36481957764253953</v>
      </c>
      <c r="H372" s="302">
        <f t="shared" si="122"/>
        <v>0.72596365666804386</v>
      </c>
      <c r="I372" s="303"/>
      <c r="J372" s="302">
        <v>0.34532797054650632</v>
      </c>
      <c r="K372" s="302">
        <v>0.48857446095447687</v>
      </c>
      <c r="L372" s="302">
        <f t="shared" si="123"/>
        <v>0.8339024315009832</v>
      </c>
      <c r="M372" s="236"/>
      <c r="N372" s="236"/>
    </row>
    <row r="373" spans="1:14" x14ac:dyDescent="0.25">
      <c r="A373" s="237" t="str">
        <f>name!E$11</f>
        <v>Process, plant and machine operatives</v>
      </c>
      <c r="B373" s="302">
        <v>1.2841367324436167E-2</v>
      </c>
      <c r="C373" s="302">
        <v>0.10232609211042357</v>
      </c>
      <c r="D373" s="302">
        <f t="shared" si="121"/>
        <v>0.11516745943485973</v>
      </c>
      <c r="E373" s="303"/>
      <c r="F373" s="302">
        <v>1.0732954363575933E-2</v>
      </c>
      <c r="G373" s="302">
        <v>7.865682086014654E-2</v>
      </c>
      <c r="H373" s="302">
        <f t="shared" si="122"/>
        <v>8.9389775223722476E-2</v>
      </c>
      <c r="I373" s="303"/>
      <c r="J373" s="302">
        <v>1.4938882693337366E-2</v>
      </c>
      <c r="K373" s="302">
        <v>7.730921720629591E-2</v>
      </c>
      <c r="L373" s="302">
        <f t="shared" si="123"/>
        <v>9.2248099899633271E-2</v>
      </c>
      <c r="M373" s="236"/>
      <c r="N373" s="236"/>
    </row>
    <row r="374" spans="1:14" x14ac:dyDescent="0.25">
      <c r="A374" s="237" t="str">
        <f>name!E$12</f>
        <v>Elementary occupations</v>
      </c>
      <c r="B374" s="302">
        <v>0.68432679824211962</v>
      </c>
      <c r="C374" s="302">
        <v>0.50612714055243813</v>
      </c>
      <c r="D374" s="302">
        <f t="shared" si="121"/>
        <v>1.1904539387945579</v>
      </c>
      <c r="E374" s="303"/>
      <c r="F374" s="302">
        <v>0.58195068141443163</v>
      </c>
      <c r="G374" s="302">
        <v>0.34422040293938772</v>
      </c>
      <c r="H374" s="302">
        <f t="shared" si="122"/>
        <v>0.92617108435381934</v>
      </c>
      <c r="I374" s="303"/>
      <c r="J374" s="302">
        <v>0.49096838720280067</v>
      </c>
      <c r="K374" s="302">
        <v>0.30791441112909901</v>
      </c>
      <c r="L374" s="302">
        <f t="shared" si="123"/>
        <v>0.79888279833189968</v>
      </c>
      <c r="M374" s="236"/>
      <c r="N374" s="236"/>
    </row>
    <row r="375" spans="1:14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5">
      <c r="A376" s="244" t="s">
        <v>33</v>
      </c>
      <c r="B376" s="311">
        <f>SUM(B366:B374)</f>
        <v>5.7432941505940684</v>
      </c>
      <c r="C376" s="311">
        <f t="shared" ref="C376:D376" si="124">SUM(C366:C374)</f>
        <v>6.1587058494059521</v>
      </c>
      <c r="D376" s="311">
        <f t="shared" si="124"/>
        <v>11.902000000000021</v>
      </c>
      <c r="E376" s="311"/>
      <c r="F376" s="311">
        <f t="shared" ref="F376:H376" si="125">SUM(F366:F374)</f>
        <v>5.924629079658688</v>
      </c>
      <c r="G376" s="311">
        <f t="shared" si="125"/>
        <v>5.9853709203413041</v>
      </c>
      <c r="H376" s="311">
        <f t="shared" si="125"/>
        <v>11.909999999999993</v>
      </c>
      <c r="I376" s="311"/>
      <c r="J376" s="311">
        <f t="shared" ref="J376:L376" si="126">SUM(J366:J374)</f>
        <v>5.7790162076221812</v>
      </c>
      <c r="K376" s="311">
        <f t="shared" si="126"/>
        <v>6.173983792377812</v>
      </c>
      <c r="L376" s="311">
        <f t="shared" si="126"/>
        <v>11.952999999999991</v>
      </c>
      <c r="M376" s="236"/>
      <c r="N376" s="236"/>
    </row>
    <row r="377" spans="1:14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ht="13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ht="13" x14ac:dyDescent="0.3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ht="13" x14ac:dyDescent="0.3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5">
      <c r="A383" s="237" t="str">
        <f>name!E$4</f>
        <v>Managers, directors and senior officials</v>
      </c>
      <c r="B383" s="302">
        <v>0.54134445827138733</v>
      </c>
      <c r="C383" s="302">
        <v>0.75405227614966885</v>
      </c>
      <c r="D383" s="302">
        <f>SUM(B383:C383)</f>
        <v>1.2953967344210562</v>
      </c>
      <c r="E383" s="303"/>
      <c r="F383" s="302">
        <v>0.61615430402545412</v>
      </c>
      <c r="G383" s="302">
        <v>0.55025020487218668</v>
      </c>
      <c r="H383" s="302">
        <f>SUM(F383:G383)</f>
        <v>1.1664045088976409</v>
      </c>
      <c r="I383" s="303"/>
      <c r="J383" s="302">
        <v>0.62785382591979355</v>
      </c>
      <c r="K383" s="302">
        <v>0.60525608299547007</v>
      </c>
      <c r="L383" s="302">
        <f>SUM(J383:K383)</f>
        <v>1.2331099089152637</v>
      </c>
      <c r="M383" s="236"/>
      <c r="N383" s="236"/>
    </row>
    <row r="384" spans="1:14" x14ac:dyDescent="0.25">
      <c r="A384" s="237" t="str">
        <f>name!E$5</f>
        <v>Professional occupations</v>
      </c>
      <c r="B384" s="302">
        <v>1.2153757628007524</v>
      </c>
      <c r="C384" s="302">
        <v>1.4373401174058162</v>
      </c>
      <c r="D384" s="302">
        <f t="shared" ref="D384:D391" si="127">SUM(B384:C384)</f>
        <v>2.6527158802065687</v>
      </c>
      <c r="E384" s="303"/>
      <c r="F384" s="302">
        <v>1.6079319683114255</v>
      </c>
      <c r="G384" s="302">
        <v>1.3050961786736566</v>
      </c>
      <c r="H384" s="302">
        <f t="shared" ref="H384:H391" si="128">SUM(F384:G384)</f>
        <v>2.9130281469850821</v>
      </c>
      <c r="I384" s="303"/>
      <c r="J384" s="302">
        <v>1.6735831375562198</v>
      </c>
      <c r="K384" s="302">
        <v>1.500423936249647</v>
      </c>
      <c r="L384" s="302">
        <f t="shared" ref="L384:L391" si="129">SUM(J384:K384)</f>
        <v>3.1740070738058668</v>
      </c>
      <c r="M384" s="236"/>
      <c r="N384" s="236"/>
    </row>
    <row r="385" spans="1:14" x14ac:dyDescent="0.25">
      <c r="A385" s="237" t="str">
        <f>name!E$6</f>
        <v>Associate professional occupations</v>
      </c>
      <c r="B385" s="302">
        <v>1.0587541488961412</v>
      </c>
      <c r="C385" s="302">
        <v>0.90284695292457717</v>
      </c>
      <c r="D385" s="302">
        <f t="shared" si="127"/>
        <v>1.9616011018207185</v>
      </c>
      <c r="E385" s="303"/>
      <c r="F385" s="302">
        <v>1.1714647369832829</v>
      </c>
      <c r="G385" s="302">
        <v>0.73636605804090138</v>
      </c>
      <c r="H385" s="302">
        <f t="shared" si="128"/>
        <v>1.9078307950241844</v>
      </c>
      <c r="I385" s="303"/>
      <c r="J385" s="302">
        <v>1.2209637521963279</v>
      </c>
      <c r="K385" s="302">
        <v>0.71282314297377825</v>
      </c>
      <c r="L385" s="302">
        <f t="shared" si="129"/>
        <v>1.933786895170106</v>
      </c>
      <c r="M385" s="236"/>
      <c r="N385" s="236"/>
    </row>
    <row r="386" spans="1:14" x14ac:dyDescent="0.25">
      <c r="A386" s="237" t="str">
        <f>name!E$7</f>
        <v>Administrative and secretarial occupations</v>
      </c>
      <c r="B386" s="302">
        <v>1.4508119232177146</v>
      </c>
      <c r="C386" s="302">
        <v>0.37993057427214932</v>
      </c>
      <c r="D386" s="302">
        <f t="shared" si="127"/>
        <v>1.8307424974898638</v>
      </c>
      <c r="E386" s="303"/>
      <c r="F386" s="302">
        <v>1.3294601610144172</v>
      </c>
      <c r="G386" s="302">
        <v>0.32960486009380213</v>
      </c>
      <c r="H386" s="302">
        <f t="shared" si="128"/>
        <v>1.6590650211082194</v>
      </c>
      <c r="I386" s="303"/>
      <c r="J386" s="302">
        <v>1.1499968144752797</v>
      </c>
      <c r="K386" s="302">
        <v>0.32351926902975303</v>
      </c>
      <c r="L386" s="302">
        <f t="shared" si="129"/>
        <v>1.4735160835050327</v>
      </c>
      <c r="M386" s="236"/>
      <c r="N386" s="236"/>
    </row>
    <row r="387" spans="1:14" x14ac:dyDescent="0.25">
      <c r="A387" s="237" t="str">
        <f>name!E$8</f>
        <v>Skilled trades occupations</v>
      </c>
      <c r="B387" s="302">
        <v>0.17006758653710397</v>
      </c>
      <c r="C387" s="302">
        <v>0.38141705786085567</v>
      </c>
      <c r="D387" s="302">
        <f t="shared" si="127"/>
        <v>0.55148464439795963</v>
      </c>
      <c r="E387" s="303"/>
      <c r="F387" s="302">
        <v>0.16519227085762236</v>
      </c>
      <c r="G387" s="302">
        <v>0.19045577057909974</v>
      </c>
      <c r="H387" s="302">
        <f t="shared" si="128"/>
        <v>0.35564804143672213</v>
      </c>
      <c r="I387" s="303"/>
      <c r="J387" s="302">
        <v>0.23491020648906005</v>
      </c>
      <c r="K387" s="302">
        <v>0.16546086239626448</v>
      </c>
      <c r="L387" s="302">
        <f t="shared" si="129"/>
        <v>0.40037106888532453</v>
      </c>
      <c r="M387" s="236"/>
      <c r="N387" s="236"/>
    </row>
    <row r="388" spans="1:14" x14ac:dyDescent="0.25">
      <c r="A388" s="237" t="str">
        <f>name!E$9</f>
        <v>Caring, leisure and other service occupations</v>
      </c>
      <c r="B388" s="302">
        <v>4.5292988029263572</v>
      </c>
      <c r="C388" s="302">
        <v>1.0235981419484887</v>
      </c>
      <c r="D388" s="302">
        <f t="shared" si="127"/>
        <v>5.5528969448748455</v>
      </c>
      <c r="E388" s="303"/>
      <c r="F388" s="302">
        <v>2.7417513257925532</v>
      </c>
      <c r="G388" s="302">
        <v>0.58555203795937771</v>
      </c>
      <c r="H388" s="302">
        <f t="shared" si="128"/>
        <v>3.3273033637519309</v>
      </c>
      <c r="I388" s="303"/>
      <c r="J388" s="302">
        <v>2.3563605511952126</v>
      </c>
      <c r="K388" s="302">
        <v>0.5879986136644868</v>
      </c>
      <c r="L388" s="302">
        <f t="shared" si="129"/>
        <v>2.9443591648596996</v>
      </c>
      <c r="M388" s="236"/>
      <c r="N388" s="236"/>
    </row>
    <row r="389" spans="1:14" x14ac:dyDescent="0.25">
      <c r="A389" s="237" t="str">
        <f>name!E$10</f>
        <v>Sales and customer service occupations</v>
      </c>
      <c r="B389" s="302">
        <v>0.35364458563615814</v>
      </c>
      <c r="C389" s="302">
        <v>0.33834908969113814</v>
      </c>
      <c r="D389" s="302">
        <f t="shared" si="127"/>
        <v>0.69199367532729628</v>
      </c>
      <c r="E389" s="303"/>
      <c r="F389" s="302">
        <v>0.25293622813353051</v>
      </c>
      <c r="G389" s="302">
        <v>0.21948087849524484</v>
      </c>
      <c r="H389" s="302">
        <f t="shared" si="128"/>
        <v>0.47241710662877534</v>
      </c>
      <c r="I389" s="303"/>
      <c r="J389" s="302">
        <v>0.22389305393730963</v>
      </c>
      <c r="K389" s="302">
        <v>0.25285627054160414</v>
      </c>
      <c r="L389" s="302">
        <f t="shared" si="129"/>
        <v>0.47674932447891377</v>
      </c>
      <c r="M389" s="236"/>
      <c r="N389" s="236"/>
    </row>
    <row r="390" spans="1:14" x14ac:dyDescent="0.25">
      <c r="A390" s="237" t="str">
        <f>name!E$11</f>
        <v>Process, plant and machine operatives</v>
      </c>
      <c r="B390" s="302">
        <v>6.3559993924698591E-2</v>
      </c>
      <c r="C390" s="302">
        <v>0.31009140059019774</v>
      </c>
      <c r="D390" s="302">
        <f t="shared" si="127"/>
        <v>0.37365139451489632</v>
      </c>
      <c r="E390" s="303"/>
      <c r="F390" s="302">
        <v>6.070314340686269E-2</v>
      </c>
      <c r="G390" s="302">
        <v>0.15884725916053452</v>
      </c>
      <c r="H390" s="302">
        <f t="shared" si="128"/>
        <v>0.21955040256739722</v>
      </c>
      <c r="I390" s="303"/>
      <c r="J390" s="302">
        <v>5.0013964287216627E-2</v>
      </c>
      <c r="K390" s="302">
        <v>0.12403022453024579</v>
      </c>
      <c r="L390" s="302">
        <f t="shared" si="129"/>
        <v>0.17404418881746242</v>
      </c>
      <c r="M390" s="236"/>
      <c r="N390" s="236"/>
    </row>
    <row r="391" spans="1:14" x14ac:dyDescent="0.25">
      <c r="A391" s="237" t="str">
        <f>name!E$12</f>
        <v>Elementary occupations</v>
      </c>
      <c r="B391" s="302">
        <v>0.73358189390705175</v>
      </c>
      <c r="C391" s="302">
        <v>0.77993523303973555</v>
      </c>
      <c r="D391" s="302">
        <f t="shared" si="127"/>
        <v>1.5135171269467873</v>
      </c>
      <c r="E391" s="303"/>
      <c r="F391" s="302">
        <v>0.54443953354207697</v>
      </c>
      <c r="G391" s="302">
        <v>0.38131308005796632</v>
      </c>
      <c r="H391" s="302">
        <f t="shared" si="128"/>
        <v>0.92575261360004335</v>
      </c>
      <c r="I391" s="303"/>
      <c r="J391" s="302">
        <v>0.4215910291264649</v>
      </c>
      <c r="K391" s="302">
        <v>0.36346526243585803</v>
      </c>
      <c r="L391" s="302">
        <f t="shared" si="129"/>
        <v>0.78505629156232293</v>
      </c>
      <c r="M391" s="236"/>
      <c r="N391" s="236"/>
    </row>
    <row r="392" spans="1:14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5">
      <c r="A393" s="244" t="s">
        <v>33</v>
      </c>
      <c r="B393" s="311">
        <f>SUM(B383:B391)</f>
        <v>10.116439156117364</v>
      </c>
      <c r="C393" s="311">
        <f t="shared" ref="C393:D393" si="130">SUM(C383:C391)</f>
        <v>6.3075608438826265</v>
      </c>
      <c r="D393" s="311">
        <f t="shared" si="130"/>
        <v>16.423999999999992</v>
      </c>
      <c r="E393" s="311"/>
      <c r="F393" s="311">
        <f t="shared" ref="F393:H393" si="131">SUM(F383:F391)</f>
        <v>8.4900336720672254</v>
      </c>
      <c r="G393" s="311">
        <f t="shared" si="131"/>
        <v>4.4569663279327694</v>
      </c>
      <c r="H393" s="311">
        <f t="shared" si="131"/>
        <v>12.946999999999996</v>
      </c>
      <c r="I393" s="311"/>
      <c r="J393" s="311">
        <f t="shared" ref="J393:L393" si="132">SUM(J383:J391)</f>
        <v>7.9591663351828847</v>
      </c>
      <c r="K393" s="311">
        <f t="shared" si="132"/>
        <v>4.6358336648171061</v>
      </c>
      <c r="L393" s="311">
        <f t="shared" si="132"/>
        <v>12.594999999999992</v>
      </c>
      <c r="M393" s="236"/>
      <c r="N393" s="236"/>
    </row>
    <row r="394" spans="1:14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topLeftCell="A4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Black Country</v>
      </c>
    </row>
    <row r="2" spans="1:23" ht="13" x14ac:dyDescent="0.3">
      <c r="A2" s="258" t="s">
        <v>520</v>
      </c>
    </row>
    <row r="4" spans="1:23" x14ac:dyDescent="0.25">
      <c r="O4" s="251" t="s">
        <v>36</v>
      </c>
    </row>
    <row r="5" spans="1:23" s="258" customFormat="1" ht="13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ht="13" x14ac:dyDescent="0.3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ht="13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5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31.133467726633246</v>
      </c>
      <c r="C9" s="249">
        <f t="shared" ref="C9:D9" si="0">SUM(C26,C43,C60,C77,C94,C111,C128,C145,C162,C179,C196,C213,C230,C247,C264,C281,C298,C315,C332,C349,C366,C383)</f>
        <v>4.2901481335351592</v>
      </c>
      <c r="D9" s="249">
        <f t="shared" si="0"/>
        <v>6.9691047558319559</v>
      </c>
      <c r="E9" s="249">
        <f>SUM(B9:D9)</f>
        <v>42.392720616000361</v>
      </c>
      <c r="F9" s="238"/>
      <c r="G9" s="249">
        <f>SUM(G26,G43,G60,G77,G94,G111,G128,G145,G162,G179,G196,G213,G230,G247,G264,G281,G298,G315,G332,G349,G366,G383)</f>
        <v>33.180992489986558</v>
      </c>
      <c r="H9" s="249">
        <f t="shared" ref="H9:I9" si="1">SUM(H26,H43,H60,H77,H94,H111,H128,H145,H162,H179,H196,H213,H230,H247,H264,H281,H298,H315,H332,H349,H366,H383)</f>
        <v>6.6497211150908688</v>
      </c>
      <c r="I9" s="249">
        <f t="shared" si="1"/>
        <v>7.8315196666069182</v>
      </c>
      <c r="J9" s="249">
        <f>SUM(G9:I9)</f>
        <v>47.662233271684343</v>
      </c>
      <c r="K9" s="238"/>
      <c r="L9" s="249">
        <f>SUM(L26,L43,L60,L77,L94,L111,L128,L145,L162,L179,L196,L213,L230,L247,L264,L281,L298,L315,L332,L349,L366,L383)</f>
        <v>37.365259823888934</v>
      </c>
      <c r="M9" s="249">
        <f t="shared" ref="M9:N9" si="2">SUM(M26,M43,M60,M77,M94,M111,M128,M145,M162,M179,M196,M213,M230,M247,M264,M281,M298,M315,M332,M349,M366,M383)</f>
        <v>8.4532317187784045</v>
      </c>
      <c r="N9" s="249">
        <f t="shared" si="2"/>
        <v>8.5213987567384475</v>
      </c>
      <c r="O9" s="249">
        <f>SUM(L9:N9)</f>
        <v>54.339890299405788</v>
      </c>
      <c r="T9" s="249"/>
      <c r="V9" s="249"/>
    </row>
    <row r="10" spans="1:23" s="236" customFormat="1" x14ac:dyDescent="0.25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60.788175719151376</v>
      </c>
      <c r="C10" s="249">
        <f t="shared" si="3"/>
        <v>17.622403704573046</v>
      </c>
      <c r="D10" s="249">
        <f t="shared" si="3"/>
        <v>9.3033282210359278</v>
      </c>
      <c r="E10" s="249">
        <f t="shared" ref="E10:E17" si="4">SUM(B10:D10)</f>
        <v>87.71390764476034</v>
      </c>
      <c r="F10" s="238"/>
      <c r="G10" s="249">
        <f t="shared" ref="G10:I10" si="5">SUM(G27,G44,G61,G78,G95,G112,G129,G146,G163,G180,G197,G214,G231,G248,G265,G282,G299,G316,G333,G350,G367,G384)</f>
        <v>70.891424193992734</v>
      </c>
      <c r="H10" s="249">
        <f t="shared" si="5"/>
        <v>21.933166093674043</v>
      </c>
      <c r="I10" s="249">
        <f t="shared" si="5"/>
        <v>10.559262436552505</v>
      </c>
      <c r="J10" s="249">
        <f t="shared" ref="J10:J17" si="6">SUM(G10:I10)</f>
        <v>103.38385272421928</v>
      </c>
      <c r="K10" s="238"/>
      <c r="L10" s="249">
        <f t="shared" ref="L10:N10" si="7">SUM(L27,L44,L61,L78,L95,L112,L129,L146,L163,L180,L197,L214,L231,L248,L265,L282,L299,L316,L333,L350,L367,L384)</f>
        <v>85.839369645043746</v>
      </c>
      <c r="M10" s="249">
        <f t="shared" si="7"/>
        <v>27.947863665585924</v>
      </c>
      <c r="N10" s="249">
        <f t="shared" si="7"/>
        <v>9.8967698593137232</v>
      </c>
      <c r="O10" s="249">
        <f t="shared" ref="O10:O17" si="8">SUM(L10:N10)</f>
        <v>123.6840031699434</v>
      </c>
      <c r="T10" s="249"/>
      <c r="V10" s="249"/>
    </row>
    <row r="11" spans="1:23" s="236" customFormat="1" x14ac:dyDescent="0.25">
      <c r="A11" s="237" t="str">
        <f>name!E$6</f>
        <v>Associate professional occupations</v>
      </c>
      <c r="B11" s="249">
        <f t="shared" si="3"/>
        <v>37.406265501286313</v>
      </c>
      <c r="C11" s="249">
        <f t="shared" si="3"/>
        <v>11.315431230188345</v>
      </c>
      <c r="D11" s="249">
        <f t="shared" si="3"/>
        <v>7.4056886323617723</v>
      </c>
      <c r="E11" s="249">
        <f t="shared" si="4"/>
        <v>56.127385363836432</v>
      </c>
      <c r="F11" s="238"/>
      <c r="G11" s="249">
        <f t="shared" ref="G11:I11" si="9">SUM(G28,G45,G62,G79,G96,G113,G130,G147,G164,G181,G198,G215,G232,G249,G266,G283,G300,G317,G334,G351,G368,G385)</f>
        <v>40.669272344027625</v>
      </c>
      <c r="H11" s="249">
        <f t="shared" si="9"/>
        <v>13.427208601800739</v>
      </c>
      <c r="I11" s="249">
        <f t="shared" si="9"/>
        <v>6.7740821842641523</v>
      </c>
      <c r="J11" s="249">
        <f t="shared" si="6"/>
        <v>60.870563130092513</v>
      </c>
      <c r="K11" s="238"/>
      <c r="L11" s="249">
        <f t="shared" ref="L11:N11" si="10">SUM(L28,L45,L62,L79,L96,L113,L130,L147,L164,L181,L198,L215,L232,L249,L266,L283,L300,L317,L334,L351,L368,L385)</f>
        <v>42.445424713237138</v>
      </c>
      <c r="M11" s="249">
        <f t="shared" si="10"/>
        <v>14.506239742862659</v>
      </c>
      <c r="N11" s="249">
        <f t="shared" si="10"/>
        <v>6.7622085908349074</v>
      </c>
      <c r="O11" s="249">
        <f t="shared" si="8"/>
        <v>63.713873046934708</v>
      </c>
      <c r="T11" s="249"/>
      <c r="V11" s="249"/>
    </row>
    <row r="12" spans="1:23" s="236" customFormat="1" x14ac:dyDescent="0.25">
      <c r="A12" s="237" t="str">
        <f>name!E$7</f>
        <v>Administrative and secretarial occupations</v>
      </c>
      <c r="B12" s="249">
        <f t="shared" si="3"/>
        <v>33.384017282519274</v>
      </c>
      <c r="C12" s="249">
        <f t="shared" si="3"/>
        <v>24.630183111958118</v>
      </c>
      <c r="D12" s="249">
        <f t="shared" si="3"/>
        <v>2.1237523413864938</v>
      </c>
      <c r="E12" s="249">
        <f t="shared" si="4"/>
        <v>60.137952735863884</v>
      </c>
      <c r="F12" s="238"/>
      <c r="G12" s="249">
        <f t="shared" ref="G12:I12" si="11">SUM(G29,G46,G63,G80,G97,G114,G131,G148,G165,G182,G199,G216,G233,G250,G267,G284,G301,G318,G335,G352,G369,G386)</f>
        <v>31.585339221411882</v>
      </c>
      <c r="H12" s="249">
        <f t="shared" si="11"/>
        <v>23.403296083230256</v>
      </c>
      <c r="I12" s="249">
        <f t="shared" si="11"/>
        <v>1.6172936598735224</v>
      </c>
      <c r="J12" s="249">
        <f t="shared" si="6"/>
        <v>56.605928964515662</v>
      </c>
      <c r="K12" s="238"/>
      <c r="L12" s="249">
        <f t="shared" ref="L12:N12" si="12">SUM(L29,L46,L63,L80,L97,L114,L131,L148,L165,L182,L199,L216,L233,L250,L267,L284,L301,L318,L335,L352,L369,L386)</f>
        <v>27.251385925713993</v>
      </c>
      <c r="M12" s="249">
        <f t="shared" si="12"/>
        <v>19.423984379184315</v>
      </c>
      <c r="N12" s="249">
        <f t="shared" si="12"/>
        <v>1.4734734497107331</v>
      </c>
      <c r="O12" s="249">
        <f t="shared" si="8"/>
        <v>48.14884375460904</v>
      </c>
      <c r="T12" s="249"/>
      <c r="V12" s="249"/>
    </row>
    <row r="13" spans="1:23" s="236" customFormat="1" x14ac:dyDescent="0.25">
      <c r="A13" s="237" t="str">
        <f>name!E$8</f>
        <v>Skilled trades occupations</v>
      </c>
      <c r="B13" s="249">
        <f t="shared" si="3"/>
        <v>41.123298791113143</v>
      </c>
      <c r="C13" s="249">
        <f t="shared" si="3"/>
        <v>5.0380135682616247</v>
      </c>
      <c r="D13" s="249">
        <f t="shared" si="3"/>
        <v>15.137415435555573</v>
      </c>
      <c r="E13" s="249">
        <f t="shared" si="4"/>
        <v>61.298727794930343</v>
      </c>
      <c r="F13" s="238"/>
      <c r="G13" s="249">
        <f t="shared" ref="G13:I13" si="13">SUM(G30,G47,G64,G81,G98,G115,G132,G149,G166,G183,G200,G217,G234,G251,G268,G285,G302,G319,G336,G353,G370,G387)</f>
        <v>31.626260223142264</v>
      </c>
      <c r="H13" s="249">
        <f t="shared" si="13"/>
        <v>4.1693829173634729</v>
      </c>
      <c r="I13" s="249">
        <f t="shared" si="13"/>
        <v>16.510987530045099</v>
      </c>
      <c r="J13" s="249">
        <f t="shared" si="6"/>
        <v>52.306630670550838</v>
      </c>
      <c r="K13" s="238"/>
      <c r="L13" s="249">
        <f t="shared" ref="L13:N13" si="14">SUM(L30,L47,L64,L81,L98,L115,L132,L149,L166,L183,L200,L217,L234,L251,L268,L285,L302,L319,L336,L353,L370,L387)</f>
        <v>26.027770343099707</v>
      </c>
      <c r="M13" s="249">
        <f t="shared" si="14"/>
        <v>4.5990917571376979</v>
      </c>
      <c r="N13" s="249">
        <f t="shared" si="14"/>
        <v>16.774872616479911</v>
      </c>
      <c r="O13" s="249">
        <f t="shared" si="8"/>
        <v>47.401734716717314</v>
      </c>
      <c r="T13" s="249"/>
      <c r="V13" s="249"/>
    </row>
    <row r="14" spans="1:23" s="236" customFormat="1" x14ac:dyDescent="0.25">
      <c r="A14" s="237" t="str">
        <f>name!E$9</f>
        <v>Caring, leisure and other service occupations</v>
      </c>
      <c r="B14" s="249">
        <f t="shared" si="3"/>
        <v>23.908597302848044</v>
      </c>
      <c r="C14" s="249">
        <f t="shared" si="3"/>
        <v>22.382209060913784</v>
      </c>
      <c r="D14" s="249">
        <f t="shared" si="3"/>
        <v>4.1873862649246902</v>
      </c>
      <c r="E14" s="249">
        <f t="shared" si="4"/>
        <v>50.478192628686521</v>
      </c>
      <c r="F14" s="238"/>
      <c r="G14" s="249">
        <f t="shared" ref="G14:I14" si="15">SUM(G31,G48,G65,G82,G99,G116,G133,G150,G167,G184,G201,G218,G235,G252,G269,G286,G303,G320,G337,G354,G371,G388)</f>
        <v>23.737197376405469</v>
      </c>
      <c r="H14" s="249">
        <f t="shared" si="15"/>
        <v>22.172590475024172</v>
      </c>
      <c r="I14" s="249">
        <f t="shared" si="15"/>
        <v>3.5008555947799982</v>
      </c>
      <c r="J14" s="249">
        <f t="shared" si="6"/>
        <v>49.41064344620964</v>
      </c>
      <c r="K14" s="238"/>
      <c r="L14" s="249">
        <f t="shared" ref="L14:N14" si="16">SUM(L31,L48,L65,L82,L99,L116,L133,L150,L167,L184,L201,L218,L235,L252,L269,L286,L303,L320,L337,L354,L371,L388)</f>
        <v>28.821790635985373</v>
      </c>
      <c r="M14" s="249">
        <f t="shared" si="16"/>
        <v>24.346296058082832</v>
      </c>
      <c r="N14" s="249">
        <f t="shared" si="16"/>
        <v>4.4950434138625806</v>
      </c>
      <c r="O14" s="249">
        <f t="shared" si="8"/>
        <v>57.66313010793079</v>
      </c>
      <c r="T14" s="249"/>
      <c r="V14" s="249"/>
    </row>
    <row r="15" spans="1:23" s="236" customFormat="1" x14ac:dyDescent="0.25">
      <c r="A15" s="237" t="str">
        <f>name!E$10</f>
        <v>Sales and customer service occupations</v>
      </c>
      <c r="B15" s="249">
        <f t="shared" si="3"/>
        <v>15.417470265024591</v>
      </c>
      <c r="C15" s="249">
        <f t="shared" si="3"/>
        <v>25.39201904739264</v>
      </c>
      <c r="D15" s="249">
        <f t="shared" si="3"/>
        <v>2.5030015296730292</v>
      </c>
      <c r="E15" s="249">
        <f t="shared" si="4"/>
        <v>43.312490842090256</v>
      </c>
      <c r="F15" s="238"/>
      <c r="G15" s="249">
        <f t="shared" ref="G15:I15" si="17">SUM(G32,G49,G66,G83,G100,G117,G134,G151,G168,G185,G202,G219,G236,G253,G270,G287,G304,G321,G338,G355,G372,G389)</f>
        <v>13.730573542011873</v>
      </c>
      <c r="H15" s="249">
        <f t="shared" si="17"/>
        <v>24.015184222300721</v>
      </c>
      <c r="I15" s="249">
        <f t="shared" si="17"/>
        <v>1.563880822916814</v>
      </c>
      <c r="J15" s="249">
        <f t="shared" si="6"/>
        <v>39.309638587229408</v>
      </c>
      <c r="K15" s="238"/>
      <c r="L15" s="249">
        <f t="shared" ref="L15:N15" si="18">SUM(L32,L49,L66,L83,L100,L117,L134,L151,L168,L185,L202,L219,L236,L253,L270,L287,L304,L321,L338,L355,L372,L389)</f>
        <v>14.219661830261822</v>
      </c>
      <c r="M15" s="249">
        <f t="shared" si="18"/>
        <v>23.86689892609024</v>
      </c>
      <c r="N15" s="249">
        <f t="shared" si="18"/>
        <v>1.3243220020162303</v>
      </c>
      <c r="O15" s="249">
        <f t="shared" si="8"/>
        <v>39.410882758368295</v>
      </c>
      <c r="T15" s="249"/>
      <c r="V15" s="249"/>
    </row>
    <row r="16" spans="1:23" s="236" customFormat="1" x14ac:dyDescent="0.25">
      <c r="A16" s="237" t="str">
        <f>name!E$11</f>
        <v>Process, plant and machine operatives</v>
      </c>
      <c r="B16" s="249">
        <f t="shared" si="3"/>
        <v>36.785480741297263</v>
      </c>
      <c r="C16" s="249">
        <f t="shared" si="3"/>
        <v>4.8615916492614213</v>
      </c>
      <c r="D16" s="249">
        <f t="shared" si="3"/>
        <v>5.4936116692184136</v>
      </c>
      <c r="E16" s="249">
        <f t="shared" si="4"/>
        <v>47.140684059777101</v>
      </c>
      <c r="F16" s="238"/>
      <c r="G16" s="249">
        <f t="shared" ref="G16:I16" si="19">SUM(G33,G50,G67,G84,G101,G118,G135,G152,G169,G186,G203,G220,G237,G254,G271,G288,G305,G322,G339,G356,G373,G390)</f>
        <v>27.927779207971525</v>
      </c>
      <c r="H16" s="249">
        <f t="shared" si="19"/>
        <v>6.2420199327811066</v>
      </c>
      <c r="I16" s="249">
        <f t="shared" si="19"/>
        <v>6.0979561585288895</v>
      </c>
      <c r="J16" s="249">
        <f t="shared" si="6"/>
        <v>40.267755299281518</v>
      </c>
      <c r="K16" s="238"/>
      <c r="L16" s="249">
        <f t="shared" ref="L16:N16" si="20">SUM(L33,L50,L67,L84,L101,L118,L135,L152,L169,L186,L203,L220,L237,L254,L271,L288,L305,L322,L339,L356,L373,L390)</f>
        <v>29.873337770283623</v>
      </c>
      <c r="M16" s="249">
        <f t="shared" si="20"/>
        <v>8.0600631491218646</v>
      </c>
      <c r="N16" s="249">
        <f t="shared" si="20"/>
        <v>7.5335199560328157</v>
      </c>
      <c r="O16" s="249">
        <f t="shared" si="8"/>
        <v>45.466920875438305</v>
      </c>
      <c r="T16" s="249"/>
      <c r="V16" s="249"/>
    </row>
    <row r="17" spans="1:15" s="236" customFormat="1" x14ac:dyDescent="0.25">
      <c r="A17" s="237" t="str">
        <f>name!E$12</f>
        <v>Elementary occupations</v>
      </c>
      <c r="B17" s="249">
        <f t="shared" si="3"/>
        <v>25.56873264646768</v>
      </c>
      <c r="C17" s="249">
        <f t="shared" si="3"/>
        <v>25.826809890534857</v>
      </c>
      <c r="D17" s="249">
        <f t="shared" si="3"/>
        <v>5.5643957770523169</v>
      </c>
      <c r="E17" s="249">
        <f t="shared" si="4"/>
        <v>56.95993831405486</v>
      </c>
      <c r="F17" s="238"/>
      <c r="G17" s="249">
        <f t="shared" ref="G17:I17" si="21">SUM(G34,G51,G68,G85,G102,G119,G136,G153,G170,G187,G204,G221,G238,G255,G272,G289,G306,G323,G340,G357,G374,G391)</f>
        <v>19.574078507895287</v>
      </c>
      <c r="H17" s="249">
        <f t="shared" si="21"/>
        <v>22.09012850865653</v>
      </c>
      <c r="I17" s="249">
        <f t="shared" si="21"/>
        <v>4.712546889665072</v>
      </c>
      <c r="J17" s="249">
        <f t="shared" si="6"/>
        <v>46.376753906216884</v>
      </c>
      <c r="K17" s="238"/>
      <c r="L17" s="249">
        <f t="shared" ref="L17:N17" si="22">SUM(L34,L51,L68,L85,L102,L119,L136,L153,L170,L187,L204,L221,L238,L255,L272,L289,L306,L323,L340,L357,L374,L391)</f>
        <v>17.784653980638847</v>
      </c>
      <c r="M17" s="249">
        <f t="shared" si="22"/>
        <v>18.340465843136712</v>
      </c>
      <c r="N17" s="249">
        <f t="shared" si="22"/>
        <v>5.9896014468766516</v>
      </c>
      <c r="O17" s="249">
        <f t="shared" si="8"/>
        <v>42.114721270652211</v>
      </c>
    </row>
    <row r="18" spans="1:15" s="236" customFormat="1" x14ac:dyDescent="0.25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5">
      <c r="A19" s="244" t="s">
        <v>33</v>
      </c>
      <c r="B19" s="247">
        <f>SUM(B9:B17)</f>
        <v>305.51550597634093</v>
      </c>
      <c r="C19" s="247">
        <f t="shared" ref="C19:O19" si="23">SUM(C9:C17)</f>
        <v>141.35880939661899</v>
      </c>
      <c r="D19" s="247">
        <f t="shared" si="23"/>
        <v>58.687684627040177</v>
      </c>
      <c r="E19" s="247">
        <f t="shared" si="23"/>
        <v>505.56200000000013</v>
      </c>
      <c r="F19" s="247"/>
      <c r="G19" s="247">
        <f t="shared" si="23"/>
        <v>292.92291710684526</v>
      </c>
      <c r="H19" s="247">
        <f t="shared" si="23"/>
        <v>144.10269794992189</v>
      </c>
      <c r="I19" s="247">
        <f t="shared" si="23"/>
        <v>59.168384943232965</v>
      </c>
      <c r="J19" s="247">
        <f t="shared" si="23"/>
        <v>496.19400000000007</v>
      </c>
      <c r="K19" s="247"/>
      <c r="L19" s="247">
        <f t="shared" si="23"/>
        <v>309.62865466815316</v>
      </c>
      <c r="M19" s="247">
        <f t="shared" si="23"/>
        <v>149.54413523998065</v>
      </c>
      <c r="N19" s="247">
        <f t="shared" si="23"/>
        <v>62.771210091865996</v>
      </c>
      <c r="O19" s="247">
        <f t="shared" si="23"/>
        <v>521.94399999999985</v>
      </c>
    </row>
    <row r="20" spans="1:15" s="236" customFormat="1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ht="13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ht="13" x14ac:dyDescent="0.3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ht="13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ht="13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5">
      <c r="A26" s="237" t="str">
        <f>name!E$4</f>
        <v>Managers, directors and senior officials</v>
      </c>
      <c r="B26" s="302">
        <v>0.10012684226140504</v>
      </c>
      <c r="C26" s="302">
        <v>1.8717321347695767E-2</v>
      </c>
      <c r="D26" s="302">
        <v>3.7297490719259828E-2</v>
      </c>
      <c r="E26" s="302">
        <f>SUM(B26:D26)</f>
        <v>0.15614165432836064</v>
      </c>
      <c r="F26" s="303"/>
      <c r="G26" s="302">
        <v>5.4197138098525575E-2</v>
      </c>
      <c r="H26" s="302">
        <v>1.2026703639417074E-3</v>
      </c>
      <c r="I26" s="302">
        <v>1.941732184707784E-2</v>
      </c>
      <c r="J26" s="302">
        <f>SUM(G26:I26)</f>
        <v>7.4817130309545121E-2</v>
      </c>
      <c r="K26" s="303"/>
      <c r="L26" s="302">
        <v>7.8534566595299213E-2</v>
      </c>
      <c r="M26" s="302">
        <v>1.503932393666774E-3</v>
      </c>
      <c r="N26" s="302">
        <v>2.4121860687299775E-2</v>
      </c>
      <c r="O26" s="302">
        <f>SUM(L26:N26)</f>
        <v>0.10416035967626577</v>
      </c>
    </row>
    <row r="27" spans="1:15" s="236" customFormat="1" x14ac:dyDescent="0.25">
      <c r="A27" s="237" t="str">
        <f>name!E$5</f>
        <v>Professional occupations</v>
      </c>
      <c r="B27" s="302">
        <v>0.10993314683810695</v>
      </c>
      <c r="C27" s="302">
        <v>1.032754030750371E-2</v>
      </c>
      <c r="D27" s="302">
        <v>9.355667237028905E-3</v>
      </c>
      <c r="E27" s="302">
        <f t="shared" ref="E27:E34" si="24">SUM(B27:D27)</f>
        <v>0.12961635438263958</v>
      </c>
      <c r="F27" s="303"/>
      <c r="G27" s="302">
        <v>8.0928166158607609E-2</v>
      </c>
      <c r="H27" s="302">
        <v>7.3565378888892387E-4</v>
      </c>
      <c r="I27" s="302">
        <v>4.4547761436061449E-3</v>
      </c>
      <c r="J27" s="302">
        <f t="shared" ref="J27:J34" si="25">SUM(G27:I27)</f>
        <v>8.6118596091102687E-2</v>
      </c>
      <c r="K27" s="303"/>
      <c r="L27" s="302">
        <v>0.16213126380270132</v>
      </c>
      <c r="M27" s="302">
        <v>9.4407606477591788E-4</v>
      </c>
      <c r="N27" s="302">
        <v>3.9884325552031544E-3</v>
      </c>
      <c r="O27" s="302">
        <f t="shared" ref="O27:O34" si="26">SUM(L27:N27)</f>
        <v>0.16706377242268039</v>
      </c>
    </row>
    <row r="28" spans="1:15" s="236" customFormat="1" x14ac:dyDescent="0.25">
      <c r="A28" s="237" t="str">
        <f>name!E$6</f>
        <v>Associate professional occupations</v>
      </c>
      <c r="B28" s="302">
        <v>8.5195211236168106E-2</v>
      </c>
      <c r="C28" s="302">
        <v>1.2969458337044831E-2</v>
      </c>
      <c r="D28" s="302">
        <v>4.2131851582969887E-3</v>
      </c>
      <c r="E28" s="302">
        <f t="shared" si="24"/>
        <v>0.10237785473150993</v>
      </c>
      <c r="F28" s="303"/>
      <c r="G28" s="302">
        <v>5.508126807706492E-2</v>
      </c>
      <c r="H28" s="302">
        <v>7.2873113343781748E-4</v>
      </c>
      <c r="I28" s="302">
        <v>2.0195856226172273E-3</v>
      </c>
      <c r="J28" s="302">
        <f t="shared" si="25"/>
        <v>5.7829584833119965E-2</v>
      </c>
      <c r="K28" s="303"/>
      <c r="L28" s="302">
        <v>8.0735252868913518E-2</v>
      </c>
      <c r="M28" s="302">
        <v>7.191836805910698E-4</v>
      </c>
      <c r="N28" s="302">
        <v>2.5523820108666198E-3</v>
      </c>
      <c r="O28" s="302">
        <f t="shared" si="26"/>
        <v>8.4006818560371205E-2</v>
      </c>
    </row>
    <row r="29" spans="1:15" s="236" customFormat="1" x14ac:dyDescent="0.25">
      <c r="A29" s="237" t="str">
        <f>name!E$7</f>
        <v>Administrative and secretarial occupations</v>
      </c>
      <c r="B29" s="302">
        <v>0.10282180836233966</v>
      </c>
      <c r="C29" s="302">
        <v>8.9895551073467458E-2</v>
      </c>
      <c r="D29" s="302">
        <v>4.8150334719545551E-3</v>
      </c>
      <c r="E29" s="302">
        <f t="shared" si="24"/>
        <v>0.19753239290776167</v>
      </c>
      <c r="F29" s="303"/>
      <c r="G29" s="302">
        <v>6.1438068316246361E-2</v>
      </c>
      <c r="H29" s="302">
        <v>4.0790124690022458E-3</v>
      </c>
      <c r="I29" s="302">
        <v>3.6017551089912868E-3</v>
      </c>
      <c r="J29" s="302">
        <f t="shared" si="25"/>
        <v>6.9118835894239894E-2</v>
      </c>
      <c r="K29" s="303"/>
      <c r="L29" s="302">
        <v>6.0263448919583087E-2</v>
      </c>
      <c r="M29" s="302">
        <v>3.2379780881916396E-3</v>
      </c>
      <c r="N29" s="302">
        <v>1.9955125645609614E-3</v>
      </c>
      <c r="O29" s="302">
        <f t="shared" si="26"/>
        <v>6.5496939572335683E-2</v>
      </c>
    </row>
    <row r="30" spans="1:15" s="236" customFormat="1" x14ac:dyDescent="0.25">
      <c r="A30" s="237" t="str">
        <f>name!E$8</f>
        <v>Skilled trades occupations</v>
      </c>
      <c r="B30" s="302">
        <v>0.34377159769976223</v>
      </c>
      <c r="C30" s="302">
        <v>0.12150406503098386</v>
      </c>
      <c r="D30" s="302">
        <v>1.1278628073334314</v>
      </c>
      <c r="E30" s="302">
        <f t="shared" si="24"/>
        <v>1.5931384700641775</v>
      </c>
      <c r="F30" s="303"/>
      <c r="G30" s="302">
        <v>0.12635170238950202</v>
      </c>
      <c r="H30" s="302">
        <v>4.1731645203807646E-3</v>
      </c>
      <c r="I30" s="302">
        <v>0.46910156528770719</v>
      </c>
      <c r="J30" s="302">
        <f>SUM(G30:I30)</f>
        <v>0.59962643219758993</v>
      </c>
      <c r="K30" s="303"/>
      <c r="L30" s="302">
        <v>0.10896071663262365</v>
      </c>
      <c r="M30" s="302">
        <v>5.6635582660214366E-3</v>
      </c>
      <c r="N30" s="302">
        <v>0.47094371640824967</v>
      </c>
      <c r="O30" s="302">
        <f t="shared" si="26"/>
        <v>0.58556799130689474</v>
      </c>
    </row>
    <row r="31" spans="1:15" s="236" customFormat="1" x14ac:dyDescent="0.25">
      <c r="A31" s="237" t="str">
        <f>name!E$9</f>
        <v>Caring, leisure and other service occupations</v>
      </c>
      <c r="B31" s="302">
        <v>9.079029389164929E-2</v>
      </c>
      <c r="C31" s="302">
        <v>4.0749423044508078E-2</v>
      </c>
      <c r="D31" s="302">
        <v>8.8628514351936777E-3</v>
      </c>
      <c r="E31" s="302">
        <f t="shared" si="24"/>
        <v>0.14040256837135107</v>
      </c>
      <c r="F31" s="303"/>
      <c r="G31" s="302">
        <v>4.4374559554617277E-2</v>
      </c>
      <c r="H31" s="302">
        <v>1.9344518406739792E-3</v>
      </c>
      <c r="I31" s="302">
        <v>4.1123516130573282E-3</v>
      </c>
      <c r="J31" s="302">
        <f t="shared" si="25"/>
        <v>5.0421363008348583E-2</v>
      </c>
      <c r="K31" s="303"/>
      <c r="L31" s="302">
        <v>5.027765918407328E-2</v>
      </c>
      <c r="M31" s="302">
        <v>1.7975548287032862E-3</v>
      </c>
      <c r="N31" s="302">
        <v>5.0506108635800526E-3</v>
      </c>
      <c r="O31" s="302">
        <f t="shared" si="26"/>
        <v>5.7125824876356618E-2</v>
      </c>
    </row>
    <row r="32" spans="1:15" s="236" customFormat="1" x14ac:dyDescent="0.25">
      <c r="A32" s="237" t="str">
        <f>name!E$10</f>
        <v>Sales and customer service occupations</v>
      </c>
      <c r="B32" s="302">
        <v>3.0241797927159305E-2</v>
      </c>
      <c r="C32" s="302">
        <v>2.0273791094795289E-2</v>
      </c>
      <c r="D32" s="302">
        <v>1.047296072108758E-2</v>
      </c>
      <c r="E32" s="302">
        <f t="shared" si="24"/>
        <v>6.0988549743042172E-2</v>
      </c>
      <c r="F32" s="303"/>
      <c r="G32" s="302">
        <v>1.5462600832985353E-2</v>
      </c>
      <c r="H32" s="302">
        <v>8.8015899029513921E-4</v>
      </c>
      <c r="I32" s="302">
        <v>4.3032446098131638E-3</v>
      </c>
      <c r="J32" s="302">
        <f t="shared" si="25"/>
        <v>2.0646004433093654E-2</v>
      </c>
      <c r="K32" s="303"/>
      <c r="L32" s="302">
        <v>1.9251059318219858E-2</v>
      </c>
      <c r="M32" s="302">
        <v>9.4269461898438165E-4</v>
      </c>
      <c r="N32" s="302">
        <v>3.442607213881595E-3</v>
      </c>
      <c r="O32" s="302">
        <f t="shared" si="26"/>
        <v>2.3636361151085833E-2</v>
      </c>
    </row>
    <row r="33" spans="1:15" s="236" customFormat="1" x14ac:dyDescent="0.25">
      <c r="A33" s="237" t="str">
        <f>name!E$11</f>
        <v>Process, plant and machine operatives</v>
      </c>
      <c r="B33" s="302">
        <v>9.1355109442446972E-2</v>
      </c>
      <c r="C33" s="302">
        <v>2.3226666808011401E-2</v>
      </c>
      <c r="D33" s="302">
        <v>5.9668159352679936E-3</v>
      </c>
      <c r="E33" s="302">
        <f t="shared" si="24"/>
        <v>0.12054859218572636</v>
      </c>
      <c r="F33" s="303"/>
      <c r="G33" s="302">
        <v>3.1357633570241336E-2</v>
      </c>
      <c r="H33" s="302">
        <v>9.6176473725203334E-4</v>
      </c>
      <c r="I33" s="302">
        <v>2.9753006413873058E-3</v>
      </c>
      <c r="J33" s="302">
        <f t="shared" si="25"/>
        <v>3.5294698948880675E-2</v>
      </c>
      <c r="K33" s="303"/>
      <c r="L33" s="302">
        <v>2.8753139937610521E-2</v>
      </c>
      <c r="M33" s="302">
        <v>1.7373831410268563E-3</v>
      </c>
      <c r="N33" s="302">
        <v>4.0819029087038198E-3</v>
      </c>
      <c r="O33" s="302">
        <f t="shared" si="26"/>
        <v>3.4572425987341199E-2</v>
      </c>
    </row>
    <row r="34" spans="1:15" s="236" customFormat="1" x14ac:dyDescent="0.25">
      <c r="A34" s="237" t="str">
        <f>name!E$12</f>
        <v>Elementary occupations</v>
      </c>
      <c r="B34" s="302">
        <v>0.29529939056016152</v>
      </c>
      <c r="C34" s="302">
        <v>0.11359937163149141</v>
      </c>
      <c r="D34" s="302">
        <v>5.5354801093774608E-2</v>
      </c>
      <c r="E34" s="302">
        <f t="shared" si="24"/>
        <v>0.46425356328542755</v>
      </c>
      <c r="F34" s="303"/>
      <c r="G34" s="302">
        <v>9.7940792494304707E-2</v>
      </c>
      <c r="H34" s="302">
        <v>4.3721813154848676E-3</v>
      </c>
      <c r="I34" s="302">
        <v>1.8814380474289027E-2</v>
      </c>
      <c r="J34" s="302">
        <f t="shared" si="25"/>
        <v>0.1211273542840786</v>
      </c>
      <c r="K34" s="303"/>
      <c r="L34" s="302">
        <v>7.0025907704229215E-2</v>
      </c>
      <c r="M34" s="302">
        <v>3.1004907467237853E-3</v>
      </c>
      <c r="N34" s="302">
        <v>2.0243107995714871E-2</v>
      </c>
      <c r="O34" s="302">
        <f t="shared" si="26"/>
        <v>9.3369506446667874E-2</v>
      </c>
    </row>
    <row r="35" spans="1:15" s="236" customFormat="1" x14ac:dyDescent="0.25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5">
      <c r="A36" s="244" t="s">
        <v>33</v>
      </c>
      <c r="B36" s="311">
        <f>SUM(B26:B34)</f>
        <v>1.2495351982191991</v>
      </c>
      <c r="C36" s="311">
        <f t="shared" ref="C36:O36" si="27">SUM(C26:C34)</f>
        <v>0.4512631886755018</v>
      </c>
      <c r="D36" s="311">
        <f t="shared" si="27"/>
        <v>1.2642016131052953</v>
      </c>
      <c r="E36" s="311">
        <f t="shared" si="27"/>
        <v>2.9649999999999967</v>
      </c>
      <c r="F36" s="311"/>
      <c r="G36" s="311">
        <f t="shared" si="27"/>
        <v>0.56713192949209512</v>
      </c>
      <c r="H36" s="311">
        <f t="shared" si="27"/>
        <v>1.906778915935748E-2</v>
      </c>
      <c r="I36" s="311">
        <f t="shared" si="27"/>
        <v>0.52880028134854651</v>
      </c>
      <c r="J36" s="311">
        <f t="shared" si="27"/>
        <v>1.1149999999999989</v>
      </c>
      <c r="K36" s="311"/>
      <c r="L36" s="311">
        <f t="shared" si="27"/>
        <v>0.65893301496325374</v>
      </c>
      <c r="M36" s="311">
        <f t="shared" si="27"/>
        <v>1.9646851828685148E-2</v>
      </c>
      <c r="N36" s="311">
        <f t="shared" si="27"/>
        <v>0.53642013320806037</v>
      </c>
      <c r="O36" s="311">
        <f t="shared" si="27"/>
        <v>1.2149999999999994</v>
      </c>
    </row>
    <row r="37" spans="1:15" s="236" customFormat="1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ht="13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ht="13" x14ac:dyDescent="0.3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ht="13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ht="13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5">
      <c r="A43" s="237" t="str">
        <f>name!E$4</f>
        <v>Managers, directors and senior officials</v>
      </c>
      <c r="B43" s="302">
        <v>1.244175800180981E-2</v>
      </c>
      <c r="C43" s="302">
        <v>5.2433814197273104E-5</v>
      </c>
      <c r="D43" s="302">
        <v>1.0051389879507155E-2</v>
      </c>
      <c r="E43" s="302">
        <f>SUM(B43:D43)</f>
        <v>2.2545581695514239E-2</v>
      </c>
      <c r="F43" s="303"/>
      <c r="G43" s="302">
        <v>2.7931436009691876E-2</v>
      </c>
      <c r="H43" s="302">
        <v>3.5201824514067382E-4</v>
      </c>
      <c r="I43" s="302">
        <v>0</v>
      </c>
      <c r="J43" s="302">
        <f>SUM(G43:I43)</f>
        <v>2.828345425483255E-2</v>
      </c>
      <c r="K43" s="303"/>
      <c r="L43" s="302">
        <v>1.3048080510480493E-2</v>
      </c>
      <c r="M43" s="302">
        <v>1.9635756643397579E-4</v>
      </c>
      <c r="N43" s="302">
        <v>0</v>
      </c>
      <c r="O43" s="302">
        <f>SUM(L43:N43)</f>
        <v>1.3244438076914469E-2</v>
      </c>
    </row>
    <row r="44" spans="1:15" s="236" customFormat="1" x14ac:dyDescent="0.25">
      <c r="A44" s="237" t="str">
        <f>name!E$5</f>
        <v>Professional occupations</v>
      </c>
      <c r="B44" s="302">
        <v>1.3722672258455103E-2</v>
      </c>
      <c r="C44" s="302">
        <v>2.0598408510678386E-4</v>
      </c>
      <c r="D44" s="302">
        <v>7.6847186721759652E-3</v>
      </c>
      <c r="E44" s="302">
        <f t="shared" ref="E44:E51" si="28">SUM(B44:D44)</f>
        <v>2.1613375015737853E-2</v>
      </c>
      <c r="F44" s="303"/>
      <c r="G44" s="302">
        <v>3.0326748852050684E-2</v>
      </c>
      <c r="H44" s="302">
        <v>9.0063014558449631E-4</v>
      </c>
      <c r="I44" s="302">
        <v>0</v>
      </c>
      <c r="J44" s="302">
        <f t="shared" ref="J44:J46" si="29">SUM(G44:I44)</f>
        <v>3.1227378997635179E-2</v>
      </c>
      <c r="K44" s="303"/>
      <c r="L44" s="302">
        <v>1.3863664286613599E-2</v>
      </c>
      <c r="M44" s="302">
        <v>4.4104715060813021E-4</v>
      </c>
      <c r="N44" s="302">
        <v>0</v>
      </c>
      <c r="O44" s="302">
        <f t="shared" ref="O44:O51" si="30">SUM(L44:N44)</f>
        <v>1.4304711437221729E-2</v>
      </c>
    </row>
    <row r="45" spans="1:15" s="236" customFormat="1" x14ac:dyDescent="0.25">
      <c r="A45" s="237" t="str">
        <f>name!E$6</f>
        <v>Associate professional occupations</v>
      </c>
      <c r="B45" s="302">
        <v>1.0685792895927878E-2</v>
      </c>
      <c r="C45" s="302">
        <v>1.2829841107039625E-4</v>
      </c>
      <c r="D45" s="302">
        <v>4.3706222336457618E-3</v>
      </c>
      <c r="E45" s="302">
        <f t="shared" si="28"/>
        <v>1.5184713540644037E-2</v>
      </c>
      <c r="F45" s="303"/>
      <c r="G45" s="302">
        <v>2.7524470174469379E-2</v>
      </c>
      <c r="H45" s="302">
        <v>5.2328570845594773E-4</v>
      </c>
      <c r="I45" s="302">
        <v>0</v>
      </c>
      <c r="J45" s="302">
        <f t="shared" si="29"/>
        <v>2.8047755882925327E-2</v>
      </c>
      <c r="K45" s="303"/>
      <c r="L45" s="302">
        <v>1.1804327781190343E-2</v>
      </c>
      <c r="M45" s="302">
        <v>2.3175587772661737E-4</v>
      </c>
      <c r="N45" s="302">
        <v>0</v>
      </c>
      <c r="O45" s="302">
        <f t="shared" si="30"/>
        <v>1.203608365891696E-2</v>
      </c>
    </row>
    <row r="46" spans="1:15" s="236" customFormat="1" x14ac:dyDescent="0.25">
      <c r="A46" s="237" t="str">
        <f>name!E$7</f>
        <v>Administrative and secretarial occupations</v>
      </c>
      <c r="B46" s="302">
        <v>1.7959337828748049E-3</v>
      </c>
      <c r="C46" s="302">
        <v>2.6254920956011275E-4</v>
      </c>
      <c r="D46" s="302">
        <v>2.0376736595088974E-3</v>
      </c>
      <c r="E46" s="302">
        <f t="shared" si="28"/>
        <v>4.096156651943815E-3</v>
      </c>
      <c r="F46" s="303"/>
      <c r="G46" s="302">
        <v>8.8754658910633923E-3</v>
      </c>
      <c r="H46" s="302">
        <v>7.6158637302156239E-4</v>
      </c>
      <c r="I46" s="302">
        <v>0</v>
      </c>
      <c r="J46" s="302">
        <f t="shared" si="29"/>
        <v>9.6370522640849554E-3</v>
      </c>
      <c r="K46" s="303"/>
      <c r="L46" s="302">
        <v>3.528340185436114E-3</v>
      </c>
      <c r="M46" s="302">
        <v>2.7964680823981675E-4</v>
      </c>
      <c r="N46" s="302">
        <v>0</v>
      </c>
      <c r="O46" s="302">
        <f t="shared" si="30"/>
        <v>3.8079869936759308E-3</v>
      </c>
    </row>
    <row r="47" spans="1:15" s="236" customFormat="1" x14ac:dyDescent="0.25">
      <c r="A47" s="237" t="str">
        <f>name!E$8</f>
        <v>Skilled trades occupations</v>
      </c>
      <c r="B47" s="302">
        <v>1.816446216039826E-2</v>
      </c>
      <c r="C47" s="302">
        <v>4.7256682282723221E-5</v>
      </c>
      <c r="D47" s="302">
        <v>1.9061353539284974E-2</v>
      </c>
      <c r="E47" s="302">
        <f t="shared" si="28"/>
        <v>3.7273072381965956E-2</v>
      </c>
      <c r="F47" s="303"/>
      <c r="G47" s="302">
        <v>2.8979607083680557E-2</v>
      </c>
      <c r="H47" s="302">
        <v>2.1409706540848978E-4</v>
      </c>
      <c r="I47" s="302">
        <v>0</v>
      </c>
      <c r="J47" s="302">
        <f>SUM(G47:I47)</f>
        <v>2.9193704149089048E-2</v>
      </c>
      <c r="K47" s="303"/>
      <c r="L47" s="302">
        <v>9.6669036649200454E-3</v>
      </c>
      <c r="M47" s="302">
        <v>1.5994819040690683E-4</v>
      </c>
      <c r="N47" s="302">
        <v>0</v>
      </c>
      <c r="O47" s="302">
        <f t="shared" si="30"/>
        <v>9.8268518553269527E-3</v>
      </c>
    </row>
    <row r="48" spans="1:15" s="236" customFormat="1" x14ac:dyDescent="0.25">
      <c r="A48" s="237" t="str">
        <f>name!E$9</f>
        <v>Caring, leisure and other service occupations</v>
      </c>
      <c r="B48" s="302">
        <v>2.4612581141613479E-3</v>
      </c>
      <c r="C48" s="302">
        <v>2.5350687147500373E-4</v>
      </c>
      <c r="D48" s="302">
        <v>6.0580583184498683E-4</v>
      </c>
      <c r="E48" s="302">
        <f t="shared" si="28"/>
        <v>3.3205708174813388E-3</v>
      </c>
      <c r="F48" s="303"/>
      <c r="G48" s="302">
        <v>3.3573823987189163E-3</v>
      </c>
      <c r="H48" s="302">
        <v>6.9928071076070619E-4</v>
      </c>
      <c r="I48" s="302">
        <v>0</v>
      </c>
      <c r="J48" s="302">
        <f t="shared" ref="J48:J51" si="31">SUM(G48:I48)</f>
        <v>4.0566631094796227E-3</v>
      </c>
      <c r="K48" s="303"/>
      <c r="L48" s="302">
        <v>1.4816425187393907E-3</v>
      </c>
      <c r="M48" s="302">
        <v>3.007118890125076E-4</v>
      </c>
      <c r="N48" s="302">
        <v>0</v>
      </c>
      <c r="O48" s="302">
        <f t="shared" si="30"/>
        <v>1.7823544077518983E-3</v>
      </c>
    </row>
    <row r="49" spans="1:15" s="236" customFormat="1" x14ac:dyDescent="0.25">
      <c r="A49" s="237" t="str">
        <f>name!E$10</f>
        <v>Sales and customer service occupations</v>
      </c>
      <c r="B49" s="302">
        <v>1.5572751652870736E-3</v>
      </c>
      <c r="C49" s="302">
        <v>2.8539328130527979E-4</v>
      </c>
      <c r="D49" s="302">
        <v>1.4474766258484038E-3</v>
      </c>
      <c r="E49" s="302">
        <f t="shared" si="28"/>
        <v>3.2901450724407569E-3</v>
      </c>
      <c r="F49" s="303"/>
      <c r="G49" s="302">
        <v>3.4667703249079379E-3</v>
      </c>
      <c r="H49" s="302">
        <v>8.3156044353887768E-4</v>
      </c>
      <c r="I49" s="302">
        <v>0</v>
      </c>
      <c r="J49" s="302">
        <f t="shared" si="31"/>
        <v>4.2983307684468152E-3</v>
      </c>
      <c r="K49" s="303"/>
      <c r="L49" s="302">
        <v>1.5977799896352458E-3</v>
      </c>
      <c r="M49" s="302">
        <v>3.6008033634989713E-4</v>
      </c>
      <c r="N49" s="302">
        <v>0</v>
      </c>
      <c r="O49" s="302">
        <f t="shared" si="30"/>
        <v>1.957860325985143E-3</v>
      </c>
    </row>
    <row r="50" spans="1:15" s="236" customFormat="1" x14ac:dyDescent="0.25">
      <c r="A50" s="237" t="str">
        <f>name!E$11</f>
        <v>Process, plant and machine operatives</v>
      </c>
      <c r="B50" s="302">
        <v>1.2515994455980572E-2</v>
      </c>
      <c r="C50" s="302">
        <v>6.6319278958667241E-5</v>
      </c>
      <c r="D50" s="302">
        <v>1.1789448713324076E-2</v>
      </c>
      <c r="E50" s="302">
        <f t="shared" si="28"/>
        <v>2.4371762448263314E-2</v>
      </c>
      <c r="F50" s="303"/>
      <c r="G50" s="302">
        <v>1.7543108150627363E-2</v>
      </c>
      <c r="H50" s="302">
        <v>5.4351406656730043E-4</v>
      </c>
      <c r="I50" s="302">
        <v>0</v>
      </c>
      <c r="J50" s="302">
        <f t="shared" si="31"/>
        <v>1.8086622217194662E-2</v>
      </c>
      <c r="K50" s="303"/>
      <c r="L50" s="302">
        <v>5.2639989680521321E-3</v>
      </c>
      <c r="M50" s="302">
        <v>3.090609452739521E-4</v>
      </c>
      <c r="N50" s="302">
        <v>0</v>
      </c>
      <c r="O50" s="302">
        <f t="shared" si="30"/>
        <v>5.573059913326084E-3</v>
      </c>
    </row>
    <row r="51" spans="1:15" s="236" customFormat="1" x14ac:dyDescent="0.25">
      <c r="A51" s="237" t="str">
        <f>name!E$12</f>
        <v>Elementary occupations</v>
      </c>
      <c r="B51" s="302">
        <v>1.2516911100462508E-3</v>
      </c>
      <c r="C51" s="302">
        <v>2.9904887989266817E-4</v>
      </c>
      <c r="D51" s="302">
        <v>2.8753882386070018E-2</v>
      </c>
      <c r="E51" s="302">
        <f t="shared" si="28"/>
        <v>3.0304622376008936E-2</v>
      </c>
      <c r="F51" s="303"/>
      <c r="G51" s="302">
        <v>1.4778419355335293E-3</v>
      </c>
      <c r="H51" s="302">
        <v>6.911964207780625E-4</v>
      </c>
      <c r="I51" s="302">
        <v>0</v>
      </c>
      <c r="J51" s="302">
        <f t="shared" si="31"/>
        <v>2.1690383563115916E-3</v>
      </c>
      <c r="K51" s="303"/>
      <c r="L51" s="302">
        <v>2.8645897265010912E-4</v>
      </c>
      <c r="M51" s="302">
        <v>1.8019435823066714E-4</v>
      </c>
      <c r="N51" s="302">
        <v>0</v>
      </c>
      <c r="O51" s="302">
        <f t="shared" si="30"/>
        <v>4.6665333088077626E-4</v>
      </c>
    </row>
    <row r="52" spans="1:15" s="236" customFormat="1" x14ac:dyDescent="0.25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5">
      <c r="A53" s="244" t="s">
        <v>33</v>
      </c>
      <c r="B53" s="311">
        <f>SUM(B43:B51)</f>
        <v>7.4596837944941097E-2</v>
      </c>
      <c r="C53" s="311">
        <f t="shared" ref="C53:E53" si="32">SUM(C43:C51)</f>
        <v>1.600790513848908E-3</v>
      </c>
      <c r="D53" s="311">
        <f t="shared" si="32"/>
        <v>8.5802371541210232E-2</v>
      </c>
      <c r="E53" s="311">
        <f t="shared" si="32"/>
        <v>0.16200000000000025</v>
      </c>
      <c r="F53" s="311"/>
      <c r="G53" s="311">
        <f t="shared" ref="G53:J53" si="33">SUM(G43:G51)</f>
        <v>0.14948283082074362</v>
      </c>
      <c r="H53" s="311">
        <f t="shared" si="33"/>
        <v>5.5171691792561166E-3</v>
      </c>
      <c r="I53" s="311">
        <f t="shared" si="33"/>
        <v>0</v>
      </c>
      <c r="J53" s="311">
        <f t="shared" si="33"/>
        <v>0.1549999999999998</v>
      </c>
      <c r="K53" s="311"/>
      <c r="L53" s="311">
        <f t="shared" ref="L53:O53" si="34">SUM(L43:L51)</f>
        <v>6.0541196877717481E-2</v>
      </c>
      <c r="M53" s="311">
        <f t="shared" si="34"/>
        <v>2.4588031222824713E-3</v>
      </c>
      <c r="N53" s="311">
        <f t="shared" si="34"/>
        <v>0</v>
      </c>
      <c r="O53" s="311">
        <f t="shared" si="34"/>
        <v>6.2999999999999945E-2</v>
      </c>
    </row>
    <row r="54" spans="1:15" s="236" customFormat="1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ht="13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ht="13" x14ac:dyDescent="0.3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ht="13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ht="13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5">
      <c r="A60" s="237" t="str">
        <f>name!E$4</f>
        <v>Managers, directors and senior officials</v>
      </c>
      <c r="B60" s="302">
        <v>0.37808291514005632</v>
      </c>
      <c r="C60" s="302">
        <v>2.0319094955787414E-2</v>
      </c>
      <c r="D60" s="302">
        <v>4.9835279490476316E-2</v>
      </c>
      <c r="E60" s="302">
        <f>SUM(B60:D60)</f>
        <v>0.44823728958632009</v>
      </c>
      <c r="F60" s="303"/>
      <c r="G60" s="302">
        <v>0.4545312751547762</v>
      </c>
      <c r="H60" s="302">
        <v>3.9425317899036846E-2</v>
      </c>
      <c r="I60" s="302">
        <v>2.7820235810209183E-2</v>
      </c>
      <c r="J60" s="302">
        <f>SUM(G60:I60)</f>
        <v>0.52177682886402221</v>
      </c>
      <c r="K60" s="303"/>
      <c r="L60" s="302">
        <v>0.46629662287131962</v>
      </c>
      <c r="M60" s="302">
        <v>4.2880007525053568E-2</v>
      </c>
      <c r="N60" s="302">
        <v>3.3862335962244174E-2</v>
      </c>
      <c r="O60" s="302">
        <f>SUM(L60:N60)</f>
        <v>0.54303896635861737</v>
      </c>
    </row>
    <row r="61" spans="1:15" s="236" customFormat="1" x14ac:dyDescent="0.25">
      <c r="A61" s="237" t="str">
        <f>name!E$5</f>
        <v>Professional occupations</v>
      </c>
      <c r="B61" s="302">
        <v>0.37219881513418357</v>
      </c>
      <c r="C61" s="302">
        <v>1.9586115372776419E-2</v>
      </c>
      <c r="D61" s="302">
        <v>3.0131562939928528E-2</v>
      </c>
      <c r="E61" s="302">
        <f t="shared" ref="E61:E68" si="35">SUM(B61:D61)</f>
        <v>0.42191649344688853</v>
      </c>
      <c r="F61" s="303"/>
      <c r="G61" s="302">
        <v>0.50962634538593676</v>
      </c>
      <c r="H61" s="302">
        <v>2.9916135612385278E-2</v>
      </c>
      <c r="I61" s="302">
        <v>2.3190601103256065E-2</v>
      </c>
      <c r="J61" s="302">
        <f t="shared" ref="J61:J63" si="36">SUM(G61:I61)</f>
        <v>0.56273308210157813</v>
      </c>
      <c r="K61" s="303"/>
      <c r="L61" s="302">
        <v>0.66245327287452949</v>
      </c>
      <c r="M61" s="302">
        <v>3.0080964469701592E-2</v>
      </c>
      <c r="N61" s="302">
        <v>1.6857282230979622E-2</v>
      </c>
      <c r="O61" s="302">
        <f t="shared" ref="O61:O68" si="37">SUM(L61:N61)</f>
        <v>0.70939151957521063</v>
      </c>
    </row>
    <row r="62" spans="1:15" s="236" customFormat="1" x14ac:dyDescent="0.25">
      <c r="A62" s="237" t="str">
        <f>name!E$6</f>
        <v>Associate professional occupations</v>
      </c>
      <c r="B62" s="302">
        <v>0.49538407814748242</v>
      </c>
      <c r="C62" s="302">
        <v>3.7527073684416525E-2</v>
      </c>
      <c r="D62" s="302">
        <v>2.2078343442496432E-2</v>
      </c>
      <c r="E62" s="302">
        <f t="shared" si="35"/>
        <v>0.55498949527439545</v>
      </c>
      <c r="F62" s="303"/>
      <c r="G62" s="302">
        <v>0.61689374338396119</v>
      </c>
      <c r="H62" s="302">
        <v>4.8999039575565645E-2</v>
      </c>
      <c r="I62" s="302">
        <v>1.3049210874175335E-2</v>
      </c>
      <c r="J62" s="302">
        <f t="shared" si="36"/>
        <v>0.67894199383370213</v>
      </c>
      <c r="K62" s="303"/>
      <c r="L62" s="302">
        <v>0.63167868346149358</v>
      </c>
      <c r="M62" s="302">
        <v>3.671873516195899E-2</v>
      </c>
      <c r="N62" s="302">
        <v>1.0513588002572528E-2</v>
      </c>
      <c r="O62" s="302">
        <f t="shared" si="37"/>
        <v>0.6789110066260251</v>
      </c>
    </row>
    <row r="63" spans="1:15" s="236" customFormat="1" x14ac:dyDescent="0.25">
      <c r="A63" s="237" t="str">
        <f>name!E$7</f>
        <v>Administrative and secretarial occupations</v>
      </c>
      <c r="B63" s="302">
        <v>0.36589909715039426</v>
      </c>
      <c r="C63" s="302">
        <v>7.6328597394663217E-2</v>
      </c>
      <c r="D63" s="302">
        <v>1.3144891685936104E-2</v>
      </c>
      <c r="E63" s="302">
        <f t="shared" si="35"/>
        <v>0.45537258623099358</v>
      </c>
      <c r="F63" s="303"/>
      <c r="G63" s="302">
        <v>0.39922591635134907</v>
      </c>
      <c r="H63" s="302">
        <v>7.3183498079662054E-2</v>
      </c>
      <c r="I63" s="302">
        <v>7.7937751595677559E-3</v>
      </c>
      <c r="J63" s="302">
        <f t="shared" si="36"/>
        <v>0.48020318959057889</v>
      </c>
      <c r="K63" s="303"/>
      <c r="L63" s="302">
        <v>0.36096832947475249</v>
      </c>
      <c r="M63" s="302">
        <v>7.1686998197172003E-2</v>
      </c>
      <c r="N63" s="302">
        <v>8.0297617414726782E-3</v>
      </c>
      <c r="O63" s="302">
        <f t="shared" si="37"/>
        <v>0.44068508941339718</v>
      </c>
    </row>
    <row r="64" spans="1:15" s="236" customFormat="1" x14ac:dyDescent="0.25">
      <c r="A64" s="237" t="str">
        <f>name!E$8</f>
        <v>Skilled trades occupations</v>
      </c>
      <c r="B64" s="302">
        <v>0.84594824352549036</v>
      </c>
      <c r="C64" s="302">
        <v>6.366057085357496E-2</v>
      </c>
      <c r="D64" s="302">
        <v>0.14771991423227351</v>
      </c>
      <c r="E64" s="302">
        <f t="shared" si="35"/>
        <v>1.0573287286113389</v>
      </c>
      <c r="F64" s="303"/>
      <c r="G64" s="302">
        <v>0.64971430907777994</v>
      </c>
      <c r="H64" s="302">
        <v>6.0117504509125702E-2</v>
      </c>
      <c r="I64" s="302">
        <v>4.7937562513899107E-2</v>
      </c>
      <c r="J64" s="302">
        <f>SUM(G64:I64)</f>
        <v>0.75776937610080475</v>
      </c>
      <c r="K64" s="303"/>
      <c r="L64" s="302">
        <v>0.56154014687775022</v>
      </c>
      <c r="M64" s="302">
        <v>5.2547793348232438E-2</v>
      </c>
      <c r="N64" s="302">
        <v>4.5333150451234878E-2</v>
      </c>
      <c r="O64" s="302">
        <f t="shared" si="37"/>
        <v>0.65942109067721755</v>
      </c>
    </row>
    <row r="65" spans="1:15" s="236" customFormat="1" x14ac:dyDescent="0.25">
      <c r="A65" s="237" t="str">
        <f>name!E$9</f>
        <v>Caring, leisure and other service occupations</v>
      </c>
      <c r="B65" s="302">
        <v>4.8246370330338351E-2</v>
      </c>
      <c r="C65" s="302">
        <v>7.7982633633947914E-3</v>
      </c>
      <c r="D65" s="302">
        <v>8.2554280565590044E-3</v>
      </c>
      <c r="E65" s="302">
        <f t="shared" si="35"/>
        <v>6.4300061750292153E-2</v>
      </c>
      <c r="F65" s="303"/>
      <c r="G65" s="302">
        <v>5.6116329210209974E-2</v>
      </c>
      <c r="H65" s="302">
        <v>8.7347088790735126E-3</v>
      </c>
      <c r="I65" s="302">
        <v>7.9343220212576074E-3</v>
      </c>
      <c r="J65" s="302">
        <f t="shared" ref="J65:J68" si="38">SUM(G65:I65)</f>
        <v>7.2785360110541097E-2</v>
      </c>
      <c r="K65" s="303"/>
      <c r="L65" s="302">
        <v>5.6927933570304075E-2</v>
      </c>
      <c r="M65" s="302">
        <v>7.100037069756664E-3</v>
      </c>
      <c r="N65" s="302">
        <v>1.0705489215507862E-2</v>
      </c>
      <c r="O65" s="302">
        <f t="shared" si="37"/>
        <v>7.4733459855568604E-2</v>
      </c>
    </row>
    <row r="66" spans="1:15" s="236" customFormat="1" x14ac:dyDescent="0.25">
      <c r="A66" s="237" t="str">
        <f>name!E$10</f>
        <v>Sales and customer service occupations</v>
      </c>
      <c r="B66" s="302">
        <v>9.7239733687779814E-2</v>
      </c>
      <c r="C66" s="302">
        <v>6.6963585724478039E-2</v>
      </c>
      <c r="D66" s="302">
        <v>1.369991366274532E-2</v>
      </c>
      <c r="E66" s="302">
        <f t="shared" si="35"/>
        <v>0.17790323307500316</v>
      </c>
      <c r="F66" s="303"/>
      <c r="G66" s="302">
        <v>9.9662274939511949E-2</v>
      </c>
      <c r="H66" s="302">
        <v>6.5930627870460737E-2</v>
      </c>
      <c r="I66" s="302">
        <v>7.5763230957672381E-3</v>
      </c>
      <c r="J66" s="302">
        <f t="shared" si="38"/>
        <v>0.17316922590573994</v>
      </c>
      <c r="K66" s="303"/>
      <c r="L66" s="302">
        <v>0.10888973593641049</v>
      </c>
      <c r="M66" s="302">
        <v>5.2586904803191073E-2</v>
      </c>
      <c r="N66" s="302">
        <v>8.6319242412574333E-3</v>
      </c>
      <c r="O66" s="302">
        <f t="shared" si="37"/>
        <v>0.170108564980859</v>
      </c>
    </row>
    <row r="67" spans="1:15" s="236" customFormat="1" x14ac:dyDescent="0.25">
      <c r="A67" s="237" t="str">
        <f>name!E$11</f>
        <v>Process, plant and machine operatives</v>
      </c>
      <c r="B67" s="302">
        <v>2.2978490599853862</v>
      </c>
      <c r="C67" s="302">
        <v>0.28810505349134985</v>
      </c>
      <c r="D67" s="302">
        <v>4.4223373280896851E-2</v>
      </c>
      <c r="E67" s="302">
        <f t="shared" si="35"/>
        <v>2.6301774867576331</v>
      </c>
      <c r="F67" s="303"/>
      <c r="G67" s="302">
        <v>1.7833615682457362</v>
      </c>
      <c r="H67" s="302">
        <v>0.30840249637172756</v>
      </c>
      <c r="I67" s="302">
        <v>2.6554127395774729E-2</v>
      </c>
      <c r="J67" s="302">
        <f t="shared" si="38"/>
        <v>2.1183181920132386</v>
      </c>
      <c r="K67" s="303"/>
      <c r="L67" s="302">
        <v>1.793072839270055</v>
      </c>
      <c r="M67" s="302">
        <v>0.34505018194308357</v>
      </c>
      <c r="N67" s="302">
        <v>3.1191024499808328E-2</v>
      </c>
      <c r="O67" s="302">
        <f t="shared" si="37"/>
        <v>2.1693140457129467</v>
      </c>
    </row>
    <row r="68" spans="1:15" s="236" customFormat="1" x14ac:dyDescent="0.25">
      <c r="A68" s="237" t="str">
        <f>name!E$12</f>
        <v>Elementary occupations</v>
      </c>
      <c r="B68" s="302">
        <v>1.0562008179644236</v>
      </c>
      <c r="C68" s="302">
        <v>0.132153073780542</v>
      </c>
      <c r="D68" s="302">
        <v>1.3420733522159022E-2</v>
      </c>
      <c r="E68" s="302">
        <f t="shared" si="35"/>
        <v>1.2017746252671246</v>
      </c>
      <c r="F68" s="303"/>
      <c r="G68" s="302">
        <v>0.80767361974591823</v>
      </c>
      <c r="H68" s="302">
        <v>0.11807661136673425</v>
      </c>
      <c r="I68" s="302">
        <v>5.5525203671414735E-3</v>
      </c>
      <c r="J68" s="302">
        <f t="shared" si="38"/>
        <v>0.93130275147979391</v>
      </c>
      <c r="K68" s="303"/>
      <c r="L68" s="302">
        <v>0.64557782490136129</v>
      </c>
      <c r="M68" s="302">
        <v>9.0249953580508177E-2</v>
      </c>
      <c r="N68" s="302">
        <v>7.5684783182832357E-3</v>
      </c>
      <c r="O68" s="302">
        <f t="shared" si="37"/>
        <v>0.74339625680015264</v>
      </c>
    </row>
    <row r="69" spans="1:15" s="236" customFormat="1" x14ac:dyDescent="0.25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5">
      <c r="A70" s="244" t="s">
        <v>33</v>
      </c>
      <c r="B70" s="311">
        <f>SUM(B60:B68)</f>
        <v>5.9570491310655349</v>
      </c>
      <c r="C70" s="311">
        <f t="shared" ref="C70:E70" si="39">SUM(C60:C68)</f>
        <v>0.71244142862098314</v>
      </c>
      <c r="D70" s="311">
        <f t="shared" si="39"/>
        <v>0.34250944031347108</v>
      </c>
      <c r="E70" s="311">
        <f t="shared" si="39"/>
        <v>7.0119999999999889</v>
      </c>
      <c r="F70" s="311"/>
      <c r="G70" s="311">
        <f t="shared" ref="G70:J70" si="40">SUM(G60:G68)</f>
        <v>5.3768053814951795</v>
      </c>
      <c r="H70" s="311">
        <f t="shared" si="40"/>
        <v>0.75278594016377154</v>
      </c>
      <c r="I70" s="311">
        <f t="shared" si="40"/>
        <v>0.1674086783410485</v>
      </c>
      <c r="J70" s="311">
        <f t="shared" si="40"/>
        <v>6.2969999999999997</v>
      </c>
      <c r="K70" s="311"/>
      <c r="L70" s="311">
        <f t="shared" ref="L70:O70" si="41">SUM(L60:L68)</f>
        <v>5.2874053892379766</v>
      </c>
      <c r="M70" s="311">
        <f t="shared" si="41"/>
        <v>0.72890157609865813</v>
      </c>
      <c r="N70" s="311">
        <f t="shared" si="41"/>
        <v>0.17269303466336072</v>
      </c>
      <c r="O70" s="311">
        <f t="shared" si="41"/>
        <v>6.1889999999999938</v>
      </c>
    </row>
    <row r="71" spans="1:15" s="236" customFormat="1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ht="13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ht="13" x14ac:dyDescent="0.3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ht="13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ht="13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5">
      <c r="A77" s="237" t="str">
        <f>name!E$4</f>
        <v>Managers, directors and senior officials</v>
      </c>
      <c r="B77" s="302">
        <v>0.66107542131043606</v>
      </c>
      <c r="C77" s="302">
        <v>4.1650966151107319E-2</v>
      </c>
      <c r="D77" s="302">
        <v>6.1344679685391819E-2</v>
      </c>
      <c r="E77" s="302">
        <f>SUM(B77:D77)</f>
        <v>0.76407106714693518</v>
      </c>
      <c r="F77" s="303"/>
      <c r="G77" s="302">
        <v>0.81033696127960952</v>
      </c>
      <c r="H77" s="302">
        <v>7.2280169849969503E-2</v>
      </c>
      <c r="I77" s="302">
        <v>6.9556172618441381E-2</v>
      </c>
      <c r="J77" s="302">
        <f>SUM(G77:I77)</f>
        <v>0.95217330374802045</v>
      </c>
      <c r="K77" s="303"/>
      <c r="L77" s="302">
        <v>0.78501255418356819</v>
      </c>
      <c r="M77" s="302">
        <v>8.1984538979400071E-2</v>
      </c>
      <c r="N77" s="302">
        <v>6.7921052687647546E-2</v>
      </c>
      <c r="O77" s="302">
        <f>SUM(L77:N77)</f>
        <v>0.93491814585061583</v>
      </c>
    </row>
    <row r="78" spans="1:15" s="236" customFormat="1" x14ac:dyDescent="0.25">
      <c r="A78" s="237" t="str">
        <f>name!E$5</f>
        <v>Professional occupations</v>
      </c>
      <c r="B78" s="302">
        <v>1.2030510038934883</v>
      </c>
      <c r="C78" s="302">
        <v>3.5574425231310283E-2</v>
      </c>
      <c r="D78" s="302">
        <v>7.9123114134182049E-2</v>
      </c>
      <c r="E78" s="302">
        <f t="shared" ref="E78:E85" si="42">SUM(B78:D78)</f>
        <v>1.3177485432589808</v>
      </c>
      <c r="F78" s="303"/>
      <c r="G78" s="302">
        <v>1.5944562649073686</v>
      </c>
      <c r="H78" s="302">
        <v>6.0968362751895398E-2</v>
      </c>
      <c r="I78" s="302">
        <v>5.1857282546775026E-2</v>
      </c>
      <c r="J78" s="302">
        <f t="shared" ref="J78:J80" si="43">SUM(G78:I78)</f>
        <v>1.707281910206039</v>
      </c>
      <c r="K78" s="303"/>
      <c r="L78" s="302">
        <v>1.7937210731034396</v>
      </c>
      <c r="M78" s="302">
        <v>6.8766068730302138E-2</v>
      </c>
      <c r="N78" s="302">
        <v>4.080482464528052E-2</v>
      </c>
      <c r="O78" s="302">
        <f t="shared" ref="O78:O85" si="44">SUM(L78:N78)</f>
        <v>1.9032919664790224</v>
      </c>
    </row>
    <row r="79" spans="1:15" s="236" customFormat="1" x14ac:dyDescent="0.25">
      <c r="A79" s="237" t="str">
        <f>name!E$6</f>
        <v>Associate professional occupations</v>
      </c>
      <c r="B79" s="302">
        <v>0.63622404885780115</v>
      </c>
      <c r="C79" s="302">
        <v>3.9484182160842415E-2</v>
      </c>
      <c r="D79" s="302">
        <v>2.4046578122786096E-2</v>
      </c>
      <c r="E79" s="302">
        <f t="shared" si="42"/>
        <v>0.69975480914142962</v>
      </c>
      <c r="F79" s="303"/>
      <c r="G79" s="302">
        <v>0.81821725819813607</v>
      </c>
      <c r="H79" s="302">
        <v>4.7099742629442984E-2</v>
      </c>
      <c r="I79" s="302">
        <v>1.9792569342336148E-2</v>
      </c>
      <c r="J79" s="302">
        <f t="shared" si="43"/>
        <v>0.88510957016991521</v>
      </c>
      <c r="K79" s="303"/>
      <c r="L79" s="302">
        <v>0.72662142939079877</v>
      </c>
      <c r="M79" s="302">
        <v>4.746914986662229E-2</v>
      </c>
      <c r="N79" s="302">
        <v>2.0652723689788367E-2</v>
      </c>
      <c r="O79" s="302">
        <f t="shared" si="44"/>
        <v>0.79474330294720941</v>
      </c>
    </row>
    <row r="80" spans="1:15" s="236" customFormat="1" x14ac:dyDescent="0.25">
      <c r="A80" s="237" t="str">
        <f>name!E$7</f>
        <v>Administrative and secretarial occupations</v>
      </c>
      <c r="B80" s="302">
        <v>0.388070877670391</v>
      </c>
      <c r="C80" s="302">
        <v>0.15616721125904004</v>
      </c>
      <c r="D80" s="302">
        <v>1.2400378339436859E-2</v>
      </c>
      <c r="E80" s="302">
        <f t="shared" si="42"/>
        <v>0.5566384672688679</v>
      </c>
      <c r="F80" s="303"/>
      <c r="G80" s="302">
        <v>0.45943873971345361</v>
      </c>
      <c r="H80" s="302">
        <v>0.1623462758203045</v>
      </c>
      <c r="I80" s="302">
        <v>1.9928743941370435E-2</v>
      </c>
      <c r="J80" s="302">
        <f t="shared" si="43"/>
        <v>0.64171375947512854</v>
      </c>
      <c r="K80" s="303"/>
      <c r="L80" s="302">
        <v>0.35572727748918004</v>
      </c>
      <c r="M80" s="302">
        <v>0.13057276804094928</v>
      </c>
      <c r="N80" s="302">
        <v>1.4457604538128879E-2</v>
      </c>
      <c r="O80" s="302">
        <f t="shared" si="44"/>
        <v>0.50075765006825812</v>
      </c>
    </row>
    <row r="81" spans="1:15" s="236" customFormat="1" x14ac:dyDescent="0.25">
      <c r="A81" s="237" t="str">
        <f>name!E$8</f>
        <v>Skilled trades occupations</v>
      </c>
      <c r="B81" s="302">
        <v>1.7035669299110314</v>
      </c>
      <c r="C81" s="302">
        <v>3.5146615022708286E-2</v>
      </c>
      <c r="D81" s="302">
        <v>0.14940510431637744</v>
      </c>
      <c r="E81" s="302">
        <f t="shared" si="42"/>
        <v>1.8881186492501172</v>
      </c>
      <c r="F81" s="303"/>
      <c r="G81" s="302">
        <v>1.556930210651247</v>
      </c>
      <c r="H81" s="302">
        <v>3.3191035699325203E-2</v>
      </c>
      <c r="I81" s="302">
        <v>8.364563083346882E-2</v>
      </c>
      <c r="J81" s="302">
        <f>SUM(G81:I81)</f>
        <v>1.673766877184041</v>
      </c>
      <c r="K81" s="303"/>
      <c r="L81" s="302">
        <v>1.3036942550815536</v>
      </c>
      <c r="M81" s="302">
        <v>2.9288657021415504E-2</v>
      </c>
      <c r="N81" s="302">
        <v>8.8773597887416261E-2</v>
      </c>
      <c r="O81" s="302">
        <f t="shared" si="44"/>
        <v>1.4217565099903853</v>
      </c>
    </row>
    <row r="82" spans="1:15" s="236" customFormat="1" x14ac:dyDescent="0.25">
      <c r="A82" s="237" t="str">
        <f>name!E$9</f>
        <v>Caring, leisure and other service occupations</v>
      </c>
      <c r="B82" s="302">
        <v>2.4347688524107545E-2</v>
      </c>
      <c r="C82" s="302">
        <v>1.3695707352939552E-2</v>
      </c>
      <c r="D82" s="302">
        <v>9.1629985741513344E-3</v>
      </c>
      <c r="E82" s="302">
        <f t="shared" si="42"/>
        <v>4.7206394451198432E-2</v>
      </c>
      <c r="F82" s="303"/>
      <c r="G82" s="302">
        <v>2.6868859841139497E-2</v>
      </c>
      <c r="H82" s="302">
        <v>1.3288779919792857E-2</v>
      </c>
      <c r="I82" s="302">
        <v>1.8577844631313862E-2</v>
      </c>
      <c r="J82" s="302">
        <f t="shared" ref="J82:J85" si="45">SUM(G82:I82)</f>
        <v>5.8735484392246212E-2</v>
      </c>
      <c r="K82" s="303"/>
      <c r="L82" s="302">
        <v>2.2438076308709677E-2</v>
      </c>
      <c r="M82" s="302">
        <v>1.2884052557963745E-2</v>
      </c>
      <c r="N82" s="302">
        <v>3.4743422020671683E-2</v>
      </c>
      <c r="O82" s="302">
        <f t="shared" si="44"/>
        <v>7.0065550887345104E-2</v>
      </c>
    </row>
    <row r="83" spans="1:15" s="236" customFormat="1" x14ac:dyDescent="0.25">
      <c r="A83" s="237" t="str">
        <f>name!E$10</f>
        <v>Sales and customer service occupations</v>
      </c>
      <c r="B83" s="302">
        <v>0.140781951541644</v>
      </c>
      <c r="C83" s="302">
        <v>4.9451004378486561E-2</v>
      </c>
      <c r="D83" s="302">
        <v>8.5759535224060532E-3</v>
      </c>
      <c r="E83" s="302">
        <f t="shared" si="42"/>
        <v>0.19880890944253662</v>
      </c>
      <c r="F83" s="303"/>
      <c r="G83" s="302">
        <v>0.16016817115180429</v>
      </c>
      <c r="H83" s="302">
        <v>6.3843544471364741E-2</v>
      </c>
      <c r="I83" s="302">
        <v>8.1887093845442287E-3</v>
      </c>
      <c r="J83" s="302">
        <f t="shared" si="45"/>
        <v>0.23220042500771323</v>
      </c>
      <c r="K83" s="303"/>
      <c r="L83" s="302">
        <v>0.14982810878443298</v>
      </c>
      <c r="M83" s="302">
        <v>9.2238316560045178E-2</v>
      </c>
      <c r="N83" s="302">
        <v>8.6159511380445551E-3</v>
      </c>
      <c r="O83" s="302">
        <f t="shared" si="44"/>
        <v>0.25068237648252267</v>
      </c>
    </row>
    <row r="84" spans="1:15" s="236" customFormat="1" x14ac:dyDescent="0.25">
      <c r="A84" s="237" t="str">
        <f>name!E$11</f>
        <v>Process, plant and machine operatives</v>
      </c>
      <c r="B84" s="302">
        <v>1.1400991521855268</v>
      </c>
      <c r="C84" s="302">
        <v>5.0784658794610096E-2</v>
      </c>
      <c r="D84" s="302">
        <v>2.4265828469945509E-2</v>
      </c>
      <c r="E84" s="302">
        <f t="shared" si="42"/>
        <v>1.2151496394500825</v>
      </c>
      <c r="F84" s="303"/>
      <c r="G84" s="302">
        <v>0.96170613990405496</v>
      </c>
      <c r="H84" s="302">
        <v>4.79201839686322E-2</v>
      </c>
      <c r="I84" s="302">
        <v>1.8583740719084512E-2</v>
      </c>
      <c r="J84" s="302">
        <f t="shared" si="45"/>
        <v>1.0282100645917718</v>
      </c>
      <c r="K84" s="303"/>
      <c r="L84" s="302">
        <v>0.99046178103291749</v>
      </c>
      <c r="M84" s="302">
        <v>4.3108610279665234E-2</v>
      </c>
      <c r="N84" s="302">
        <v>1.8501411254655188E-2</v>
      </c>
      <c r="O84" s="302">
        <f t="shared" si="44"/>
        <v>1.0520718025672378</v>
      </c>
    </row>
    <row r="85" spans="1:15" s="236" customFormat="1" x14ac:dyDescent="0.25">
      <c r="A85" s="237" t="str">
        <f>name!E$12</f>
        <v>Elementary occupations</v>
      </c>
      <c r="B85" s="302">
        <v>0.22491389478413168</v>
      </c>
      <c r="C85" s="302">
        <v>3.0261854923268251E-2</v>
      </c>
      <c r="D85" s="302">
        <v>1.732777088245516E-2</v>
      </c>
      <c r="E85" s="302">
        <f t="shared" si="42"/>
        <v>0.27250352058985511</v>
      </c>
      <c r="F85" s="303"/>
      <c r="G85" s="302">
        <v>0.18997582811173136</v>
      </c>
      <c r="H85" s="302">
        <v>3.0554666791452832E-2</v>
      </c>
      <c r="I85" s="302">
        <v>1.5278110321955576E-2</v>
      </c>
      <c r="J85" s="302">
        <f t="shared" si="45"/>
        <v>0.23580860522513977</v>
      </c>
      <c r="K85" s="303"/>
      <c r="L85" s="302">
        <v>0.12757236944204989</v>
      </c>
      <c r="M85" s="302">
        <v>1.9445783622627368E-2</v>
      </c>
      <c r="N85" s="302">
        <v>1.5694541662711118E-2</v>
      </c>
      <c r="O85" s="302">
        <f t="shared" si="44"/>
        <v>0.16271269472738836</v>
      </c>
    </row>
    <row r="86" spans="1:15" s="236" customFormat="1" x14ac:dyDescent="0.25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5">
      <c r="A87" s="244" t="s">
        <v>33</v>
      </c>
      <c r="B87" s="311">
        <f>SUM(B77:B85)</f>
        <v>6.1221309686785581</v>
      </c>
      <c r="C87" s="311">
        <f t="shared" ref="C87:E87" si="46">SUM(C77:C85)</f>
        <v>0.45221662527431278</v>
      </c>
      <c r="D87" s="311">
        <f t="shared" si="46"/>
        <v>0.3856524060471323</v>
      </c>
      <c r="E87" s="311">
        <f t="shared" si="46"/>
        <v>6.9600000000000035</v>
      </c>
      <c r="F87" s="311"/>
      <c r="G87" s="311">
        <f t="shared" ref="G87:J87" si="47">SUM(G77:G85)</f>
        <v>6.5780984337585444</v>
      </c>
      <c r="H87" s="311">
        <f t="shared" si="47"/>
        <v>0.5314927619021802</v>
      </c>
      <c r="I87" s="311">
        <f t="shared" si="47"/>
        <v>0.30540880433929002</v>
      </c>
      <c r="J87" s="311">
        <f t="shared" si="47"/>
        <v>7.4150000000000151</v>
      </c>
      <c r="K87" s="311"/>
      <c r="L87" s="311">
        <f t="shared" ref="L87:O87" si="48">SUM(L77:L85)</f>
        <v>6.2550769248166507</v>
      </c>
      <c r="M87" s="311">
        <f t="shared" si="48"/>
        <v>0.52575794565899081</v>
      </c>
      <c r="N87" s="311">
        <f t="shared" si="48"/>
        <v>0.31016512952434411</v>
      </c>
      <c r="O87" s="311">
        <f t="shared" si="48"/>
        <v>7.090999999999986</v>
      </c>
    </row>
    <row r="88" spans="1:15" s="236" customFormat="1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ht="13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ht="13" x14ac:dyDescent="0.3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ht="13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ht="13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5">
      <c r="A94" s="237" t="str">
        <f>name!E$4</f>
        <v>Managers, directors and senior officials</v>
      </c>
      <c r="B94" s="302">
        <v>3.7007528747037051</v>
      </c>
      <c r="C94" s="302">
        <v>0.14582930901631039</v>
      </c>
      <c r="D94" s="302">
        <v>0.75749621215520269</v>
      </c>
      <c r="E94" s="302">
        <f>SUM(B94:D94)</f>
        <v>4.6040783958752183</v>
      </c>
      <c r="F94" s="303"/>
      <c r="G94" s="302">
        <v>4.0769200485549684</v>
      </c>
      <c r="H94" s="302">
        <v>0.3517395100677837</v>
      </c>
      <c r="I94" s="302">
        <v>0.54012555759284464</v>
      </c>
      <c r="J94" s="302">
        <f>SUM(G94:I94)</f>
        <v>4.9687851162155967</v>
      </c>
      <c r="K94" s="303"/>
      <c r="L94" s="302">
        <v>3.5838886040116442</v>
      </c>
      <c r="M94" s="302">
        <v>0.32302963419139064</v>
      </c>
      <c r="N94" s="302">
        <v>0.4719360786874528</v>
      </c>
      <c r="O94" s="302">
        <f>SUM(L94:N94)</f>
        <v>4.3788543168904877</v>
      </c>
    </row>
    <row r="95" spans="1:15" s="236" customFormat="1" x14ac:dyDescent="0.25">
      <c r="A95" s="237" t="str">
        <f>name!E$5</f>
        <v>Professional occupations</v>
      </c>
      <c r="B95" s="302">
        <v>6.126911259755901</v>
      </c>
      <c r="C95" s="302">
        <v>0.13866970355962607</v>
      </c>
      <c r="D95" s="302">
        <v>0.40754849022931738</v>
      </c>
      <c r="E95" s="302">
        <f t="shared" ref="E95:E102" si="49">SUM(B95:D95)</f>
        <v>6.6731294535448438</v>
      </c>
      <c r="F95" s="303"/>
      <c r="G95" s="302">
        <v>7.3496389996388798</v>
      </c>
      <c r="H95" s="302">
        <v>0.32984062929169955</v>
      </c>
      <c r="I95" s="302">
        <v>0.28625147528533373</v>
      </c>
      <c r="J95" s="302">
        <f t="shared" ref="J95:J97" si="50">SUM(G95:I95)</f>
        <v>7.9657311042159131</v>
      </c>
      <c r="K95" s="303"/>
      <c r="L95" s="302">
        <v>7.5495521804867414</v>
      </c>
      <c r="M95" s="302">
        <v>0.29700675309699132</v>
      </c>
      <c r="N95" s="302">
        <v>0.19741646648159181</v>
      </c>
      <c r="O95" s="302">
        <f t="shared" ref="O95:O102" si="51">SUM(L95:N95)</f>
        <v>8.0439754000653245</v>
      </c>
    </row>
    <row r="96" spans="1:15" s="236" customFormat="1" x14ac:dyDescent="0.25">
      <c r="A96" s="237" t="str">
        <f>name!E$6</f>
        <v>Associate professional occupations</v>
      </c>
      <c r="B96" s="302">
        <v>3.8801458177797121</v>
      </c>
      <c r="C96" s="302">
        <v>0.1966262786635328</v>
      </c>
      <c r="D96" s="302">
        <v>0.32057424043711591</v>
      </c>
      <c r="E96" s="302">
        <f t="shared" si="49"/>
        <v>4.3973463368803607</v>
      </c>
      <c r="F96" s="303"/>
      <c r="G96" s="302">
        <v>4.4444889503794789</v>
      </c>
      <c r="H96" s="302">
        <v>0.39676428417863419</v>
      </c>
      <c r="I96" s="302">
        <v>0.20997223197592277</v>
      </c>
      <c r="J96" s="302">
        <f t="shared" si="50"/>
        <v>5.0512254665340359</v>
      </c>
      <c r="K96" s="303"/>
      <c r="L96" s="302">
        <v>3.632688124006231</v>
      </c>
      <c r="M96" s="302">
        <v>0.28671349052675976</v>
      </c>
      <c r="N96" s="302">
        <v>0.18186743142458209</v>
      </c>
      <c r="O96" s="302">
        <f t="shared" si="51"/>
        <v>4.1012690459575731</v>
      </c>
    </row>
    <row r="97" spans="1:15" s="236" customFormat="1" x14ac:dyDescent="0.25">
      <c r="A97" s="237" t="str">
        <f>name!E$7</f>
        <v>Administrative and secretarial occupations</v>
      </c>
      <c r="B97" s="302">
        <v>2.9899073839071861</v>
      </c>
      <c r="C97" s="302">
        <v>0.6893838301623012</v>
      </c>
      <c r="D97" s="302">
        <v>0.1050172396058404</v>
      </c>
      <c r="E97" s="302">
        <f t="shared" si="49"/>
        <v>3.7843084536753278</v>
      </c>
      <c r="F97" s="303"/>
      <c r="G97" s="302">
        <v>3.1414359661855689</v>
      </c>
      <c r="H97" s="302">
        <v>0.83324245413512976</v>
      </c>
      <c r="I97" s="302">
        <v>7.8088959456961593E-2</v>
      </c>
      <c r="J97" s="302">
        <f t="shared" si="50"/>
        <v>4.0527673797776602</v>
      </c>
      <c r="K97" s="303"/>
      <c r="L97" s="302">
        <v>2.364890720973841</v>
      </c>
      <c r="M97" s="302">
        <v>0.5296740944114029</v>
      </c>
      <c r="N97" s="302">
        <v>7.169237408131654E-2</v>
      </c>
      <c r="O97" s="302">
        <f t="shared" si="51"/>
        <v>2.9662571894665604</v>
      </c>
    </row>
    <row r="98" spans="1:15" s="236" customFormat="1" x14ac:dyDescent="0.25">
      <c r="A98" s="237" t="str">
        <f>name!E$8</f>
        <v>Skilled trades occupations</v>
      </c>
      <c r="B98" s="302">
        <v>15.352400106483426</v>
      </c>
      <c r="C98" s="302">
        <v>0.30889609944317875</v>
      </c>
      <c r="D98" s="302">
        <v>2.231625649770169</v>
      </c>
      <c r="E98" s="302">
        <f t="shared" si="49"/>
        <v>17.892921855696773</v>
      </c>
      <c r="F98" s="303"/>
      <c r="G98" s="302">
        <v>11.854073126226995</v>
      </c>
      <c r="H98" s="302">
        <v>0.4910608215273245</v>
      </c>
      <c r="I98" s="302">
        <v>1.1204516516823746</v>
      </c>
      <c r="J98" s="302">
        <f>SUM(G98:I98)</f>
        <v>13.465585599436695</v>
      </c>
      <c r="K98" s="303"/>
      <c r="L98" s="302">
        <v>9.1252742457895266</v>
      </c>
      <c r="M98" s="302">
        <v>0.43706207162111216</v>
      </c>
      <c r="N98" s="302">
        <v>0.95259259674982566</v>
      </c>
      <c r="O98" s="302">
        <f t="shared" si="51"/>
        <v>10.514928914160464</v>
      </c>
    </row>
    <row r="99" spans="1:15" s="236" customFormat="1" x14ac:dyDescent="0.25">
      <c r="A99" s="237" t="str">
        <f>name!E$9</f>
        <v>Caring, leisure and other service occupations</v>
      </c>
      <c r="B99" s="302">
        <v>0.32990165108843467</v>
      </c>
      <c r="C99" s="302">
        <v>0.10309682411330658</v>
      </c>
      <c r="D99" s="302">
        <v>7.1060772243526721E-2</v>
      </c>
      <c r="E99" s="302">
        <f t="shared" si="49"/>
        <v>0.50405924744526798</v>
      </c>
      <c r="F99" s="303"/>
      <c r="G99" s="302">
        <v>0.35364836890043211</v>
      </c>
      <c r="H99" s="302">
        <v>0.23840993746393635</v>
      </c>
      <c r="I99" s="302">
        <v>8.0073049284231992E-2</v>
      </c>
      <c r="J99" s="302">
        <f t="shared" ref="J99:J102" si="52">SUM(G99:I99)</f>
        <v>0.67213135564860049</v>
      </c>
      <c r="K99" s="303"/>
      <c r="L99" s="302">
        <v>0.32883104473350039</v>
      </c>
      <c r="M99" s="302">
        <v>0.2239425614668599</v>
      </c>
      <c r="N99" s="302">
        <v>9.3680673333833203E-2</v>
      </c>
      <c r="O99" s="302">
        <f t="shared" si="51"/>
        <v>0.64645427953419354</v>
      </c>
    </row>
    <row r="100" spans="1:15" s="236" customFormat="1" x14ac:dyDescent="0.25">
      <c r="A100" s="237" t="str">
        <f>name!E$10</f>
        <v>Sales and customer service occupations</v>
      </c>
      <c r="B100" s="302">
        <v>1.1615705856421978</v>
      </c>
      <c r="C100" s="302">
        <v>0.29076071457545172</v>
      </c>
      <c r="D100" s="302">
        <v>0.13809870061869398</v>
      </c>
      <c r="E100" s="302">
        <f t="shared" si="49"/>
        <v>1.5904300008363434</v>
      </c>
      <c r="F100" s="303"/>
      <c r="G100" s="302">
        <v>1.1734254827739232</v>
      </c>
      <c r="H100" s="302">
        <v>0.44001649881810168</v>
      </c>
      <c r="I100" s="302">
        <v>6.7997458792921878E-2</v>
      </c>
      <c r="J100" s="302">
        <f t="shared" si="52"/>
        <v>1.6814394403849469</v>
      </c>
      <c r="K100" s="303"/>
      <c r="L100" s="302">
        <v>1.0726345373710058</v>
      </c>
      <c r="M100" s="302">
        <v>0.39449080271552633</v>
      </c>
      <c r="N100" s="302">
        <v>4.6098117981295074E-2</v>
      </c>
      <c r="O100" s="302">
        <f t="shared" si="51"/>
        <v>1.5132234580678272</v>
      </c>
    </row>
    <row r="101" spans="1:15" s="236" customFormat="1" x14ac:dyDescent="0.25">
      <c r="A101" s="237" t="str">
        <f>name!E$11</f>
        <v>Process, plant and machine operatives</v>
      </c>
      <c r="B101" s="302">
        <v>11.380477052109056</v>
      </c>
      <c r="C101" s="302">
        <v>0.41543892520087977</v>
      </c>
      <c r="D101" s="302">
        <v>0.39991802406345844</v>
      </c>
      <c r="E101" s="302">
        <f t="shared" si="49"/>
        <v>12.195834001373393</v>
      </c>
      <c r="F101" s="303"/>
      <c r="G101" s="302">
        <v>8.7724814327723522</v>
      </c>
      <c r="H101" s="302">
        <v>0.70333120286530282</v>
      </c>
      <c r="I101" s="302">
        <v>0.29634888857537195</v>
      </c>
      <c r="J101" s="302">
        <f t="shared" si="52"/>
        <v>9.7721615242130273</v>
      </c>
      <c r="K101" s="303"/>
      <c r="L101" s="302">
        <v>8.8440924748461942</v>
      </c>
      <c r="M101" s="302">
        <v>0.81886527769949013</v>
      </c>
      <c r="N101" s="302">
        <v>0.28269727448982762</v>
      </c>
      <c r="O101" s="302">
        <f t="shared" si="51"/>
        <v>9.945655027035512</v>
      </c>
    </row>
    <row r="102" spans="1:15" s="236" customFormat="1" x14ac:dyDescent="0.25">
      <c r="A102" s="237" t="str">
        <f>name!E$12</f>
        <v>Elementary occupations</v>
      </c>
      <c r="B102" s="302">
        <v>2.3861472639018264</v>
      </c>
      <c r="C102" s="302">
        <v>0.35629798328502543</v>
      </c>
      <c r="D102" s="302">
        <v>0.30244700748557057</v>
      </c>
      <c r="E102" s="302">
        <f t="shared" si="49"/>
        <v>3.0448922546724226</v>
      </c>
      <c r="F102" s="303"/>
      <c r="G102" s="302">
        <v>1.8967722459242771</v>
      </c>
      <c r="H102" s="302">
        <v>0.46565885084502234</v>
      </c>
      <c r="I102" s="302">
        <v>0.17474191680428794</v>
      </c>
      <c r="J102" s="302">
        <f t="shared" si="52"/>
        <v>2.5371730135735873</v>
      </c>
      <c r="K102" s="303"/>
      <c r="L102" s="302">
        <v>1.0424911607043246</v>
      </c>
      <c r="M102" s="302">
        <v>0.30066777066544498</v>
      </c>
      <c r="N102" s="302">
        <v>0.15622343745226566</v>
      </c>
      <c r="O102" s="302">
        <f t="shared" si="51"/>
        <v>1.4993823688220353</v>
      </c>
    </row>
    <row r="103" spans="1:15" s="236" customFormat="1" x14ac:dyDescent="0.25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5">
      <c r="A104" s="244" t="s">
        <v>33</v>
      </c>
      <c r="B104" s="311">
        <f>SUM(B94:B102)</f>
        <v>47.308213995371446</v>
      </c>
      <c r="C104" s="311">
        <f t="shared" ref="C104:E104" si="53">SUM(C94:C102)</f>
        <v>2.6449996680196128</v>
      </c>
      <c r="D104" s="311">
        <f t="shared" si="53"/>
        <v>4.7337863366088939</v>
      </c>
      <c r="E104" s="311">
        <f t="shared" si="53"/>
        <v>54.686999999999941</v>
      </c>
      <c r="F104" s="311"/>
      <c r="G104" s="311">
        <f t="shared" ref="G104:J104" si="54">SUM(G94:G102)</f>
        <v>43.062884621356879</v>
      </c>
      <c r="H104" s="311">
        <f t="shared" si="54"/>
        <v>4.2500641891929343</v>
      </c>
      <c r="I104" s="311">
        <f t="shared" si="54"/>
        <v>2.8540511894502512</v>
      </c>
      <c r="J104" s="311">
        <f t="shared" si="54"/>
        <v>50.167000000000066</v>
      </c>
      <c r="K104" s="311"/>
      <c r="L104" s="311">
        <f t="shared" ref="L104:O104" si="55">SUM(L94:L102)</f>
        <v>37.544343092923008</v>
      </c>
      <c r="M104" s="311">
        <f t="shared" si="55"/>
        <v>3.6114524563949781</v>
      </c>
      <c r="N104" s="311">
        <f t="shared" si="55"/>
        <v>2.4542044506819902</v>
      </c>
      <c r="O104" s="311">
        <f t="shared" si="55"/>
        <v>43.609999999999978</v>
      </c>
    </row>
    <row r="105" spans="1:15" s="236" customFormat="1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ht="13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ht="13" x14ac:dyDescent="0.3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ht="13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ht="13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5">
      <c r="A111" s="237" t="str">
        <f>name!E$4</f>
        <v>Managers, directors and senior officials</v>
      </c>
      <c r="B111" s="302">
        <v>0.45346843347445259</v>
      </c>
      <c r="C111" s="302">
        <v>1.6093454120013225E-2</v>
      </c>
      <c r="D111" s="302">
        <v>4.3205961738982938E-2</v>
      </c>
      <c r="E111" s="302">
        <f>SUM(B111:D111)</f>
        <v>0.51276784933344877</v>
      </c>
      <c r="F111" s="303"/>
      <c r="G111" s="302">
        <v>0.20048269650430425</v>
      </c>
      <c r="H111" s="302">
        <v>8.869583740258119E-3</v>
      </c>
      <c r="I111" s="302">
        <v>0</v>
      </c>
      <c r="J111" s="302">
        <f>SUM(G111:I111)</f>
        <v>0.20935228024456237</v>
      </c>
      <c r="K111" s="303"/>
      <c r="L111" s="302">
        <v>0.2059779232921071</v>
      </c>
      <c r="M111" s="302">
        <v>8.1531971590340195E-3</v>
      </c>
      <c r="N111" s="302">
        <v>0</v>
      </c>
      <c r="O111" s="302">
        <f>SUM(L111:N111)</f>
        <v>0.2141311204511411</v>
      </c>
    </row>
    <row r="112" spans="1:15" s="236" customFormat="1" x14ac:dyDescent="0.25">
      <c r="A112" s="237" t="str">
        <f>name!E$5</f>
        <v>Professional occupations</v>
      </c>
      <c r="B112" s="302">
        <v>1.0455269116701948</v>
      </c>
      <c r="C112" s="302">
        <v>2.0271276721820386E-2</v>
      </c>
      <c r="D112" s="302">
        <v>5.9921344187321021E-2</v>
      </c>
      <c r="E112" s="302">
        <f t="shared" ref="E112:E119" si="56">SUM(B112:D112)</f>
        <v>1.1257195325793363</v>
      </c>
      <c r="F112" s="303"/>
      <c r="G112" s="302">
        <v>0.49692569175470419</v>
      </c>
      <c r="H112" s="302">
        <v>1.0055634672040462E-2</v>
      </c>
      <c r="I112" s="302">
        <v>0</v>
      </c>
      <c r="J112" s="302">
        <f t="shared" ref="J112:J114" si="57">SUM(G112:I112)</f>
        <v>0.50698132642674465</v>
      </c>
      <c r="K112" s="303"/>
      <c r="L112" s="302">
        <v>0.53995367650610893</v>
      </c>
      <c r="M112" s="302">
        <v>1.142085745553788E-2</v>
      </c>
      <c r="N112" s="302">
        <v>0</v>
      </c>
      <c r="O112" s="302">
        <f t="shared" ref="O112:O119" si="58">SUM(L112:N112)</f>
        <v>0.55137453396164682</v>
      </c>
    </row>
    <row r="113" spans="1:15" s="236" customFormat="1" x14ac:dyDescent="0.25">
      <c r="A113" s="237" t="str">
        <f>name!E$6</f>
        <v>Associate professional occupations</v>
      </c>
      <c r="B113" s="302">
        <v>0.7141447110758421</v>
      </c>
      <c r="C113" s="302">
        <v>2.7421201067171934E-2</v>
      </c>
      <c r="D113" s="302">
        <v>2.3301628309347028E-2</v>
      </c>
      <c r="E113" s="302">
        <f t="shared" si="56"/>
        <v>0.76486754045236105</v>
      </c>
      <c r="F113" s="303"/>
      <c r="G113" s="302">
        <v>0.33971841465410563</v>
      </c>
      <c r="H113" s="302">
        <v>1.1808035776302241E-2</v>
      </c>
      <c r="I113" s="302">
        <v>0</v>
      </c>
      <c r="J113" s="302">
        <f t="shared" si="57"/>
        <v>0.35152645043040787</v>
      </c>
      <c r="K113" s="303"/>
      <c r="L113" s="302">
        <v>0.28854276574483484</v>
      </c>
      <c r="M113" s="302">
        <v>1.0654624572354516E-2</v>
      </c>
      <c r="N113" s="302">
        <v>0</v>
      </c>
      <c r="O113" s="302">
        <f t="shared" si="58"/>
        <v>0.29919739031718934</v>
      </c>
    </row>
    <row r="114" spans="1:15" s="236" customFormat="1" x14ac:dyDescent="0.25">
      <c r="A114" s="237" t="str">
        <f>name!E$7</f>
        <v>Administrative and secretarial occupations</v>
      </c>
      <c r="B114" s="302">
        <v>0.51078622805850427</v>
      </c>
      <c r="C114" s="302">
        <v>0.10160725230219791</v>
      </c>
      <c r="D114" s="302">
        <v>1.4093870754497428E-2</v>
      </c>
      <c r="E114" s="302">
        <f t="shared" si="56"/>
        <v>0.6264873511151996</v>
      </c>
      <c r="F114" s="303"/>
      <c r="G114" s="302">
        <v>0.21282617996035361</v>
      </c>
      <c r="H114" s="302">
        <v>3.7858929345109142E-2</v>
      </c>
      <c r="I114" s="302">
        <v>0</v>
      </c>
      <c r="J114" s="302">
        <f t="shared" si="57"/>
        <v>0.25068510930546273</v>
      </c>
      <c r="K114" s="303"/>
      <c r="L114" s="302">
        <v>0.1409084297772942</v>
      </c>
      <c r="M114" s="302">
        <v>2.7639246692856424E-2</v>
      </c>
      <c r="N114" s="302">
        <v>0</v>
      </c>
      <c r="O114" s="302">
        <f t="shared" si="58"/>
        <v>0.16854767647015062</v>
      </c>
    </row>
    <row r="115" spans="1:15" s="236" customFormat="1" x14ac:dyDescent="0.25">
      <c r="A115" s="237" t="str">
        <f>name!E$8</f>
        <v>Skilled trades occupations</v>
      </c>
      <c r="B115" s="302">
        <v>1.2671755735950254</v>
      </c>
      <c r="C115" s="302">
        <v>2.4409015185566985E-2</v>
      </c>
      <c r="D115" s="302">
        <v>6.2142088124975993E-2</v>
      </c>
      <c r="E115" s="302">
        <f t="shared" si="56"/>
        <v>1.3537266769055682</v>
      </c>
      <c r="F115" s="303"/>
      <c r="G115" s="302">
        <v>0.37114666747642205</v>
      </c>
      <c r="H115" s="302">
        <v>4.3163639032936241E-3</v>
      </c>
      <c r="I115" s="302">
        <v>0</v>
      </c>
      <c r="J115" s="302">
        <f>SUM(G115:I115)</f>
        <v>0.37546303137971571</v>
      </c>
      <c r="K115" s="303"/>
      <c r="L115" s="302">
        <v>0.29408762140918504</v>
      </c>
      <c r="M115" s="302">
        <v>5.94142043961738E-3</v>
      </c>
      <c r="N115" s="302">
        <v>0</v>
      </c>
      <c r="O115" s="302">
        <f t="shared" si="58"/>
        <v>0.30002904184880241</v>
      </c>
    </row>
    <row r="116" spans="1:15" s="236" customFormat="1" x14ac:dyDescent="0.25">
      <c r="A116" s="237" t="str">
        <f>name!E$9</f>
        <v>Caring, leisure and other service occupations</v>
      </c>
      <c r="B116" s="302">
        <v>4.0089032877971845E-2</v>
      </c>
      <c r="C116" s="302">
        <v>1.5171445038485597E-2</v>
      </c>
      <c r="D116" s="302">
        <v>2.7137865040661627E-3</v>
      </c>
      <c r="E116" s="302">
        <f t="shared" si="56"/>
        <v>5.79742644205236E-2</v>
      </c>
      <c r="F116" s="303"/>
      <c r="G116" s="302">
        <v>1.5220123680358608E-2</v>
      </c>
      <c r="H116" s="302">
        <v>4.6471080429440993E-3</v>
      </c>
      <c r="I116" s="302">
        <v>0</v>
      </c>
      <c r="J116" s="302">
        <f t="shared" ref="J116:J119" si="59">SUM(G116:I116)</f>
        <v>1.9867231723302708E-2</v>
      </c>
      <c r="K116" s="303"/>
      <c r="L116" s="302">
        <v>1.2703858311805623E-2</v>
      </c>
      <c r="M116" s="302">
        <v>2.7400054032804301E-3</v>
      </c>
      <c r="N116" s="302">
        <v>0</v>
      </c>
      <c r="O116" s="302">
        <f t="shared" si="58"/>
        <v>1.5443863715086053E-2</v>
      </c>
    </row>
    <row r="117" spans="1:15" s="236" customFormat="1" x14ac:dyDescent="0.25">
      <c r="A117" s="237" t="str">
        <f>name!E$10</f>
        <v>Sales and customer service occupations</v>
      </c>
      <c r="B117" s="302">
        <v>0.27529365713964032</v>
      </c>
      <c r="C117" s="302">
        <v>0.11595314380094281</v>
      </c>
      <c r="D117" s="302">
        <v>2.7516989687898018E-2</v>
      </c>
      <c r="E117" s="302">
        <f t="shared" si="56"/>
        <v>0.41876379062848113</v>
      </c>
      <c r="F117" s="303"/>
      <c r="G117" s="302">
        <v>0.11291312150859358</v>
      </c>
      <c r="H117" s="302">
        <v>4.707032973886708E-2</v>
      </c>
      <c r="I117" s="302">
        <v>0</v>
      </c>
      <c r="J117" s="302">
        <f t="shared" si="59"/>
        <v>0.15998345124746066</v>
      </c>
      <c r="K117" s="303"/>
      <c r="L117" s="302">
        <v>0.13103618222130026</v>
      </c>
      <c r="M117" s="302">
        <v>5.0340448296265883E-2</v>
      </c>
      <c r="N117" s="302">
        <v>0</v>
      </c>
      <c r="O117" s="302">
        <f t="shared" si="58"/>
        <v>0.18137663051756614</v>
      </c>
    </row>
    <row r="118" spans="1:15" s="236" customFormat="1" x14ac:dyDescent="0.25">
      <c r="A118" s="237" t="str">
        <f>name!E$11</f>
        <v>Process, plant and machine operatives</v>
      </c>
      <c r="B118" s="302">
        <v>0.23862138893629609</v>
      </c>
      <c r="C118" s="302">
        <v>1.0170527022259021E-2</v>
      </c>
      <c r="D118" s="302">
        <v>2.9300241532950928E-2</v>
      </c>
      <c r="E118" s="302">
        <f t="shared" si="56"/>
        <v>0.27809215749150601</v>
      </c>
      <c r="F118" s="303"/>
      <c r="G118" s="302">
        <v>7.1189373554791588E-2</v>
      </c>
      <c r="H118" s="302">
        <v>3.066839137988703E-3</v>
      </c>
      <c r="I118" s="302">
        <v>0</v>
      </c>
      <c r="J118" s="302">
        <f t="shared" si="59"/>
        <v>7.4256212692780293E-2</v>
      </c>
      <c r="K118" s="303"/>
      <c r="L118" s="302">
        <v>7.1621517480625299E-2</v>
      </c>
      <c r="M118" s="302">
        <v>4.118348078371502E-3</v>
      </c>
      <c r="N118" s="302">
        <v>0</v>
      </c>
      <c r="O118" s="302">
        <f t="shared" si="58"/>
        <v>7.5739865558996797E-2</v>
      </c>
    </row>
    <row r="119" spans="1:15" s="236" customFormat="1" x14ac:dyDescent="0.25">
      <c r="A119" s="237" t="str">
        <f>name!E$12</f>
        <v>Elementary occupations</v>
      </c>
      <c r="B119" s="302">
        <v>6.2262807411402506E-2</v>
      </c>
      <c r="C119" s="302">
        <v>1.3011527239328288E-2</v>
      </c>
      <c r="D119" s="302">
        <v>1.1326502422840175E-2</v>
      </c>
      <c r="E119" s="302">
        <f t="shared" si="56"/>
        <v>8.6600837073570969E-2</v>
      </c>
      <c r="F119" s="303"/>
      <c r="G119" s="302">
        <v>1.9029475395149341E-2</v>
      </c>
      <c r="H119" s="302">
        <v>3.8554311544126748E-3</v>
      </c>
      <c r="I119" s="302">
        <v>0</v>
      </c>
      <c r="J119" s="302">
        <f t="shared" si="59"/>
        <v>2.2884906549562017E-2</v>
      </c>
      <c r="K119" s="303"/>
      <c r="L119" s="302">
        <v>1.0291676710479173E-2</v>
      </c>
      <c r="M119" s="302">
        <v>1.8682004489412481E-3</v>
      </c>
      <c r="N119" s="302">
        <v>0</v>
      </c>
      <c r="O119" s="302">
        <f t="shared" si="58"/>
        <v>1.2159877159420421E-2</v>
      </c>
    </row>
    <row r="120" spans="1:15" s="236" customFormat="1" x14ac:dyDescent="0.25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5">
      <c r="A121" s="244" t="s">
        <v>33</v>
      </c>
      <c r="B121" s="311">
        <f>SUM(B111:B119)</f>
        <v>4.607368744239329</v>
      </c>
      <c r="C121" s="311">
        <f t="shared" ref="C121:E121" si="60">SUM(C111:C119)</f>
        <v>0.34410884249778617</v>
      </c>
      <c r="D121" s="311">
        <f t="shared" si="60"/>
        <v>0.27352241326287968</v>
      </c>
      <c r="E121" s="311">
        <f t="shared" si="60"/>
        <v>5.2249999999999961</v>
      </c>
      <c r="F121" s="311"/>
      <c r="G121" s="311">
        <f t="shared" ref="G121:J121" si="61">SUM(G111:G119)</f>
        <v>1.839451744488783</v>
      </c>
      <c r="H121" s="311">
        <f t="shared" si="61"/>
        <v>0.13154825551121613</v>
      </c>
      <c r="I121" s="311">
        <f t="shared" si="61"/>
        <v>0</v>
      </c>
      <c r="J121" s="311">
        <f t="shared" si="61"/>
        <v>1.970999999999999</v>
      </c>
      <c r="K121" s="311"/>
      <c r="L121" s="311">
        <f t="shared" ref="L121:O121" si="62">SUM(L111:L119)</f>
        <v>1.6951236514537404</v>
      </c>
      <c r="M121" s="311">
        <f t="shared" si="62"/>
        <v>0.12287634854625927</v>
      </c>
      <c r="N121" s="311">
        <f t="shared" si="62"/>
        <v>0</v>
      </c>
      <c r="O121" s="311">
        <f t="shared" si="62"/>
        <v>1.8179999999999994</v>
      </c>
    </row>
    <row r="122" spans="1:15" s="236" customFormat="1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ht="13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ht="13" x14ac:dyDescent="0.3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ht="13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ht="13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5">
      <c r="A128" s="237" t="str">
        <f>name!E$4</f>
        <v>Managers, directors and senior officials</v>
      </c>
      <c r="B128" s="302">
        <v>0.35276889983424575</v>
      </c>
      <c r="C128" s="302">
        <v>1.3654080930277668E-2</v>
      </c>
      <c r="D128" s="302">
        <v>4.0064642917630476E-2</v>
      </c>
      <c r="E128" s="302">
        <f>SUM(B128:D128)</f>
        <v>0.40648762368215385</v>
      </c>
      <c r="F128" s="303"/>
      <c r="G128" s="302">
        <v>0.29245511399582402</v>
      </c>
      <c r="H128" s="302">
        <v>7.4295250753445244E-2</v>
      </c>
      <c r="I128" s="302">
        <v>1.840596153070784E-3</v>
      </c>
      <c r="J128" s="302">
        <f>SUM(G128:I128)</f>
        <v>0.36859096090234006</v>
      </c>
      <c r="K128" s="303"/>
      <c r="L128" s="302">
        <v>0.3112499614675131</v>
      </c>
      <c r="M128" s="302">
        <v>0.10544967336976691</v>
      </c>
      <c r="N128" s="302">
        <v>1.9296693871704833E-3</v>
      </c>
      <c r="O128" s="302">
        <f>SUM(L128:N128)</f>
        <v>0.41862930422445049</v>
      </c>
    </row>
    <row r="129" spans="1:15" s="236" customFormat="1" x14ac:dyDescent="0.25">
      <c r="A129" s="237" t="str">
        <f>name!E$5</f>
        <v>Professional occupations</v>
      </c>
      <c r="B129" s="302">
        <v>0.36509117318246681</v>
      </c>
      <c r="C129" s="302">
        <v>3.0181565832542796E-2</v>
      </c>
      <c r="D129" s="302">
        <v>2.6122131022644126E-2</v>
      </c>
      <c r="E129" s="302">
        <f t="shared" ref="E129:E136" si="63">SUM(B129:D129)</f>
        <v>0.42139487003765369</v>
      </c>
      <c r="F129" s="303"/>
      <c r="G129" s="302">
        <v>0.3368388459317268</v>
      </c>
      <c r="H129" s="302">
        <v>7.5959719171102905E-2</v>
      </c>
      <c r="I129" s="302">
        <v>2.6892361357495937E-3</v>
      </c>
      <c r="J129" s="302">
        <f t="shared" ref="J129:J131" si="64">SUM(G129:I129)</f>
        <v>0.41548780123857931</v>
      </c>
      <c r="K129" s="303"/>
      <c r="L129" s="302">
        <v>0.381193770282649</v>
      </c>
      <c r="M129" s="302">
        <v>8.9542553892276888E-2</v>
      </c>
      <c r="N129" s="302">
        <v>2.415642219238586E-3</v>
      </c>
      <c r="O129" s="302">
        <f t="shared" ref="O129:O136" si="65">SUM(L129:N129)</f>
        <v>0.47315196639416446</v>
      </c>
    </row>
    <row r="130" spans="1:15" s="236" customFormat="1" x14ac:dyDescent="0.25">
      <c r="A130" s="237" t="str">
        <f>name!E$6</f>
        <v>Associate professional occupations</v>
      </c>
      <c r="B130" s="302">
        <v>0.47716788470891619</v>
      </c>
      <c r="C130" s="302">
        <v>6.1808941288710062E-2</v>
      </c>
      <c r="D130" s="302">
        <v>2.9321903208154622E-2</v>
      </c>
      <c r="E130" s="302">
        <f t="shared" si="63"/>
        <v>0.56829872920578084</v>
      </c>
      <c r="F130" s="303"/>
      <c r="G130" s="302">
        <v>0.46385390071292376</v>
      </c>
      <c r="H130" s="302">
        <v>0.13165398999379688</v>
      </c>
      <c r="I130" s="302">
        <v>2.9535829845435996E-3</v>
      </c>
      <c r="J130" s="302">
        <f t="shared" si="64"/>
        <v>0.59846147369126423</v>
      </c>
      <c r="K130" s="303"/>
      <c r="L130" s="302">
        <v>0.5821536740306813</v>
      </c>
      <c r="M130" s="302">
        <v>0.13857817650873597</v>
      </c>
      <c r="N130" s="302">
        <v>3.6265883909803722E-3</v>
      </c>
      <c r="O130" s="302">
        <f t="shared" si="65"/>
        <v>0.72435843893039764</v>
      </c>
    </row>
    <row r="131" spans="1:15" s="236" customFormat="1" x14ac:dyDescent="0.25">
      <c r="A131" s="237" t="str">
        <f>name!E$7</f>
        <v>Administrative and secretarial occupations</v>
      </c>
      <c r="B131" s="302">
        <v>0.27537603133361266</v>
      </c>
      <c r="C131" s="302">
        <v>9.3025211746468744E-2</v>
      </c>
      <c r="D131" s="302">
        <v>8.1886759855167284E-3</v>
      </c>
      <c r="E131" s="302">
        <f t="shared" si="63"/>
        <v>0.37658991906559808</v>
      </c>
      <c r="F131" s="303"/>
      <c r="G131" s="302">
        <v>0.24246742858176137</v>
      </c>
      <c r="H131" s="302">
        <v>0.23441297857074481</v>
      </c>
      <c r="I131" s="302">
        <v>7.8545049582649275E-4</v>
      </c>
      <c r="J131" s="302">
        <f t="shared" si="64"/>
        <v>0.47766585764833269</v>
      </c>
      <c r="K131" s="303"/>
      <c r="L131" s="302">
        <v>0.19879918981123904</v>
      </c>
      <c r="M131" s="302">
        <v>0.2251565687589604</v>
      </c>
      <c r="N131" s="302">
        <v>6.229403519821215E-4</v>
      </c>
      <c r="O131" s="302">
        <f t="shared" si="65"/>
        <v>0.42457869892218153</v>
      </c>
    </row>
    <row r="132" spans="1:15" s="236" customFormat="1" x14ac:dyDescent="0.25">
      <c r="A132" s="237" t="str">
        <f>name!E$8</f>
        <v>Skilled trades occupations</v>
      </c>
      <c r="B132" s="302">
        <v>0.4116117902655208</v>
      </c>
      <c r="C132" s="302">
        <v>1.4972661707314093E-2</v>
      </c>
      <c r="D132" s="302">
        <v>7.3873869811652212E-2</v>
      </c>
      <c r="E132" s="302">
        <f t="shared" si="63"/>
        <v>0.50045832178448713</v>
      </c>
      <c r="F132" s="303"/>
      <c r="G132" s="302">
        <v>0.25975404678063768</v>
      </c>
      <c r="H132" s="302">
        <v>0.10833309908724913</v>
      </c>
      <c r="I132" s="302">
        <v>3.7806804790123773E-3</v>
      </c>
      <c r="J132" s="302">
        <f>SUM(G132:I132)</f>
        <v>0.37186782634689919</v>
      </c>
      <c r="K132" s="303"/>
      <c r="L132" s="302">
        <v>0.25465369934424925</v>
      </c>
      <c r="M132" s="302">
        <v>0.15181284493062636</v>
      </c>
      <c r="N132" s="302">
        <v>3.8528672802213473E-3</v>
      </c>
      <c r="O132" s="302">
        <f t="shared" si="65"/>
        <v>0.41031941155509694</v>
      </c>
    </row>
    <row r="133" spans="1:15" s="236" customFormat="1" x14ac:dyDescent="0.25">
      <c r="A133" s="237" t="str">
        <f>name!E$9</f>
        <v>Caring, leisure and other service occupations</v>
      </c>
      <c r="B133" s="302">
        <v>8.2416321686391444E-2</v>
      </c>
      <c r="C133" s="302">
        <v>1.0522671301083428E-2</v>
      </c>
      <c r="D133" s="302">
        <v>1.4897681983066794E-2</v>
      </c>
      <c r="E133" s="302">
        <f t="shared" si="63"/>
        <v>0.10783667497054167</v>
      </c>
      <c r="F133" s="303"/>
      <c r="G133" s="302">
        <v>7.5179630929491661E-2</v>
      </c>
      <c r="H133" s="302">
        <v>2.0095737658879339E-2</v>
      </c>
      <c r="I133" s="302">
        <v>1.4671738172401594E-3</v>
      </c>
      <c r="J133" s="302">
        <f t="shared" ref="J133:J136" si="66">SUM(G133:I133)</f>
        <v>9.6742542405611157E-2</v>
      </c>
      <c r="K133" s="303"/>
      <c r="L133" s="302">
        <v>9.519977228877663E-2</v>
      </c>
      <c r="M133" s="302">
        <v>1.4301643258943605E-2</v>
      </c>
      <c r="N133" s="302">
        <v>1.6120251698566489E-3</v>
      </c>
      <c r="O133" s="302">
        <f t="shared" si="65"/>
        <v>0.11111344071757688</v>
      </c>
    </row>
    <row r="134" spans="1:15" s="236" customFormat="1" x14ac:dyDescent="0.25">
      <c r="A134" s="237" t="str">
        <f>name!E$10</f>
        <v>Sales and customer service occupations</v>
      </c>
      <c r="B134" s="302">
        <v>0.1036733632906483</v>
      </c>
      <c r="C134" s="302">
        <v>3.4779742423577654E-2</v>
      </c>
      <c r="D134" s="302">
        <v>1.1518307024203117E-2</v>
      </c>
      <c r="E134" s="302">
        <f t="shared" si="63"/>
        <v>0.14997141273842907</v>
      </c>
      <c r="F134" s="303"/>
      <c r="G134" s="302">
        <v>8.405866122763396E-2</v>
      </c>
      <c r="H134" s="302">
        <v>0.11854030151959812</v>
      </c>
      <c r="I134" s="302">
        <v>4.2303490133611211E-4</v>
      </c>
      <c r="J134" s="302">
        <f t="shared" si="66"/>
        <v>0.20302199764856818</v>
      </c>
      <c r="K134" s="303"/>
      <c r="L134" s="302">
        <v>9.9887850299529304E-2</v>
      </c>
      <c r="M134" s="302">
        <v>8.9846952984467293E-2</v>
      </c>
      <c r="N134" s="302">
        <v>3.3683585253717872E-4</v>
      </c>
      <c r="O134" s="302">
        <f t="shared" si="65"/>
        <v>0.1900716391365338</v>
      </c>
    </row>
    <row r="135" spans="1:15" s="236" customFormat="1" x14ac:dyDescent="0.25">
      <c r="A135" s="237" t="str">
        <f>name!E$11</f>
        <v>Process, plant and machine operatives</v>
      </c>
      <c r="B135" s="302">
        <v>0.99211218997173489</v>
      </c>
      <c r="C135" s="302">
        <v>1.5277507642856104E-2</v>
      </c>
      <c r="D135" s="302">
        <v>1.1785161092317529E-2</v>
      </c>
      <c r="E135" s="302">
        <f t="shared" si="63"/>
        <v>1.0191748587069085</v>
      </c>
      <c r="F135" s="303"/>
      <c r="G135" s="302">
        <v>0.59655806820244173</v>
      </c>
      <c r="H135" s="302">
        <v>0.15566862211731064</v>
      </c>
      <c r="I135" s="302">
        <v>6.5328810153539914E-4</v>
      </c>
      <c r="J135" s="302">
        <f t="shared" si="66"/>
        <v>0.75287997842128773</v>
      </c>
      <c r="K135" s="303"/>
      <c r="L135" s="302">
        <v>0.68222128562345641</v>
      </c>
      <c r="M135" s="302">
        <v>0.20844991875059399</v>
      </c>
      <c r="N135" s="302">
        <v>2.6979289662546645E-4</v>
      </c>
      <c r="O135" s="302">
        <f t="shared" si="65"/>
        <v>0.89094099727067577</v>
      </c>
    </row>
    <row r="136" spans="1:15" s="236" customFormat="1" x14ac:dyDescent="0.25">
      <c r="A136" s="237" t="str">
        <f>name!E$12</f>
        <v>Elementary occupations</v>
      </c>
      <c r="B136" s="302">
        <v>0.69739579604675128</v>
      </c>
      <c r="C136" s="302">
        <v>6.1915845647030211E-2</v>
      </c>
      <c r="D136" s="302">
        <v>2.2475948114652339E-2</v>
      </c>
      <c r="E136" s="302">
        <f t="shared" si="63"/>
        <v>0.78178758980843388</v>
      </c>
      <c r="F136" s="303"/>
      <c r="G136" s="302">
        <v>0.41120351913876563</v>
      </c>
      <c r="H136" s="302">
        <v>0.10578056019038005</v>
      </c>
      <c r="I136" s="302">
        <v>1.2974823679735574E-3</v>
      </c>
      <c r="J136" s="302">
        <f t="shared" si="66"/>
        <v>0.51828156169711925</v>
      </c>
      <c r="K136" s="303"/>
      <c r="L136" s="302">
        <v>0.33339035558962976</v>
      </c>
      <c r="M136" s="302">
        <v>7.0036015456150499E-2</v>
      </c>
      <c r="N136" s="302">
        <v>1.4097318031423198E-3</v>
      </c>
      <c r="O136" s="302">
        <f t="shared" si="65"/>
        <v>0.40483610284892257</v>
      </c>
    </row>
    <row r="137" spans="1:15" s="236" customFormat="1" x14ac:dyDescent="0.25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5">
      <c r="A138" s="244" t="s">
        <v>33</v>
      </c>
      <c r="B138" s="311">
        <f>SUM(B128:B136)</f>
        <v>3.7576134503202883</v>
      </c>
      <c r="C138" s="311">
        <f t="shared" ref="C138:E138" si="67">SUM(C128:C136)</f>
        <v>0.3361382285198608</v>
      </c>
      <c r="D138" s="311">
        <f t="shared" si="67"/>
        <v>0.23824832115983796</v>
      </c>
      <c r="E138" s="311">
        <f t="shared" si="67"/>
        <v>4.3319999999999865</v>
      </c>
      <c r="F138" s="311"/>
      <c r="G138" s="311">
        <f t="shared" ref="G138:J138" si="68">SUM(G128:G136)</f>
        <v>2.7623692155012067</v>
      </c>
      <c r="H138" s="311">
        <f t="shared" si="68"/>
        <v>1.024740259062507</v>
      </c>
      <c r="I138" s="311">
        <f t="shared" si="68"/>
        <v>1.5890525436288078E-2</v>
      </c>
      <c r="J138" s="311">
        <f t="shared" si="68"/>
        <v>3.8030000000000017</v>
      </c>
      <c r="K138" s="311"/>
      <c r="L138" s="311">
        <f t="shared" ref="L138:O138" si="69">SUM(L128:L136)</f>
        <v>2.9387495587377237</v>
      </c>
      <c r="M138" s="311">
        <f t="shared" si="69"/>
        <v>1.093174347910522</v>
      </c>
      <c r="N138" s="311">
        <f t="shared" si="69"/>
        <v>1.6076093351754524E-2</v>
      </c>
      <c r="O138" s="311">
        <f t="shared" si="69"/>
        <v>4.048</v>
      </c>
    </row>
    <row r="139" spans="1:15" s="236" customFormat="1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ht="13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ht="13" x14ac:dyDescent="0.3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ht="13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ht="13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5">
      <c r="A145" s="237" t="str">
        <f>name!E$4</f>
        <v>Managers, directors and senior officials</v>
      </c>
      <c r="B145" s="302">
        <v>1.4930937127127133</v>
      </c>
      <c r="C145" s="302">
        <v>0.20345596126372306</v>
      </c>
      <c r="D145" s="302">
        <v>0.53221903289365891</v>
      </c>
      <c r="E145" s="302">
        <f>SUM(B145:D145)</f>
        <v>2.2287687068700954</v>
      </c>
      <c r="F145" s="303"/>
      <c r="G145" s="302">
        <v>1.7181869443038871</v>
      </c>
      <c r="H145" s="302">
        <v>0.29328262131663524</v>
      </c>
      <c r="I145" s="302">
        <v>1.3312710741056095</v>
      </c>
      <c r="J145" s="302">
        <f>SUM(G145:I145)</f>
        <v>3.3427406397261317</v>
      </c>
      <c r="K145" s="303"/>
      <c r="L145" s="302">
        <v>1.8494182373078647</v>
      </c>
      <c r="M145" s="302">
        <v>0.33166719787858334</v>
      </c>
      <c r="N145" s="302">
        <v>1.3827703387224752</v>
      </c>
      <c r="O145" s="302">
        <f>SUM(L145:N145)</f>
        <v>3.5638557739089234</v>
      </c>
    </row>
    <row r="146" spans="1:15" s="236" customFormat="1" x14ac:dyDescent="0.25">
      <c r="A146" s="237" t="str">
        <f>name!E$5</f>
        <v>Professional occupations</v>
      </c>
      <c r="B146" s="302">
        <v>2.6253785973371491</v>
      </c>
      <c r="C146" s="302">
        <v>0.14214412097355045</v>
      </c>
      <c r="D146" s="302">
        <v>0.38233204531891862</v>
      </c>
      <c r="E146" s="302">
        <f t="shared" ref="E146:E153" si="70">SUM(B146:D146)</f>
        <v>3.1498547636296181</v>
      </c>
      <c r="F146" s="303"/>
      <c r="G146" s="302">
        <v>3.2997478016623609</v>
      </c>
      <c r="H146" s="302">
        <v>0.1766413215231957</v>
      </c>
      <c r="I146" s="302">
        <v>0.89485139851910311</v>
      </c>
      <c r="J146" s="302">
        <f t="shared" ref="J146:J148" si="71">SUM(G146:I146)</f>
        <v>4.3712405217046602</v>
      </c>
      <c r="K146" s="303"/>
      <c r="L146" s="302">
        <v>4.0167024608250186</v>
      </c>
      <c r="M146" s="302">
        <v>0.20970468481195778</v>
      </c>
      <c r="N146" s="302">
        <v>0.72024477357400063</v>
      </c>
      <c r="O146" s="302">
        <f t="shared" ref="O146:O153" si="72">SUM(L146:N146)</f>
        <v>4.9466519192109768</v>
      </c>
    </row>
    <row r="147" spans="1:15" s="236" customFormat="1" x14ac:dyDescent="0.25">
      <c r="A147" s="237" t="str">
        <f>name!E$6</f>
        <v>Associate professional occupations</v>
      </c>
      <c r="B147" s="302">
        <v>1.2810413251794561</v>
      </c>
      <c r="C147" s="302">
        <v>0.19246993459239381</v>
      </c>
      <c r="D147" s="302">
        <v>0.13761913172150381</v>
      </c>
      <c r="E147" s="302">
        <f t="shared" si="70"/>
        <v>1.6111303914933539</v>
      </c>
      <c r="F147" s="303"/>
      <c r="G147" s="302">
        <v>1.5596374528799632</v>
      </c>
      <c r="H147" s="302">
        <v>0.22084424597199706</v>
      </c>
      <c r="I147" s="302">
        <v>0.25205597045811801</v>
      </c>
      <c r="J147" s="302">
        <f t="shared" si="71"/>
        <v>2.0325376693100781</v>
      </c>
      <c r="K147" s="303"/>
      <c r="L147" s="302">
        <v>1.5427256363702795</v>
      </c>
      <c r="M147" s="302">
        <v>0.22132188512966683</v>
      </c>
      <c r="N147" s="302">
        <v>0.23486365967255257</v>
      </c>
      <c r="O147" s="302">
        <f t="shared" si="72"/>
        <v>1.9989111811724989</v>
      </c>
    </row>
    <row r="148" spans="1:15" s="236" customFormat="1" x14ac:dyDescent="0.25">
      <c r="A148" s="237" t="str">
        <f>name!E$7</f>
        <v>Administrative and secretarial occupations</v>
      </c>
      <c r="B148" s="302">
        <v>1.5801616871682627</v>
      </c>
      <c r="C148" s="302">
        <v>1.0939156184362333</v>
      </c>
      <c r="D148" s="302">
        <v>0.30169517959235753</v>
      </c>
      <c r="E148" s="302">
        <f t="shared" si="70"/>
        <v>2.9757724851968534</v>
      </c>
      <c r="F148" s="303"/>
      <c r="G148" s="302">
        <v>1.6240670566295676</v>
      </c>
      <c r="H148" s="302">
        <v>0.98452475422087393</v>
      </c>
      <c r="I148" s="302">
        <v>0.29990462730922957</v>
      </c>
      <c r="J148" s="302">
        <f t="shared" si="71"/>
        <v>2.9084964381596712</v>
      </c>
      <c r="K148" s="303"/>
      <c r="L148" s="302">
        <v>1.2837428651174296</v>
      </c>
      <c r="M148" s="302">
        <v>0.9918611498052381</v>
      </c>
      <c r="N148" s="302">
        <v>0.25149417323703593</v>
      </c>
      <c r="O148" s="302">
        <f t="shared" si="72"/>
        <v>2.5270981881597039</v>
      </c>
    </row>
    <row r="149" spans="1:15" s="236" customFormat="1" x14ac:dyDescent="0.25">
      <c r="A149" s="237" t="str">
        <f>name!E$8</f>
        <v>Skilled trades occupations</v>
      </c>
      <c r="B149" s="302">
        <v>8.4916912934519839</v>
      </c>
      <c r="C149" s="302">
        <v>0.46880469354202842</v>
      </c>
      <c r="D149" s="302">
        <v>7.1768822983612743</v>
      </c>
      <c r="E149" s="302">
        <f t="shared" si="70"/>
        <v>16.137378285355286</v>
      </c>
      <c r="F149" s="303"/>
      <c r="G149" s="302">
        <v>6.5604195903380527</v>
      </c>
      <c r="H149" s="302">
        <v>0.22319451459442449</v>
      </c>
      <c r="I149" s="302">
        <v>11.750852096773958</v>
      </c>
      <c r="J149" s="302">
        <f>SUM(G149:I149)</f>
        <v>18.534466201706437</v>
      </c>
      <c r="K149" s="303"/>
      <c r="L149" s="302">
        <v>5.5666226332739823</v>
      </c>
      <c r="M149" s="302">
        <v>0.32515469846472095</v>
      </c>
      <c r="N149" s="302">
        <v>11.710961896111019</v>
      </c>
      <c r="O149" s="302">
        <f t="shared" si="72"/>
        <v>17.602739227849725</v>
      </c>
    </row>
    <row r="150" spans="1:15" s="236" customFormat="1" x14ac:dyDescent="0.25">
      <c r="A150" s="237" t="str">
        <f>name!E$9</f>
        <v>Caring, leisure and other service occupations</v>
      </c>
      <c r="B150" s="302">
        <v>4.5106815829444966E-2</v>
      </c>
      <c r="C150" s="302">
        <v>2.4910240344349278E-2</v>
      </c>
      <c r="D150" s="302">
        <v>1.1241763804422357E-2</v>
      </c>
      <c r="E150" s="302">
        <f t="shared" si="70"/>
        <v>8.1258819978216601E-2</v>
      </c>
      <c r="F150" s="303"/>
      <c r="G150" s="302">
        <v>4.7460353847789974E-2</v>
      </c>
      <c r="H150" s="302">
        <v>2.1241492421107948E-2</v>
      </c>
      <c r="I150" s="302">
        <v>1.576264607716622E-2</v>
      </c>
      <c r="J150" s="302">
        <f t="shared" ref="J150:J153" si="73">SUM(G150:I150)</f>
        <v>8.4464492346064138E-2</v>
      </c>
      <c r="K150" s="303"/>
      <c r="L150" s="302">
        <v>4.990225305941743E-2</v>
      </c>
      <c r="M150" s="302">
        <v>1.9024735589117936E-2</v>
      </c>
      <c r="N150" s="302">
        <v>2.8519948982874264E-2</v>
      </c>
      <c r="O150" s="302">
        <f t="shared" si="72"/>
        <v>9.744693763140963E-2</v>
      </c>
    </row>
    <row r="151" spans="1:15" s="236" customFormat="1" x14ac:dyDescent="0.25">
      <c r="A151" s="237" t="str">
        <f>name!E$10</f>
        <v>Sales and customer service occupations</v>
      </c>
      <c r="B151" s="302">
        <v>0.36920438009815709</v>
      </c>
      <c r="C151" s="302">
        <v>0.23585485336193254</v>
      </c>
      <c r="D151" s="302">
        <v>6.5919860577852152E-2</v>
      </c>
      <c r="E151" s="302">
        <f t="shared" si="70"/>
        <v>0.67097909403794176</v>
      </c>
      <c r="F151" s="303"/>
      <c r="G151" s="302">
        <v>0.37082408174220993</v>
      </c>
      <c r="H151" s="302">
        <v>0.22470435773833963</v>
      </c>
      <c r="I151" s="302">
        <v>0.10283278599187577</v>
      </c>
      <c r="J151" s="302">
        <f t="shared" si="73"/>
        <v>0.6983612254724253</v>
      </c>
      <c r="K151" s="303"/>
      <c r="L151" s="302">
        <v>0.41445180151490851</v>
      </c>
      <c r="M151" s="302">
        <v>0.26839652646300788</v>
      </c>
      <c r="N151" s="302">
        <v>0.11366231375121187</v>
      </c>
      <c r="O151" s="302">
        <f t="shared" si="72"/>
        <v>0.79651064172912822</v>
      </c>
    </row>
    <row r="152" spans="1:15" s="236" customFormat="1" x14ac:dyDescent="0.25">
      <c r="A152" s="237" t="str">
        <f>name!E$11</f>
        <v>Process, plant and machine operatives</v>
      </c>
      <c r="B152" s="302">
        <v>2.022905249239678</v>
      </c>
      <c r="C152" s="302">
        <v>0.10312066688290815</v>
      </c>
      <c r="D152" s="302">
        <v>0.48597263782407246</v>
      </c>
      <c r="E152" s="302">
        <f t="shared" si="70"/>
        <v>2.6119985539466586</v>
      </c>
      <c r="F152" s="303"/>
      <c r="G152" s="302">
        <v>1.5786128422998595</v>
      </c>
      <c r="H152" s="302">
        <v>8.954677880972764E-2</v>
      </c>
      <c r="I152" s="302">
        <v>1.0712273865591502</v>
      </c>
      <c r="J152" s="302">
        <f t="shared" si="73"/>
        <v>2.7393870076687374</v>
      </c>
      <c r="K152" s="303"/>
      <c r="L152" s="302">
        <v>1.7551094659497379</v>
      </c>
      <c r="M152" s="302">
        <v>0.10999043500065343</v>
      </c>
      <c r="N152" s="302">
        <v>1.5737919723367322</v>
      </c>
      <c r="O152" s="302">
        <f t="shared" si="72"/>
        <v>3.4388918732871234</v>
      </c>
    </row>
    <row r="153" spans="1:15" s="236" customFormat="1" x14ac:dyDescent="0.25">
      <c r="A153" s="237" t="str">
        <f>name!E$12</f>
        <v>Elementary occupations</v>
      </c>
      <c r="B153" s="302">
        <v>1.0877920901369795</v>
      </c>
      <c r="C153" s="302">
        <v>0.58140394459422196</v>
      </c>
      <c r="D153" s="302">
        <v>0.62666286476074884</v>
      </c>
      <c r="E153" s="302">
        <f t="shared" si="70"/>
        <v>2.2958588994919502</v>
      </c>
      <c r="F153" s="303"/>
      <c r="G153" s="302">
        <v>0.82527502156313792</v>
      </c>
      <c r="H153" s="302">
        <v>0.41506211699440443</v>
      </c>
      <c r="I153" s="302">
        <v>1.0629686653482928</v>
      </c>
      <c r="J153" s="302">
        <f t="shared" si="73"/>
        <v>2.3033058039058352</v>
      </c>
      <c r="K153" s="303"/>
      <c r="L153" s="302">
        <v>0.67120616037545433</v>
      </c>
      <c r="M153" s="302">
        <v>0.31312939263632289</v>
      </c>
      <c r="N153" s="302">
        <v>1.4935587040387268</v>
      </c>
      <c r="O153" s="302">
        <f t="shared" si="72"/>
        <v>2.477894257050504</v>
      </c>
    </row>
    <row r="154" spans="1:15" s="236" customFormat="1" x14ac:dyDescent="0.25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5">
      <c r="A155" s="244" t="s">
        <v>33</v>
      </c>
      <c r="B155" s="311">
        <f>SUM(B145:B153)</f>
        <v>18.996375151153824</v>
      </c>
      <c r="C155" s="311">
        <f t="shared" ref="C155:E155" si="74">SUM(C145:C153)</f>
        <v>3.0460800339913403</v>
      </c>
      <c r="D155" s="311">
        <f t="shared" si="74"/>
        <v>9.7205448148548079</v>
      </c>
      <c r="E155" s="311">
        <f t="shared" si="74"/>
        <v>31.762999999999977</v>
      </c>
      <c r="F155" s="311"/>
      <c r="G155" s="311">
        <f t="shared" ref="G155:J155" si="75">SUM(G145:G153)</f>
        <v>17.584231145266827</v>
      </c>
      <c r="H155" s="311">
        <f t="shared" si="75"/>
        <v>2.6490422035907066</v>
      </c>
      <c r="I155" s="311">
        <f t="shared" si="75"/>
        <v>16.781726651142503</v>
      </c>
      <c r="J155" s="311">
        <f t="shared" si="75"/>
        <v>37.015000000000043</v>
      </c>
      <c r="K155" s="311"/>
      <c r="L155" s="311">
        <f t="shared" ref="L155:O155" si="76">SUM(L145:L153)</f>
        <v>17.149881513794096</v>
      </c>
      <c r="M155" s="311">
        <f t="shared" si="76"/>
        <v>2.7902507057792696</v>
      </c>
      <c r="N155" s="311">
        <f t="shared" si="76"/>
        <v>17.509867780426628</v>
      </c>
      <c r="O155" s="311">
        <f t="shared" si="76"/>
        <v>37.449999999999989</v>
      </c>
    </row>
    <row r="156" spans="1:15" s="236" customFormat="1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ht="13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ht="13" x14ac:dyDescent="0.3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ht="13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ht="13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5">
      <c r="A162" s="237" t="str">
        <f>name!E$4</f>
        <v>Managers, directors and senior officials</v>
      </c>
      <c r="B162" s="302">
        <v>8.7425722422970225</v>
      </c>
      <c r="C162" s="302">
        <v>1.0098103497193556</v>
      </c>
      <c r="D162" s="302">
        <v>2.0658472161842085</v>
      </c>
      <c r="E162" s="302">
        <f>SUM(B162:D162)</f>
        <v>11.818229808200586</v>
      </c>
      <c r="F162" s="303"/>
      <c r="G162" s="302">
        <v>9.3122066922657876</v>
      </c>
      <c r="H162" s="302">
        <v>1.673227721120766</v>
      </c>
      <c r="I162" s="302">
        <v>2.0909353860688644</v>
      </c>
      <c r="J162" s="302">
        <f>SUM(G162:I162)</f>
        <v>13.076369799455417</v>
      </c>
      <c r="K162" s="303"/>
      <c r="L162" s="302">
        <v>10.82270120402203</v>
      </c>
      <c r="M162" s="302">
        <v>2.1501535042199031</v>
      </c>
      <c r="N162" s="302">
        <v>2.5019745282992258</v>
      </c>
      <c r="O162" s="302">
        <f>SUM(L162:N162)</f>
        <v>15.474829236541158</v>
      </c>
    </row>
    <row r="163" spans="1:15" s="236" customFormat="1" x14ac:dyDescent="0.25">
      <c r="A163" s="237" t="str">
        <f>name!E$5</f>
        <v>Professional occupations</v>
      </c>
      <c r="B163" s="302">
        <v>5.6686978105503094</v>
      </c>
      <c r="C163" s="302">
        <v>1.5749228361908272</v>
      </c>
      <c r="D163" s="302">
        <v>0.6271980598492839</v>
      </c>
      <c r="E163" s="302">
        <f t="shared" ref="E163:E170" si="77">SUM(B163:D163)</f>
        <v>7.8708187065904207</v>
      </c>
      <c r="F163" s="303"/>
      <c r="G163" s="302">
        <v>6.8364588508475155</v>
      </c>
      <c r="H163" s="302">
        <v>2.0986134301199448</v>
      </c>
      <c r="I163" s="302">
        <v>0.46837158284727753</v>
      </c>
      <c r="J163" s="302">
        <f t="shared" ref="J163:J165" si="78">SUM(G163:I163)</f>
        <v>9.4034438638147382</v>
      </c>
      <c r="K163" s="303"/>
      <c r="L163" s="302">
        <v>9.0289406704860848</v>
      </c>
      <c r="M163" s="302">
        <v>2.5523267456815857</v>
      </c>
      <c r="N163" s="302">
        <v>0.36310661703992753</v>
      </c>
      <c r="O163" s="302">
        <f t="shared" ref="O163:O170" si="79">SUM(L163:N163)</f>
        <v>11.944374033207596</v>
      </c>
    </row>
    <row r="164" spans="1:15" s="236" customFormat="1" x14ac:dyDescent="0.25">
      <c r="A164" s="237" t="str">
        <f>name!E$6</f>
        <v>Associate professional occupations</v>
      </c>
      <c r="B164" s="302">
        <v>5.4642217261388311</v>
      </c>
      <c r="C164" s="302">
        <v>1.4313773667508252</v>
      </c>
      <c r="D164" s="302">
        <v>0.36396156153032866</v>
      </c>
      <c r="E164" s="302">
        <f t="shared" si="77"/>
        <v>7.2595606544199844</v>
      </c>
      <c r="F164" s="303"/>
      <c r="G164" s="302">
        <v>5.9946883088640686</v>
      </c>
      <c r="H164" s="302">
        <v>1.6836643615434328</v>
      </c>
      <c r="I164" s="302">
        <v>0.29010145782319113</v>
      </c>
      <c r="J164" s="302">
        <f t="shared" si="78"/>
        <v>7.9684541282306922</v>
      </c>
      <c r="K164" s="303"/>
      <c r="L164" s="302">
        <v>6.4957374613848771</v>
      </c>
      <c r="M164" s="302">
        <v>1.6655108406616139</v>
      </c>
      <c r="N164" s="302">
        <v>0.22958095913349746</v>
      </c>
      <c r="O164" s="302">
        <f t="shared" si="79"/>
        <v>8.3908292611799897</v>
      </c>
    </row>
    <row r="165" spans="1:15" s="236" customFormat="1" x14ac:dyDescent="0.25">
      <c r="A165" s="237" t="str">
        <f>name!E$7</f>
        <v>Administrative and secretarial occupations</v>
      </c>
      <c r="B165" s="302">
        <v>6.2740527675945312</v>
      </c>
      <c r="C165" s="302">
        <v>3.1389828086865599</v>
      </c>
      <c r="D165" s="302">
        <v>0.12045380204521443</v>
      </c>
      <c r="E165" s="302">
        <f t="shared" si="77"/>
        <v>9.5334893783263048</v>
      </c>
      <c r="F165" s="303"/>
      <c r="G165" s="302">
        <v>6.2082735526944308</v>
      </c>
      <c r="H165" s="302">
        <v>3.2609747397004414</v>
      </c>
      <c r="I165" s="302">
        <v>0.15057179428483522</v>
      </c>
      <c r="J165" s="302">
        <f t="shared" si="78"/>
        <v>9.6198200866797077</v>
      </c>
      <c r="K165" s="303"/>
      <c r="L165" s="302">
        <v>6.0726472796757651</v>
      </c>
      <c r="M165" s="302">
        <v>3.1052770927247511</v>
      </c>
      <c r="N165" s="302">
        <v>0.10952459849059004</v>
      </c>
      <c r="O165" s="302">
        <f t="shared" si="79"/>
        <v>9.2874489708911074</v>
      </c>
    </row>
    <row r="166" spans="1:15" s="236" customFormat="1" x14ac:dyDescent="0.25">
      <c r="A166" s="237" t="str">
        <f>name!E$8</f>
        <v>Skilled trades occupations</v>
      </c>
      <c r="B166" s="302">
        <v>6.88677216977639</v>
      </c>
      <c r="C166" s="302">
        <v>0.99674362860799648</v>
      </c>
      <c r="D166" s="302">
        <v>1.8555136946355801</v>
      </c>
      <c r="E166" s="302">
        <f t="shared" si="77"/>
        <v>9.7390294930199666</v>
      </c>
      <c r="F166" s="303"/>
      <c r="G166" s="302">
        <v>5.7092566405005378</v>
      </c>
      <c r="H166" s="302">
        <v>0.851473253757278</v>
      </c>
      <c r="I166" s="302">
        <v>1.1516762447328421</v>
      </c>
      <c r="J166" s="302">
        <f>SUM(G166:I166)</f>
        <v>7.7124061389906577</v>
      </c>
      <c r="K166" s="303"/>
      <c r="L166" s="302">
        <v>5.3337255576978277</v>
      </c>
      <c r="M166" s="302">
        <v>0.90063052024902857</v>
      </c>
      <c r="N166" s="302">
        <v>1.2873404062932159</v>
      </c>
      <c r="O166" s="302">
        <f t="shared" si="79"/>
        <v>7.5216964842400724</v>
      </c>
    </row>
    <row r="167" spans="1:15" s="236" customFormat="1" x14ac:dyDescent="0.25">
      <c r="A167" s="237" t="str">
        <f>name!E$9</f>
        <v>Caring, leisure and other service occupations</v>
      </c>
      <c r="B167" s="302">
        <v>0.52075841147067881</v>
      </c>
      <c r="C167" s="302">
        <v>0.18836174240185274</v>
      </c>
      <c r="D167" s="302">
        <v>5.8878148547146902E-2</v>
      </c>
      <c r="E167" s="302">
        <f t="shared" si="77"/>
        <v>0.76799830241967848</v>
      </c>
      <c r="F167" s="303"/>
      <c r="G167" s="302">
        <v>0.51600682463438974</v>
      </c>
      <c r="H167" s="302">
        <v>0.16780392004052358</v>
      </c>
      <c r="I167" s="302">
        <v>0.1092656118660791</v>
      </c>
      <c r="J167" s="302">
        <f t="shared" ref="J167:J170" si="80">SUM(G167:I167)</f>
        <v>0.7930763565409924</v>
      </c>
      <c r="K167" s="303"/>
      <c r="L167" s="302">
        <v>0.73797175872921761</v>
      </c>
      <c r="M167" s="302">
        <v>0.14488887955749741</v>
      </c>
      <c r="N167" s="302">
        <v>0.1837996223746188</v>
      </c>
      <c r="O167" s="302">
        <f t="shared" si="79"/>
        <v>1.0666602606613338</v>
      </c>
    </row>
    <row r="168" spans="1:15" s="236" customFormat="1" x14ac:dyDescent="0.25">
      <c r="A168" s="237" t="str">
        <f>name!E$10</f>
        <v>Sales and customer service occupations</v>
      </c>
      <c r="B168" s="302">
        <v>6.0855228007912405</v>
      </c>
      <c r="C168" s="302">
        <v>18.80386173928612</v>
      </c>
      <c r="D168" s="302">
        <v>0.9531786399482659</v>
      </c>
      <c r="E168" s="302">
        <f t="shared" si="77"/>
        <v>25.842563180025625</v>
      </c>
      <c r="F168" s="303"/>
      <c r="G168" s="302">
        <v>5.2544872400191371</v>
      </c>
      <c r="H168" s="302">
        <v>17.523888176626041</v>
      </c>
      <c r="I168" s="302">
        <v>0.59665189999837198</v>
      </c>
      <c r="J168" s="302">
        <f t="shared" si="80"/>
        <v>23.37502731664355</v>
      </c>
      <c r="K168" s="303"/>
      <c r="L168" s="302">
        <v>4.5271651592301803</v>
      </c>
      <c r="M168" s="302">
        <v>15.573994852809351</v>
      </c>
      <c r="N168" s="302">
        <v>0.44265242483004474</v>
      </c>
      <c r="O168" s="302">
        <f t="shared" si="79"/>
        <v>20.543812436869576</v>
      </c>
    </row>
    <row r="169" spans="1:15" s="236" customFormat="1" x14ac:dyDescent="0.25">
      <c r="A169" s="237" t="str">
        <f>name!E$11</f>
        <v>Process, plant and machine operatives</v>
      </c>
      <c r="B169" s="302">
        <v>6.7765843989983754</v>
      </c>
      <c r="C169" s="302">
        <v>1.3684707270066285</v>
      </c>
      <c r="D169" s="302">
        <v>0.1801714334492483</v>
      </c>
      <c r="E169" s="302">
        <f t="shared" si="77"/>
        <v>8.3252265594542525</v>
      </c>
      <c r="F169" s="303"/>
      <c r="G169" s="302">
        <v>5.1815512632945371</v>
      </c>
      <c r="H169" s="302">
        <v>1.3974157517526218</v>
      </c>
      <c r="I169" s="302">
        <v>0.1493808626455711</v>
      </c>
      <c r="J169" s="302">
        <f t="shared" si="80"/>
        <v>6.7283478776927295</v>
      </c>
      <c r="K169" s="303"/>
      <c r="L169" s="302">
        <v>5.8163767033242726</v>
      </c>
      <c r="M169" s="302">
        <v>1.8284819631561831</v>
      </c>
      <c r="N169" s="302">
        <v>0.19887010615776676</v>
      </c>
      <c r="O169" s="302">
        <f t="shared" si="79"/>
        <v>7.8437287726382223</v>
      </c>
    </row>
    <row r="170" spans="1:15" s="236" customFormat="1" x14ac:dyDescent="0.25">
      <c r="A170" s="237" t="str">
        <f>name!E$12</f>
        <v>Elementary occupations</v>
      </c>
      <c r="B170" s="302">
        <v>5.6830328986375829</v>
      </c>
      <c r="C170" s="302">
        <v>5.0196971405865094</v>
      </c>
      <c r="D170" s="302">
        <v>0.20635387831910287</v>
      </c>
      <c r="E170" s="302">
        <f t="shared" si="77"/>
        <v>10.909083917543196</v>
      </c>
      <c r="F170" s="303"/>
      <c r="G170" s="302">
        <v>4.1801184589312665</v>
      </c>
      <c r="H170" s="302">
        <v>4.0407224411440135</v>
      </c>
      <c r="I170" s="302">
        <v>0.17621353187619354</v>
      </c>
      <c r="J170" s="302">
        <f t="shared" si="80"/>
        <v>8.3970544319514744</v>
      </c>
      <c r="K170" s="303"/>
      <c r="L170" s="302">
        <v>3.5457208535110709</v>
      </c>
      <c r="M170" s="302">
        <v>2.9883202073786541</v>
      </c>
      <c r="N170" s="302">
        <v>0.23557948288120115</v>
      </c>
      <c r="O170" s="302">
        <f t="shared" si="79"/>
        <v>6.7696205437709267</v>
      </c>
    </row>
    <row r="171" spans="1:15" s="236" customFormat="1" x14ac:dyDescent="0.25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5">
      <c r="A172" s="244" t="s">
        <v>33</v>
      </c>
      <c r="B172" s="311">
        <f>SUM(B162:B170)</f>
        <v>52.102215226254962</v>
      </c>
      <c r="C172" s="311">
        <f t="shared" ref="C172:E172" si="81">SUM(C162:C170)</f>
        <v>33.532228339236674</v>
      </c>
      <c r="D172" s="311">
        <f t="shared" si="81"/>
        <v>6.4315564345083809</v>
      </c>
      <c r="E172" s="311">
        <f t="shared" si="81"/>
        <v>92.066000000000017</v>
      </c>
      <c r="F172" s="311"/>
      <c r="G172" s="311">
        <f t="shared" ref="G172:J172" si="82">SUM(G162:G170)</f>
        <v>49.193047832051676</v>
      </c>
      <c r="H172" s="311">
        <f t="shared" si="82"/>
        <v>32.697783795805066</v>
      </c>
      <c r="I172" s="311">
        <f t="shared" si="82"/>
        <v>5.1831683721432267</v>
      </c>
      <c r="J172" s="311">
        <f t="shared" si="82"/>
        <v>87.073999999999955</v>
      </c>
      <c r="K172" s="311"/>
      <c r="L172" s="311">
        <f t="shared" ref="L172:O172" si="83">SUM(L162:L170)</f>
        <v>52.380986648061324</v>
      </c>
      <c r="M172" s="311">
        <f t="shared" si="83"/>
        <v>30.909584606438568</v>
      </c>
      <c r="N172" s="311">
        <f t="shared" si="83"/>
        <v>5.5524287455000874</v>
      </c>
      <c r="O172" s="311">
        <f t="shared" si="83"/>
        <v>88.842999999999975</v>
      </c>
    </row>
    <row r="173" spans="1:15" s="236" customFormat="1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ht="13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ht="13" x14ac:dyDescent="0.3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ht="13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ht="13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5">
      <c r="A179" s="237" t="str">
        <f>name!E$4</f>
        <v>Managers, directors and senior officials</v>
      </c>
      <c r="B179" s="302">
        <v>1.9974470863005012</v>
      </c>
      <c r="C179" s="302">
        <v>9.8324702550229223E-2</v>
      </c>
      <c r="D179" s="302">
        <v>0.40065401157277608</v>
      </c>
      <c r="E179" s="302">
        <f>SUM(B179:D179)</f>
        <v>2.4964258004235065</v>
      </c>
      <c r="F179" s="303"/>
      <c r="G179" s="302">
        <v>2.2861527218715509</v>
      </c>
      <c r="H179" s="302">
        <v>0.28623231713166142</v>
      </c>
      <c r="I179" s="302">
        <v>0.45494914309642887</v>
      </c>
      <c r="J179" s="302">
        <f>SUM(G179:I179)</f>
        <v>3.0273341820996413</v>
      </c>
      <c r="K179" s="303"/>
      <c r="L179" s="302">
        <v>2.8872063973701669</v>
      </c>
      <c r="M179" s="302">
        <v>0.40819880945662118</v>
      </c>
      <c r="N179" s="302">
        <v>0.49989144488716841</v>
      </c>
      <c r="O179" s="302">
        <f>SUM(L179:N179)</f>
        <v>3.7952966517139566</v>
      </c>
    </row>
    <row r="180" spans="1:15" s="236" customFormat="1" x14ac:dyDescent="0.25">
      <c r="A180" s="237" t="str">
        <f>name!E$5</f>
        <v>Professional occupations</v>
      </c>
      <c r="B180" s="302">
        <v>1.4348803915263408</v>
      </c>
      <c r="C180" s="302">
        <v>8.2767836527091965E-2</v>
      </c>
      <c r="D180" s="302">
        <v>0.13459379446626077</v>
      </c>
      <c r="E180" s="302">
        <f t="shared" ref="E180:E187" si="84">SUM(B180:D180)</f>
        <v>1.6522420225196937</v>
      </c>
      <c r="F180" s="303"/>
      <c r="G180" s="302">
        <v>1.8565013300192368</v>
      </c>
      <c r="H180" s="302">
        <v>0.21659630313929898</v>
      </c>
      <c r="I180" s="302">
        <v>0.14029896512982976</v>
      </c>
      <c r="J180" s="302">
        <f t="shared" ref="J180:J182" si="85">SUM(G180:I180)</f>
        <v>2.2133965982883654</v>
      </c>
      <c r="K180" s="303"/>
      <c r="L180" s="302">
        <v>2.5750135798299008</v>
      </c>
      <c r="M180" s="302">
        <v>0.35525073452304989</v>
      </c>
      <c r="N180" s="302">
        <v>0.12751218258473165</v>
      </c>
      <c r="O180" s="302">
        <f t="shared" ref="O180:O187" si="86">SUM(L180:N180)</f>
        <v>3.0577764969376822</v>
      </c>
    </row>
    <row r="181" spans="1:15" s="236" customFormat="1" x14ac:dyDescent="0.25">
      <c r="A181" s="237" t="str">
        <f>name!E$6</f>
        <v>Associate professional occupations</v>
      </c>
      <c r="B181" s="302">
        <v>1.4328242969528953</v>
      </c>
      <c r="C181" s="302">
        <v>0.13084517903207787</v>
      </c>
      <c r="D181" s="302">
        <v>7.5415021343754038E-2</v>
      </c>
      <c r="E181" s="302">
        <f t="shared" si="84"/>
        <v>1.6390844973287273</v>
      </c>
      <c r="F181" s="303"/>
      <c r="G181" s="302">
        <v>1.6206580644040784</v>
      </c>
      <c r="H181" s="302">
        <v>0.25401125162538524</v>
      </c>
      <c r="I181" s="302">
        <v>7.7869458253953389E-2</v>
      </c>
      <c r="J181" s="302">
        <f t="shared" si="85"/>
        <v>1.952538774283417</v>
      </c>
      <c r="K181" s="303"/>
      <c r="L181" s="302">
        <v>1.7520221832011298</v>
      </c>
      <c r="M181" s="302">
        <v>0.31932804927559183</v>
      </c>
      <c r="N181" s="302">
        <v>6.9079015745187128E-2</v>
      </c>
      <c r="O181" s="302">
        <f t="shared" si="86"/>
        <v>2.1404292482219089</v>
      </c>
    </row>
    <row r="182" spans="1:15" s="236" customFormat="1" x14ac:dyDescent="0.25">
      <c r="A182" s="237" t="str">
        <f>name!E$7</f>
        <v>Administrative and secretarial occupations</v>
      </c>
      <c r="B182" s="302">
        <v>2.4441207225717556</v>
      </c>
      <c r="C182" s="302">
        <v>0.93179166716904815</v>
      </c>
      <c r="D182" s="302">
        <v>7.086274640026019E-2</v>
      </c>
      <c r="E182" s="302">
        <f t="shared" si="84"/>
        <v>3.4467751361410639</v>
      </c>
      <c r="F182" s="303"/>
      <c r="G182" s="302">
        <v>2.5117056648874065</v>
      </c>
      <c r="H182" s="302">
        <v>1.1290136082364353</v>
      </c>
      <c r="I182" s="302">
        <v>6.0034796454173367E-2</v>
      </c>
      <c r="J182" s="302">
        <f t="shared" si="85"/>
        <v>3.7007540695780148</v>
      </c>
      <c r="K182" s="303"/>
      <c r="L182" s="302">
        <v>2.7041416831398282</v>
      </c>
      <c r="M182" s="302">
        <v>1.1472975326394859</v>
      </c>
      <c r="N182" s="302">
        <v>6.1728088832116973E-2</v>
      </c>
      <c r="O182" s="302">
        <f t="shared" si="86"/>
        <v>3.9131673046114308</v>
      </c>
    </row>
    <row r="183" spans="1:15" s="236" customFormat="1" x14ac:dyDescent="0.25">
      <c r="A183" s="237" t="str">
        <f>name!E$8</f>
        <v>Skilled trades occupations</v>
      </c>
      <c r="B183" s="302">
        <v>1.2730389769501025</v>
      </c>
      <c r="C183" s="302">
        <v>0.32895932184074189</v>
      </c>
      <c r="D183" s="302">
        <v>0.4523558591873359</v>
      </c>
      <c r="E183" s="302">
        <f t="shared" si="84"/>
        <v>2.0543541579781803</v>
      </c>
      <c r="F183" s="303"/>
      <c r="G183" s="302">
        <v>0.92181148730263684</v>
      </c>
      <c r="H183" s="302">
        <v>0.22279205618472087</v>
      </c>
      <c r="I183" s="302">
        <v>0.30708479373491904</v>
      </c>
      <c r="J183" s="302">
        <f>SUM(G183:I183)</f>
        <v>1.4516883372222769</v>
      </c>
      <c r="K183" s="303"/>
      <c r="L183" s="302">
        <v>0.78822097754789588</v>
      </c>
      <c r="M183" s="302">
        <v>0.29504729227968585</v>
      </c>
      <c r="N183" s="302">
        <v>0.30172290848802868</v>
      </c>
      <c r="O183" s="302">
        <f t="shared" si="86"/>
        <v>1.3849911783156104</v>
      </c>
    </row>
    <row r="184" spans="1:15" s="236" customFormat="1" x14ac:dyDescent="0.25">
      <c r="A184" s="237" t="str">
        <f>name!E$9</f>
        <v>Caring, leisure and other service occupations</v>
      </c>
      <c r="B184" s="302">
        <v>0.92909469718875448</v>
      </c>
      <c r="C184" s="302">
        <v>0.44685284706772299</v>
      </c>
      <c r="D184" s="302">
        <v>0.15575434716531567</v>
      </c>
      <c r="E184" s="302">
        <f t="shared" si="84"/>
        <v>1.5317018914217932</v>
      </c>
      <c r="F184" s="303"/>
      <c r="G184" s="302">
        <v>0.88937491165036975</v>
      </c>
      <c r="H184" s="302">
        <v>0.86643773033129823</v>
      </c>
      <c r="I184" s="302">
        <v>0.15261342531285407</v>
      </c>
      <c r="J184" s="302">
        <f t="shared" ref="J184:J187" si="87">SUM(G184:I184)</f>
        <v>1.9084260672945221</v>
      </c>
      <c r="K184" s="303"/>
      <c r="L184" s="302">
        <v>0.95828057250594201</v>
      </c>
      <c r="M184" s="302">
        <v>1.0407212692721404</v>
      </c>
      <c r="N184" s="302">
        <v>0.2090731700554114</v>
      </c>
      <c r="O184" s="302">
        <f t="shared" si="86"/>
        <v>2.2080750118334938</v>
      </c>
    </row>
    <row r="185" spans="1:15" s="236" customFormat="1" x14ac:dyDescent="0.25">
      <c r="A185" s="237" t="str">
        <f>name!E$10</f>
        <v>Sales and customer service occupations</v>
      </c>
      <c r="B185" s="302">
        <v>0.81072003282449279</v>
      </c>
      <c r="C185" s="302">
        <v>0.25301322583511304</v>
      </c>
      <c r="D185" s="302">
        <v>7.4105826902409008E-2</v>
      </c>
      <c r="E185" s="302">
        <f t="shared" si="84"/>
        <v>1.1378390855620149</v>
      </c>
      <c r="F185" s="303"/>
      <c r="G185" s="302">
        <v>0.82880073035945245</v>
      </c>
      <c r="H185" s="302">
        <v>0.26245179226185106</v>
      </c>
      <c r="I185" s="302">
        <v>6.0294082388354611E-2</v>
      </c>
      <c r="J185" s="302">
        <f t="shared" si="87"/>
        <v>1.1515466050096581</v>
      </c>
      <c r="K185" s="303"/>
      <c r="L185" s="302">
        <v>1.0724558575986483</v>
      </c>
      <c r="M185" s="302">
        <v>0.41669274129011385</v>
      </c>
      <c r="N185" s="302">
        <v>5.7625060277289669E-2</v>
      </c>
      <c r="O185" s="302">
        <f t="shared" si="86"/>
        <v>1.5467736591660517</v>
      </c>
    </row>
    <row r="186" spans="1:15" s="236" customFormat="1" x14ac:dyDescent="0.25">
      <c r="A186" s="237" t="str">
        <f>name!E$11</f>
        <v>Process, plant and machine operatives</v>
      </c>
      <c r="B186" s="302">
        <v>9.332551077326114</v>
      </c>
      <c r="C186" s="302">
        <v>0.63012323641416612</v>
      </c>
      <c r="D186" s="302">
        <v>3.3343592146951342</v>
      </c>
      <c r="E186" s="302">
        <f t="shared" si="84"/>
        <v>13.297033528435414</v>
      </c>
      <c r="F186" s="303"/>
      <c r="G186" s="302">
        <v>7.2259545024455418</v>
      </c>
      <c r="H186" s="302">
        <v>1.8027006502221319</v>
      </c>
      <c r="I186" s="302">
        <v>3.471013297796369</v>
      </c>
      <c r="J186" s="302">
        <f t="shared" si="87"/>
        <v>12.499668450464043</v>
      </c>
      <c r="K186" s="303"/>
      <c r="L186" s="302">
        <v>8.1729051156213366</v>
      </c>
      <c r="M186" s="302">
        <v>2.4249453469281339</v>
      </c>
      <c r="N186" s="302">
        <v>4.1199406079211407</v>
      </c>
      <c r="O186" s="302">
        <f t="shared" si="86"/>
        <v>14.717791070470611</v>
      </c>
    </row>
    <row r="187" spans="1:15" s="236" customFormat="1" x14ac:dyDescent="0.25">
      <c r="A187" s="237" t="str">
        <f>name!E$12</f>
        <v>Elementary occupations</v>
      </c>
      <c r="B187" s="302">
        <v>4.6828600114223482</v>
      </c>
      <c r="C187" s="302">
        <v>1.3281162469513801</v>
      </c>
      <c r="D187" s="302">
        <v>0.1905676218158705</v>
      </c>
      <c r="E187" s="302">
        <f t="shared" si="84"/>
        <v>6.2015438801895986</v>
      </c>
      <c r="F187" s="303"/>
      <c r="G187" s="302">
        <v>3.8157009070017165</v>
      </c>
      <c r="H187" s="302">
        <v>1.0830313184451104</v>
      </c>
      <c r="I187" s="302">
        <v>0.14391469031320481</v>
      </c>
      <c r="J187" s="302">
        <f t="shared" si="87"/>
        <v>5.0426469157600309</v>
      </c>
      <c r="K187" s="303"/>
      <c r="L187" s="302">
        <v>3.7529156699730239</v>
      </c>
      <c r="M187" s="302">
        <v>1.0741016909829624</v>
      </c>
      <c r="N187" s="302">
        <v>0.16968201777325459</v>
      </c>
      <c r="O187" s="302">
        <f t="shared" si="86"/>
        <v>4.9966993787292413</v>
      </c>
    </row>
    <row r="188" spans="1:15" s="236" customFormat="1" x14ac:dyDescent="0.25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5">
      <c r="A189" s="244" t="s">
        <v>33</v>
      </c>
      <c r="B189" s="311">
        <f>SUM(B179:B187)</f>
        <v>24.337537293063306</v>
      </c>
      <c r="C189" s="311">
        <f t="shared" ref="C189:E189" si="88">SUM(C179:C187)</f>
        <v>4.2307942633875717</v>
      </c>
      <c r="D189" s="311">
        <f t="shared" si="88"/>
        <v>4.8886684435491157</v>
      </c>
      <c r="E189" s="311">
        <f t="shared" si="88"/>
        <v>33.456999999999994</v>
      </c>
      <c r="F189" s="311"/>
      <c r="G189" s="311">
        <f t="shared" ref="G189:J189" si="89">SUM(G179:G187)</f>
        <v>21.956660319941989</v>
      </c>
      <c r="H189" s="311">
        <f t="shared" si="89"/>
        <v>6.1232670275778931</v>
      </c>
      <c r="I189" s="311">
        <f t="shared" si="89"/>
        <v>4.8680726524800866</v>
      </c>
      <c r="J189" s="311">
        <f t="shared" si="89"/>
        <v>32.947999999999972</v>
      </c>
      <c r="K189" s="311"/>
      <c r="L189" s="311">
        <f t="shared" ref="L189:O189" si="90">SUM(L179:L187)</f>
        <v>24.66316203678787</v>
      </c>
      <c r="M189" s="311">
        <f t="shared" si="90"/>
        <v>7.4815834666477858</v>
      </c>
      <c r="N189" s="311">
        <f t="shared" si="90"/>
        <v>5.6162544965643288</v>
      </c>
      <c r="O189" s="311">
        <f t="shared" si="90"/>
        <v>37.760999999999989</v>
      </c>
    </row>
    <row r="190" spans="1:15" s="236" customFormat="1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ht="13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ht="13" x14ac:dyDescent="0.3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ht="13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ht="13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5">
      <c r="A196" s="237" t="str">
        <f>name!E$4</f>
        <v>Managers, directors and senior officials</v>
      </c>
      <c r="B196" s="302">
        <v>1.7650574428974057</v>
      </c>
      <c r="C196" s="302">
        <v>0.24103705273341877</v>
      </c>
      <c r="D196" s="302">
        <v>0.67732276423652504</v>
      </c>
      <c r="E196" s="302">
        <f>SUM(B196:D196)</f>
        <v>2.6834172598673494</v>
      </c>
      <c r="F196" s="303"/>
      <c r="G196" s="302">
        <v>2.3170799957977937</v>
      </c>
      <c r="H196" s="302">
        <v>0.46605319619942237</v>
      </c>
      <c r="I196" s="302">
        <v>0.66688884775051627</v>
      </c>
      <c r="J196" s="302">
        <f>SUM(G196:I196)</f>
        <v>3.4500220397477324</v>
      </c>
      <c r="K196" s="303"/>
      <c r="L196" s="302">
        <v>3.3208987350921531</v>
      </c>
      <c r="M196" s="302">
        <v>0.7474475181114969</v>
      </c>
      <c r="N196" s="302">
        <v>0.81231856331490448</v>
      </c>
      <c r="O196" s="302">
        <f>SUM(L196:N196)</f>
        <v>4.8806648165185544</v>
      </c>
    </row>
    <row r="197" spans="1:15" s="236" customFormat="1" x14ac:dyDescent="0.25">
      <c r="A197" s="237" t="str">
        <f>name!E$5</f>
        <v>Professional occupations</v>
      </c>
      <c r="B197" s="302">
        <v>0.60131565113695862</v>
      </c>
      <c r="C197" s="302">
        <v>8.994829987119024E-2</v>
      </c>
      <c r="D197" s="302">
        <v>5.5640599398154092E-2</v>
      </c>
      <c r="E197" s="302">
        <f t="shared" ref="E197:E204" si="91">SUM(B197:D197)</f>
        <v>0.74690455040630299</v>
      </c>
      <c r="F197" s="303"/>
      <c r="G197" s="302">
        <v>0.94184790984747202</v>
      </c>
      <c r="H197" s="302">
        <v>0.18542664227235667</v>
      </c>
      <c r="I197" s="302">
        <v>5.2304571522105645E-2</v>
      </c>
      <c r="J197" s="302">
        <f t="shared" ref="J197:J199" si="92">SUM(G197:I197)</f>
        <v>1.1795791236419342</v>
      </c>
      <c r="K197" s="303"/>
      <c r="L197" s="302">
        <v>1.3115639689755594</v>
      </c>
      <c r="M197" s="302">
        <v>0.27547575394018142</v>
      </c>
      <c r="N197" s="302">
        <v>3.4524766505071483E-2</v>
      </c>
      <c r="O197" s="302">
        <f t="shared" ref="O197:O204" si="93">SUM(L197:N197)</f>
        <v>1.6215644894208123</v>
      </c>
    </row>
    <row r="198" spans="1:15" s="236" customFormat="1" x14ac:dyDescent="0.25">
      <c r="A198" s="237" t="str">
        <f>name!E$6</f>
        <v>Associate professional occupations</v>
      </c>
      <c r="B198" s="302">
        <v>0.48606996020389154</v>
      </c>
      <c r="C198" s="302">
        <v>0.25709468796286422</v>
      </c>
      <c r="D198" s="302">
        <v>3.2974355241346641E-2</v>
      </c>
      <c r="E198" s="302">
        <f t="shared" si="91"/>
        <v>0.77613900340810238</v>
      </c>
      <c r="F198" s="303"/>
      <c r="G198" s="302">
        <v>0.69082898228146616</v>
      </c>
      <c r="H198" s="302">
        <v>0.37281705596966691</v>
      </c>
      <c r="I198" s="302">
        <v>2.6670944412416867E-2</v>
      </c>
      <c r="J198" s="302">
        <f t="shared" si="92"/>
        <v>1.0903169826635499</v>
      </c>
      <c r="K198" s="303"/>
      <c r="L198" s="302">
        <v>0.86244334799463218</v>
      </c>
      <c r="M198" s="302">
        <v>0.54859474113327589</v>
      </c>
      <c r="N198" s="302">
        <v>2.061716386056554E-2</v>
      </c>
      <c r="O198" s="302">
        <f t="shared" si="93"/>
        <v>1.4316552529884736</v>
      </c>
    </row>
    <row r="199" spans="1:15" s="236" customFormat="1" x14ac:dyDescent="0.25">
      <c r="A199" s="237" t="str">
        <f>name!E$7</f>
        <v>Administrative and secretarial occupations</v>
      </c>
      <c r="B199" s="302">
        <v>0.77521714519979468</v>
      </c>
      <c r="C199" s="302">
        <v>0.40316398892266764</v>
      </c>
      <c r="D199" s="302">
        <v>2.4153869391872623E-2</v>
      </c>
      <c r="E199" s="302">
        <f t="shared" si="91"/>
        <v>1.202535003514335</v>
      </c>
      <c r="F199" s="303"/>
      <c r="G199" s="302">
        <v>0.92206082578345794</v>
      </c>
      <c r="H199" s="302">
        <v>0.5375273515815302</v>
      </c>
      <c r="I199" s="302">
        <v>1.8896389954017188E-2</v>
      </c>
      <c r="J199" s="302">
        <f t="shared" si="92"/>
        <v>1.4784845673190052</v>
      </c>
      <c r="K199" s="303"/>
      <c r="L199" s="302">
        <v>1.188450946451453</v>
      </c>
      <c r="M199" s="302">
        <v>0.76301818601689841</v>
      </c>
      <c r="N199" s="302">
        <v>2.3302261098518066E-2</v>
      </c>
      <c r="O199" s="302">
        <f t="shared" si="93"/>
        <v>1.9747713935668694</v>
      </c>
    </row>
    <row r="200" spans="1:15" s="236" customFormat="1" x14ac:dyDescent="0.25">
      <c r="A200" s="237" t="str">
        <f>name!E$8</f>
        <v>Skilled trades occupations</v>
      </c>
      <c r="B200" s="302">
        <v>1.4323606348381206</v>
      </c>
      <c r="C200" s="302">
        <v>1.1731753756998371</v>
      </c>
      <c r="D200" s="302">
        <v>0.19454720588724134</v>
      </c>
      <c r="E200" s="302">
        <f t="shared" si="91"/>
        <v>2.8000832164251994</v>
      </c>
      <c r="F200" s="303"/>
      <c r="G200" s="302">
        <v>1.3036688267954148</v>
      </c>
      <c r="H200" s="302">
        <v>1.1513140362698753</v>
      </c>
      <c r="I200" s="302">
        <v>0.19463602177239026</v>
      </c>
      <c r="J200" s="302">
        <f>SUM(G200:I200)</f>
        <v>2.6496188848376803</v>
      </c>
      <c r="K200" s="303"/>
      <c r="L200" s="302">
        <v>0.81963841643165769</v>
      </c>
      <c r="M200" s="302">
        <v>1.3567527257828271</v>
      </c>
      <c r="N200" s="302">
        <v>0.22255924166045982</v>
      </c>
      <c r="O200" s="302">
        <f t="shared" si="93"/>
        <v>2.3989503838749444</v>
      </c>
    </row>
    <row r="201" spans="1:15" s="236" customFormat="1" x14ac:dyDescent="0.25">
      <c r="A201" s="237" t="str">
        <f>name!E$9</f>
        <v>Caring, leisure and other service occupations</v>
      </c>
      <c r="B201" s="302">
        <v>0.45687608048535605</v>
      </c>
      <c r="C201" s="302">
        <v>0.50083059629165938</v>
      </c>
      <c r="D201" s="302">
        <v>5.2108597145707779E-2</v>
      </c>
      <c r="E201" s="302">
        <f t="shared" si="91"/>
        <v>1.0098152739227233</v>
      </c>
      <c r="F201" s="303"/>
      <c r="G201" s="302">
        <v>0.49736249012562422</v>
      </c>
      <c r="H201" s="302">
        <v>0.57673676554851339</v>
      </c>
      <c r="I201" s="302">
        <v>6.2689872982311323E-2</v>
      </c>
      <c r="J201" s="302">
        <f t="shared" ref="J201:J204" si="94">SUM(G201:I201)</f>
        <v>1.1367891286564489</v>
      </c>
      <c r="K201" s="303"/>
      <c r="L201" s="302">
        <v>0.59595736472645366</v>
      </c>
      <c r="M201" s="302">
        <v>0.63297794018374631</v>
      </c>
      <c r="N201" s="302">
        <v>9.5323419918925761E-2</v>
      </c>
      <c r="O201" s="302">
        <f t="shared" si="93"/>
        <v>1.3242587248291258</v>
      </c>
    </row>
    <row r="202" spans="1:15" s="236" customFormat="1" x14ac:dyDescent="0.25">
      <c r="A202" s="237" t="str">
        <f>name!E$10</f>
        <v>Sales and customer service occupations</v>
      </c>
      <c r="B202" s="302">
        <v>0.53254593475594314</v>
      </c>
      <c r="C202" s="302">
        <v>0.98166204160136528</v>
      </c>
      <c r="D202" s="302">
        <v>0.28758660449892076</v>
      </c>
      <c r="E202" s="302">
        <f t="shared" si="91"/>
        <v>1.8017945808562292</v>
      </c>
      <c r="F202" s="303"/>
      <c r="G202" s="302">
        <v>0.60944465576781026</v>
      </c>
      <c r="H202" s="302">
        <v>1.2609374196307972</v>
      </c>
      <c r="I202" s="302">
        <v>0.19386493134046126</v>
      </c>
      <c r="J202" s="302">
        <f t="shared" si="94"/>
        <v>2.0642470067390688</v>
      </c>
      <c r="K202" s="303"/>
      <c r="L202" s="302">
        <v>0.87602023247531047</v>
      </c>
      <c r="M202" s="302">
        <v>1.7057397216751558</v>
      </c>
      <c r="N202" s="302">
        <v>0.15679565298116507</v>
      </c>
      <c r="O202" s="302">
        <f t="shared" si="93"/>
        <v>2.738555607131631</v>
      </c>
    </row>
    <row r="203" spans="1:15" s="236" customFormat="1" x14ac:dyDescent="0.25">
      <c r="A203" s="237" t="str">
        <f>name!E$11</f>
        <v>Process, plant and machine operatives</v>
      </c>
      <c r="B203" s="302">
        <v>0.31187641013797041</v>
      </c>
      <c r="C203" s="302">
        <v>0.51515866321948933</v>
      </c>
      <c r="D203" s="302">
        <v>2.3277858636729334E-2</v>
      </c>
      <c r="E203" s="302">
        <f t="shared" si="91"/>
        <v>0.85031293199418911</v>
      </c>
      <c r="F203" s="303"/>
      <c r="G203" s="302">
        <v>0.27990082030499208</v>
      </c>
      <c r="H203" s="302">
        <v>0.68520599307333341</v>
      </c>
      <c r="I203" s="302">
        <v>2.0111746402054279E-2</v>
      </c>
      <c r="J203" s="302">
        <f t="shared" si="94"/>
        <v>0.98521855978037975</v>
      </c>
      <c r="K203" s="303"/>
      <c r="L203" s="302">
        <v>0.41312779087258045</v>
      </c>
      <c r="M203" s="302">
        <v>1.1638700428895832</v>
      </c>
      <c r="N203" s="302">
        <v>2.8600218211523969E-2</v>
      </c>
      <c r="O203" s="302">
        <f t="shared" si="93"/>
        <v>1.6055980519736877</v>
      </c>
    </row>
    <row r="204" spans="1:15" s="236" customFormat="1" x14ac:dyDescent="0.25">
      <c r="A204" s="237" t="str">
        <f>name!E$12</f>
        <v>Elementary occupations</v>
      </c>
      <c r="B204" s="302">
        <v>1.9562254891131188</v>
      </c>
      <c r="C204" s="302">
        <v>8.0040564287096583</v>
      </c>
      <c r="D204" s="302">
        <v>7.4716261782755936E-2</v>
      </c>
      <c r="E204" s="302">
        <f t="shared" si="91"/>
        <v>10.034998179605532</v>
      </c>
      <c r="F204" s="303"/>
      <c r="G204" s="302">
        <v>2.0089473351397684</v>
      </c>
      <c r="H204" s="302">
        <v>8.6101480096712102</v>
      </c>
      <c r="I204" s="302">
        <v>4.8628361803236125E-2</v>
      </c>
      <c r="J204" s="302">
        <f t="shared" si="94"/>
        <v>10.667723706614215</v>
      </c>
      <c r="K204" s="303"/>
      <c r="L204" s="302">
        <v>2.1404557441966698</v>
      </c>
      <c r="M204" s="302">
        <v>9.1527518963786196</v>
      </c>
      <c r="N204" s="302">
        <v>8.277363912062842E-2</v>
      </c>
      <c r="O204" s="302">
        <f t="shared" si="93"/>
        <v>11.375981279695917</v>
      </c>
    </row>
    <row r="205" spans="1:15" s="236" customFormat="1" x14ac:dyDescent="0.25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5">
      <c r="A206" s="244" t="s">
        <v>33</v>
      </c>
      <c r="B206" s="311">
        <f>SUM(B196:B204)</f>
        <v>8.3175447487685599</v>
      </c>
      <c r="C206" s="311">
        <f t="shared" ref="C206:E206" si="95">SUM(C196:C204)</f>
        <v>12.16612713501215</v>
      </c>
      <c r="D206" s="311">
        <f t="shared" si="95"/>
        <v>1.4223281162192536</v>
      </c>
      <c r="E206" s="311">
        <f t="shared" si="95"/>
        <v>21.905999999999963</v>
      </c>
      <c r="F206" s="311"/>
      <c r="G206" s="311">
        <f t="shared" ref="G206:J206" si="96">SUM(G196:G204)</f>
        <v>9.5711418418438008</v>
      </c>
      <c r="H206" s="311">
        <f t="shared" si="96"/>
        <v>13.846166470216705</v>
      </c>
      <c r="I206" s="311">
        <f t="shared" si="96"/>
        <v>1.2846916879395094</v>
      </c>
      <c r="J206" s="311">
        <f t="shared" si="96"/>
        <v>24.702000000000012</v>
      </c>
      <c r="K206" s="311"/>
      <c r="L206" s="311">
        <f t="shared" ref="L206:O206" si="97">SUM(L196:L204)</f>
        <v>11.528556547216469</v>
      </c>
      <c r="M206" s="311">
        <f t="shared" si="97"/>
        <v>16.346628526111786</v>
      </c>
      <c r="N206" s="311">
        <f t="shared" si="97"/>
        <v>1.4768149266717625</v>
      </c>
      <c r="O206" s="311">
        <f t="shared" si="97"/>
        <v>29.352000000000015</v>
      </c>
    </row>
    <row r="207" spans="1:15" s="236" customFormat="1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ht="13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ht="13" x14ac:dyDescent="0.3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ht="13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ht="13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5">
      <c r="A213" s="237" t="str">
        <f>name!E$4</f>
        <v>Managers, directors and senior officials</v>
      </c>
      <c r="B213" s="302">
        <v>8.9377403932373437E-2</v>
      </c>
      <c r="C213" s="302">
        <v>1.2817700341524397E-2</v>
      </c>
      <c r="D213" s="302">
        <v>4.9606724884297848E-2</v>
      </c>
      <c r="E213" s="302">
        <f>SUM(B213:D213)</f>
        <v>0.15180182915819568</v>
      </c>
      <c r="F213" s="303"/>
      <c r="G213" s="302">
        <v>7.7336901042293127E-2</v>
      </c>
      <c r="H213" s="302">
        <v>2.5383011139113322E-2</v>
      </c>
      <c r="I213" s="302">
        <v>9.6283273327712096E-2</v>
      </c>
      <c r="J213" s="302">
        <f>SUM(G213:I213)</f>
        <v>0.19900318550911855</v>
      </c>
      <c r="K213" s="303"/>
      <c r="L213" s="302">
        <v>7.4613471681766838E-2</v>
      </c>
      <c r="M213" s="302">
        <v>3.3834512495557134E-2</v>
      </c>
      <c r="N213" s="302">
        <v>9.6910683234545575E-2</v>
      </c>
      <c r="O213" s="302">
        <f>SUM(L213:N213)</f>
        <v>0.20535866741186953</v>
      </c>
    </row>
    <row r="214" spans="1:15" s="236" customFormat="1" x14ac:dyDescent="0.25">
      <c r="A214" s="237" t="str">
        <f>name!E$5</f>
        <v>Professional occupations</v>
      </c>
      <c r="B214" s="302">
        <v>0.16644820972661098</v>
      </c>
      <c r="C214" s="302">
        <v>2.5042917292312821E-2</v>
      </c>
      <c r="D214" s="302">
        <v>0.15132105919128686</v>
      </c>
      <c r="E214" s="302">
        <f t="shared" ref="E214:E221" si="98">SUM(B214:D214)</f>
        <v>0.34281218621021065</v>
      </c>
      <c r="F214" s="303"/>
      <c r="G214" s="302">
        <v>0.17192497659548381</v>
      </c>
      <c r="H214" s="302">
        <v>4.9837296844233887E-2</v>
      </c>
      <c r="I214" s="302">
        <v>0.25481904172731912</v>
      </c>
      <c r="J214" s="302">
        <f t="shared" ref="J214:J216" si="99">SUM(G214:I214)</f>
        <v>0.47658131516703683</v>
      </c>
      <c r="K214" s="303"/>
      <c r="L214" s="302">
        <v>0.20185221525860095</v>
      </c>
      <c r="M214" s="302">
        <v>6.8328321722519916E-2</v>
      </c>
      <c r="N214" s="302">
        <v>0.21687532278066496</v>
      </c>
      <c r="O214" s="302">
        <f t="shared" ref="O214:O221" si="100">SUM(L214:N214)</f>
        <v>0.48705585976178584</v>
      </c>
    </row>
    <row r="215" spans="1:15" s="236" customFormat="1" x14ac:dyDescent="0.25">
      <c r="A215" s="237" t="str">
        <f>name!E$6</f>
        <v>Associate professional occupations</v>
      </c>
      <c r="B215" s="302">
        <v>0.13564372967180638</v>
      </c>
      <c r="C215" s="302">
        <v>4.7891002466705003E-2</v>
      </c>
      <c r="D215" s="302">
        <v>0.23003550899117145</v>
      </c>
      <c r="E215" s="302">
        <f t="shared" si="98"/>
        <v>0.41357024112968283</v>
      </c>
      <c r="F215" s="303"/>
      <c r="G215" s="302">
        <v>0.11325478640447374</v>
      </c>
      <c r="H215" s="302">
        <v>7.9330957412016678E-2</v>
      </c>
      <c r="I215" s="302">
        <v>0.39931533456477858</v>
      </c>
      <c r="J215" s="302">
        <f t="shared" si="99"/>
        <v>0.59190107838126904</v>
      </c>
      <c r="K215" s="303"/>
      <c r="L215" s="302">
        <v>0.10646216710461064</v>
      </c>
      <c r="M215" s="302">
        <v>8.0802806365219221E-2</v>
      </c>
      <c r="N215" s="302">
        <v>0.38172902548408766</v>
      </c>
      <c r="O215" s="302">
        <f t="shared" si="100"/>
        <v>0.56899399895391745</v>
      </c>
    </row>
    <row r="216" spans="1:15" s="236" customFormat="1" x14ac:dyDescent="0.25">
      <c r="A216" s="237" t="str">
        <f>name!E$7</f>
        <v>Administrative and secretarial occupations</v>
      </c>
      <c r="B216" s="302">
        <v>9.2173505670630582E-2</v>
      </c>
      <c r="C216" s="302">
        <v>9.2341695206234184E-2</v>
      </c>
      <c r="D216" s="302">
        <v>9.6440284918476327E-3</v>
      </c>
      <c r="E216" s="302">
        <f t="shared" si="98"/>
        <v>0.19415922936871241</v>
      </c>
      <c r="F216" s="303"/>
      <c r="G216" s="302">
        <v>6.2275258282194788E-2</v>
      </c>
      <c r="H216" s="302">
        <v>0.11795243576150183</v>
      </c>
      <c r="I216" s="302">
        <v>1.7260000113878946E-2</v>
      </c>
      <c r="J216" s="302">
        <f t="shared" si="99"/>
        <v>0.19748769415757556</v>
      </c>
      <c r="K216" s="303"/>
      <c r="L216" s="302">
        <v>4.7315653304651761E-2</v>
      </c>
      <c r="M216" s="302">
        <v>0.1064306125120114</v>
      </c>
      <c r="N216" s="302">
        <v>1.4160186414219433E-2</v>
      </c>
      <c r="O216" s="302">
        <f t="shared" si="100"/>
        <v>0.1679064522308826</v>
      </c>
    </row>
    <row r="217" spans="1:15" s="236" customFormat="1" x14ac:dyDescent="0.25">
      <c r="A217" s="237" t="str">
        <f>name!E$8</f>
        <v>Skilled trades occupations</v>
      </c>
      <c r="B217" s="302">
        <v>5.3052679066786484E-2</v>
      </c>
      <c r="C217" s="302">
        <v>9.8434316371973363E-3</v>
      </c>
      <c r="D217" s="302">
        <v>5.6761829889482224E-2</v>
      </c>
      <c r="E217" s="302">
        <f t="shared" si="98"/>
        <v>0.11965794059346604</v>
      </c>
      <c r="F217" s="303"/>
      <c r="G217" s="302">
        <v>3.3785854001761428E-2</v>
      </c>
      <c r="H217" s="302">
        <v>1.2293593665701631E-2</v>
      </c>
      <c r="I217" s="302">
        <v>8.7318032917120036E-2</v>
      </c>
      <c r="J217" s="302">
        <f>SUM(G217:I217)</f>
        <v>0.13339748058458309</v>
      </c>
      <c r="K217" s="303"/>
      <c r="L217" s="302">
        <v>1.9410137664866673E-2</v>
      </c>
      <c r="M217" s="302">
        <v>1.4311009634244837E-2</v>
      </c>
      <c r="N217" s="302">
        <v>9.3792764380830576E-2</v>
      </c>
      <c r="O217" s="302">
        <f t="shared" si="100"/>
        <v>0.12751391167994208</v>
      </c>
    </row>
    <row r="218" spans="1:15" s="236" customFormat="1" x14ac:dyDescent="0.25">
      <c r="A218" s="237" t="str">
        <f>name!E$9</f>
        <v>Caring, leisure and other service occupations</v>
      </c>
      <c r="B218" s="302">
        <v>4.6501443706388632E-2</v>
      </c>
      <c r="C218" s="302">
        <v>4.5684129203881964E-2</v>
      </c>
      <c r="D218" s="302">
        <v>9.6970629277535626E-3</v>
      </c>
      <c r="E218" s="302">
        <f t="shared" si="98"/>
        <v>0.10188263583802416</v>
      </c>
      <c r="F218" s="303"/>
      <c r="G218" s="302">
        <v>2.773555335693715E-2</v>
      </c>
      <c r="H218" s="302">
        <v>5.9139309112300885E-2</v>
      </c>
      <c r="I218" s="302">
        <v>2.1387978809760733E-2</v>
      </c>
      <c r="J218" s="302">
        <f t="shared" ref="J218:J221" si="101">SUM(G218:I218)</f>
        <v>0.10826284127899877</v>
      </c>
      <c r="K218" s="303"/>
      <c r="L218" s="302">
        <v>3.167507583409114E-2</v>
      </c>
      <c r="M218" s="302">
        <v>5.8861195920065175E-2</v>
      </c>
      <c r="N218" s="302">
        <v>2.5522385232778173E-2</v>
      </c>
      <c r="O218" s="302">
        <f t="shared" si="100"/>
        <v>0.11605865698693449</v>
      </c>
    </row>
    <row r="219" spans="1:15" s="236" customFormat="1" x14ac:dyDescent="0.25">
      <c r="A219" s="237" t="str">
        <f>name!E$10</f>
        <v>Sales and customer service occupations</v>
      </c>
      <c r="B219" s="302">
        <v>5.1873427976939786E-2</v>
      </c>
      <c r="C219" s="302">
        <v>3.6099730254399498E-2</v>
      </c>
      <c r="D219" s="302">
        <v>1.1128914184818659E-2</v>
      </c>
      <c r="E219" s="302">
        <f t="shared" si="98"/>
        <v>9.9102072416157941E-2</v>
      </c>
      <c r="F219" s="303"/>
      <c r="G219" s="302">
        <v>3.5349237458533758E-2</v>
      </c>
      <c r="H219" s="302">
        <v>5.2489463884866722E-2</v>
      </c>
      <c r="I219" s="302">
        <v>1.5140108849487761E-2</v>
      </c>
      <c r="J219" s="302">
        <f t="shared" si="101"/>
        <v>0.10297881019288824</v>
      </c>
      <c r="K219" s="303"/>
      <c r="L219" s="302">
        <v>3.8374922111156957E-2</v>
      </c>
      <c r="M219" s="302">
        <v>6.8013108671385686E-2</v>
      </c>
      <c r="N219" s="302">
        <v>1.1593371011173619E-2</v>
      </c>
      <c r="O219" s="302">
        <f t="shared" si="100"/>
        <v>0.11798140179371626</v>
      </c>
    </row>
    <row r="220" spans="1:15" s="236" customFormat="1" x14ac:dyDescent="0.25">
      <c r="A220" s="237" t="str">
        <f>name!E$11</f>
        <v>Process, plant and machine operatives</v>
      </c>
      <c r="B220" s="302">
        <v>1.5516211898087658E-2</v>
      </c>
      <c r="C220" s="302">
        <v>5.8856386045841444E-3</v>
      </c>
      <c r="D220" s="302">
        <v>1.5614039890463604E-2</v>
      </c>
      <c r="E220" s="302">
        <f t="shared" si="98"/>
        <v>3.7015890393135409E-2</v>
      </c>
      <c r="F220" s="303"/>
      <c r="G220" s="302">
        <v>8.7409650452504178E-3</v>
      </c>
      <c r="H220" s="302">
        <v>9.1487239601066549E-3</v>
      </c>
      <c r="I220" s="302">
        <v>3.4552967706855495E-2</v>
      </c>
      <c r="J220" s="302">
        <f t="shared" si="101"/>
        <v>5.2442656712212571E-2</v>
      </c>
      <c r="K220" s="303"/>
      <c r="L220" s="302">
        <v>6.226409544940816E-3</v>
      </c>
      <c r="M220" s="302">
        <v>9.3324547373021469E-3</v>
      </c>
      <c r="N220" s="302">
        <v>4.4378440031113867E-2</v>
      </c>
      <c r="O220" s="302">
        <f t="shared" si="100"/>
        <v>5.993730431335683E-2</v>
      </c>
    </row>
    <row r="221" spans="1:15" s="236" customFormat="1" x14ac:dyDescent="0.25">
      <c r="A221" s="237" t="str">
        <f>name!E$12</f>
        <v>Elementary occupations</v>
      </c>
      <c r="B221" s="302">
        <v>7.0902245933797556E-2</v>
      </c>
      <c r="C221" s="302">
        <v>8.5774916454986638E-2</v>
      </c>
      <c r="D221" s="302">
        <v>9.1320812503628473E-2</v>
      </c>
      <c r="E221" s="302">
        <f t="shared" si="98"/>
        <v>0.24799797489241268</v>
      </c>
      <c r="F221" s="303"/>
      <c r="G221" s="302">
        <v>3.3000988851402763E-2</v>
      </c>
      <c r="H221" s="302">
        <v>9.1949874127829762E-2</v>
      </c>
      <c r="I221" s="302">
        <v>0.12299407503708677</v>
      </c>
      <c r="J221" s="302">
        <f t="shared" si="101"/>
        <v>0.24794493801631928</v>
      </c>
      <c r="K221" s="303"/>
      <c r="L221" s="302">
        <v>2.670731149943743E-2</v>
      </c>
      <c r="M221" s="302">
        <v>8.0068096222995683E-2</v>
      </c>
      <c r="N221" s="302">
        <v>0.14841833914516059</v>
      </c>
      <c r="O221" s="302">
        <f t="shared" si="100"/>
        <v>0.25519374686759372</v>
      </c>
    </row>
    <row r="222" spans="1:15" s="236" customFormat="1" x14ac:dyDescent="0.25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5">
      <c r="A223" s="244" t="s">
        <v>33</v>
      </c>
      <c r="B223" s="311">
        <f>SUM(B213:B221)</f>
        <v>0.72148885758342152</v>
      </c>
      <c r="C223" s="311">
        <f t="shared" ref="C223:E223" si="102">SUM(C213:C221)</f>
        <v>0.36138116146182597</v>
      </c>
      <c r="D223" s="311">
        <f t="shared" si="102"/>
        <v>0.62512998095475025</v>
      </c>
      <c r="E223" s="311">
        <f t="shared" si="102"/>
        <v>1.707999999999998</v>
      </c>
      <c r="F223" s="311"/>
      <c r="G223" s="311">
        <f t="shared" ref="G223:J223" si="103">SUM(G213:G221)</f>
        <v>0.56340452103833105</v>
      </c>
      <c r="H223" s="311">
        <f t="shared" si="103"/>
        <v>0.49752466590767142</v>
      </c>
      <c r="I223" s="311">
        <f t="shared" si="103"/>
        <v>1.0490708130539996</v>
      </c>
      <c r="J223" s="311">
        <f t="shared" si="103"/>
        <v>2.1100000000000021</v>
      </c>
      <c r="K223" s="311"/>
      <c r="L223" s="311">
        <f t="shared" ref="L223:O223" si="104">SUM(L213:L221)</f>
        <v>0.55263736400412311</v>
      </c>
      <c r="M223" s="311">
        <f t="shared" si="104"/>
        <v>0.51998211828130125</v>
      </c>
      <c r="N223" s="311">
        <f t="shared" si="104"/>
        <v>1.0333805177145745</v>
      </c>
      <c r="O223" s="311">
        <f t="shared" si="104"/>
        <v>2.1059999999999985</v>
      </c>
    </row>
    <row r="224" spans="1:15" s="236" customFormat="1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ht="13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ht="13" x14ac:dyDescent="0.3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ht="13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ht="13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5">
      <c r="A230" s="237" t="str">
        <f>name!E$4</f>
        <v>Managers, directors and senior officials</v>
      </c>
      <c r="B230" s="302">
        <v>0.76656976315923031</v>
      </c>
      <c r="C230" s="302">
        <v>7.143107296734888E-2</v>
      </c>
      <c r="D230" s="302">
        <v>8.2334798494845679E-2</v>
      </c>
      <c r="E230" s="302">
        <f>SUM(B230:D230)</f>
        <v>0.92033563462142487</v>
      </c>
      <c r="F230" s="303"/>
      <c r="G230" s="302">
        <v>0.78836804205498345</v>
      </c>
      <c r="H230" s="302">
        <v>7.2494790032929676E-2</v>
      </c>
      <c r="I230" s="302">
        <v>0.15987190970128801</v>
      </c>
      <c r="J230" s="302">
        <f>SUM(G230:I230)</f>
        <v>1.0207347417892012</v>
      </c>
      <c r="K230" s="303"/>
      <c r="L230" s="302">
        <v>0.82037706481026795</v>
      </c>
      <c r="M230" s="302">
        <v>8.3516346224212681E-2</v>
      </c>
      <c r="N230" s="302">
        <v>0.17709333076897885</v>
      </c>
      <c r="O230" s="302">
        <f>SUM(L230:N230)</f>
        <v>1.0809867418034595</v>
      </c>
    </row>
    <row r="231" spans="1:15" s="236" customFormat="1" x14ac:dyDescent="0.25">
      <c r="A231" s="237" t="str">
        <f>name!E$5</f>
        <v>Professional occupations</v>
      </c>
      <c r="B231" s="302">
        <v>2.3215520825912748</v>
      </c>
      <c r="C231" s="302">
        <v>0.10011421023992059</v>
      </c>
      <c r="D231" s="302">
        <v>0.30428673343796525</v>
      </c>
      <c r="E231" s="302">
        <f t="shared" ref="E231:E238" si="105">SUM(B231:D231)</f>
        <v>2.7259530262691607</v>
      </c>
      <c r="F231" s="303"/>
      <c r="G231" s="302">
        <v>2.4946976348669114</v>
      </c>
      <c r="H231" s="302">
        <v>7.4120107745076422E-2</v>
      </c>
      <c r="I231" s="302">
        <v>0.50988581192794891</v>
      </c>
      <c r="J231" s="302">
        <f t="shared" ref="J231:J233" si="106">SUM(G231:I231)</f>
        <v>3.078703554539937</v>
      </c>
      <c r="K231" s="303"/>
      <c r="L231" s="302">
        <v>2.8794825493596354</v>
      </c>
      <c r="M231" s="302">
        <v>8.9624551874083497E-2</v>
      </c>
      <c r="N231" s="302">
        <v>0.45477933973349211</v>
      </c>
      <c r="O231" s="302">
        <f t="shared" ref="O231:O238" si="107">SUM(L231:N231)</f>
        <v>3.4238864409672112</v>
      </c>
    </row>
    <row r="232" spans="1:15" s="236" customFormat="1" x14ac:dyDescent="0.25">
      <c r="A232" s="237" t="str">
        <f>name!E$6</f>
        <v>Associate professional occupations</v>
      </c>
      <c r="B232" s="302">
        <v>0.97816648012331886</v>
      </c>
      <c r="C232" s="302">
        <v>0.11399681105799751</v>
      </c>
      <c r="D232" s="302">
        <v>0.10706335823068867</v>
      </c>
      <c r="E232" s="302">
        <f t="shared" si="105"/>
        <v>1.199226649412005</v>
      </c>
      <c r="F232" s="303"/>
      <c r="G232" s="302">
        <v>1.0181768646951488</v>
      </c>
      <c r="H232" s="302">
        <v>9.4611683164437368E-2</v>
      </c>
      <c r="I232" s="302">
        <v>0.17378433926405315</v>
      </c>
      <c r="J232" s="302">
        <f t="shared" si="106"/>
        <v>1.2865728871236395</v>
      </c>
      <c r="K232" s="303"/>
      <c r="L232" s="302">
        <v>1.0472870590013927</v>
      </c>
      <c r="M232" s="302">
        <v>9.5327903538086067E-2</v>
      </c>
      <c r="N232" s="302">
        <v>0.20679071135571417</v>
      </c>
      <c r="O232" s="302">
        <f t="shared" si="107"/>
        <v>1.3494056738951929</v>
      </c>
    </row>
    <row r="233" spans="1:15" s="236" customFormat="1" x14ac:dyDescent="0.25">
      <c r="A233" s="237" t="str">
        <f>name!E$7</f>
        <v>Administrative and secretarial occupations</v>
      </c>
      <c r="B233" s="302">
        <v>0.40824112111503819</v>
      </c>
      <c r="C233" s="302">
        <v>0.26500517778476124</v>
      </c>
      <c r="D233" s="302">
        <v>1.8751499286724597E-2</v>
      </c>
      <c r="E233" s="302">
        <f t="shared" si="105"/>
        <v>0.69199779818652396</v>
      </c>
      <c r="F233" s="303"/>
      <c r="G233" s="302">
        <v>0.38476547259203064</v>
      </c>
      <c r="H233" s="302">
        <v>0.15183634588172584</v>
      </c>
      <c r="I233" s="302">
        <v>2.3799506671884268E-2</v>
      </c>
      <c r="J233" s="302">
        <f t="shared" si="106"/>
        <v>0.56040132514564067</v>
      </c>
      <c r="K233" s="303"/>
      <c r="L233" s="302">
        <v>0.31329614248418447</v>
      </c>
      <c r="M233" s="302">
        <v>0.12777468942048578</v>
      </c>
      <c r="N233" s="302">
        <v>1.8727325260651108E-2</v>
      </c>
      <c r="O233" s="302">
        <f t="shared" si="107"/>
        <v>0.45979815716532135</v>
      </c>
    </row>
    <row r="234" spans="1:15" s="236" customFormat="1" x14ac:dyDescent="0.25">
      <c r="A234" s="237" t="str">
        <f>name!E$8</f>
        <v>Skilled trades occupations</v>
      </c>
      <c r="B234" s="302">
        <v>0.26116866119203869</v>
      </c>
      <c r="C234" s="302">
        <v>1.1021956236823918E-2</v>
      </c>
      <c r="D234" s="302">
        <v>9.0559010393069267E-2</v>
      </c>
      <c r="E234" s="302">
        <f t="shared" si="105"/>
        <v>0.36274962782193187</v>
      </c>
      <c r="F234" s="303"/>
      <c r="G234" s="302">
        <v>0.21246203462281643</v>
      </c>
      <c r="H234" s="302">
        <v>7.728971752099174E-3</v>
      </c>
      <c r="I234" s="302">
        <v>0.12456143860932957</v>
      </c>
      <c r="J234" s="302">
        <f>SUM(G234:I234)</f>
        <v>0.34475244498424518</v>
      </c>
      <c r="K234" s="303"/>
      <c r="L234" s="302">
        <v>0.15371951874652956</v>
      </c>
      <c r="M234" s="302">
        <v>8.3666007522604502E-3</v>
      </c>
      <c r="N234" s="302">
        <v>0.21670869142540164</v>
      </c>
      <c r="O234" s="302">
        <f t="shared" si="107"/>
        <v>0.37879481092419165</v>
      </c>
    </row>
    <row r="235" spans="1:15" s="236" customFormat="1" x14ac:dyDescent="0.25">
      <c r="A235" s="237" t="str">
        <f>name!E$9</f>
        <v>Caring, leisure and other service occupations</v>
      </c>
      <c r="B235" s="302">
        <v>0.13128911470070848</v>
      </c>
      <c r="C235" s="302">
        <v>2.8343534890811029E-2</v>
      </c>
      <c r="D235" s="302">
        <v>1.1177177507842445E-2</v>
      </c>
      <c r="E235" s="302">
        <f t="shared" si="105"/>
        <v>0.17080982709936196</v>
      </c>
      <c r="F235" s="303"/>
      <c r="G235" s="302">
        <v>0.12218603179374618</v>
      </c>
      <c r="H235" s="302">
        <v>1.7542849396131602E-2</v>
      </c>
      <c r="I235" s="302">
        <v>1.7275573040628312E-2</v>
      </c>
      <c r="J235" s="302">
        <f t="shared" ref="J235:J238" si="108">SUM(G235:I235)</f>
        <v>0.1570044542305061</v>
      </c>
      <c r="K235" s="303"/>
      <c r="L235" s="302">
        <v>0.16046566248916125</v>
      </c>
      <c r="M235" s="302">
        <v>1.8289904687790435E-2</v>
      </c>
      <c r="N235" s="302">
        <v>2.9688546790705643E-2</v>
      </c>
      <c r="O235" s="302">
        <f t="shared" si="107"/>
        <v>0.20844411396765733</v>
      </c>
    </row>
    <row r="236" spans="1:15" s="236" customFormat="1" x14ac:dyDescent="0.25">
      <c r="A236" s="237" t="str">
        <f>name!E$10</f>
        <v>Sales and customer service occupations</v>
      </c>
      <c r="B236" s="302">
        <v>0.18574357523239013</v>
      </c>
      <c r="C236" s="302">
        <v>9.8982312321876723E-2</v>
      </c>
      <c r="D236" s="302">
        <v>1.3133548145215723E-2</v>
      </c>
      <c r="E236" s="302">
        <f t="shared" si="105"/>
        <v>0.29785943569948259</v>
      </c>
      <c r="F236" s="303"/>
      <c r="G236" s="302">
        <v>0.17989155005896457</v>
      </c>
      <c r="H236" s="302">
        <v>7.3002152982399759E-2</v>
      </c>
      <c r="I236" s="302">
        <v>1.5853877716589353E-2</v>
      </c>
      <c r="J236" s="302">
        <f t="shared" si="108"/>
        <v>0.26874758075795369</v>
      </c>
      <c r="K236" s="303"/>
      <c r="L236" s="302">
        <v>0.21051902731538782</v>
      </c>
      <c r="M236" s="302">
        <v>9.3000890041797166E-2</v>
      </c>
      <c r="N236" s="302">
        <v>1.9041530090206871E-2</v>
      </c>
      <c r="O236" s="302">
        <f t="shared" si="107"/>
        <v>0.32256144744739185</v>
      </c>
    </row>
    <row r="237" spans="1:15" s="236" customFormat="1" x14ac:dyDescent="0.25">
      <c r="A237" s="237" t="str">
        <f>name!E$11</f>
        <v>Process, plant and machine operatives</v>
      </c>
      <c r="B237" s="302">
        <v>3.0590046208429884E-2</v>
      </c>
      <c r="C237" s="302">
        <v>1.0492129790542183E-2</v>
      </c>
      <c r="D237" s="302">
        <v>2.0582079595346244E-2</v>
      </c>
      <c r="E237" s="302">
        <f t="shared" si="105"/>
        <v>6.1664255594318318E-2</v>
      </c>
      <c r="F237" s="303"/>
      <c r="G237" s="302">
        <v>2.2218743926149011E-2</v>
      </c>
      <c r="H237" s="302">
        <v>1.2932710580450486E-2</v>
      </c>
      <c r="I237" s="302">
        <v>3.5598420004247983E-2</v>
      </c>
      <c r="J237" s="302">
        <f t="shared" si="108"/>
        <v>7.074987451084748E-2</v>
      </c>
      <c r="K237" s="303"/>
      <c r="L237" s="302">
        <v>2.3012919329181002E-2</v>
      </c>
      <c r="M237" s="302">
        <v>1.3435504549154809E-2</v>
      </c>
      <c r="N237" s="302">
        <v>4.911345062520775E-2</v>
      </c>
      <c r="O237" s="302">
        <f t="shared" si="107"/>
        <v>8.5561874503543564E-2</v>
      </c>
    </row>
    <row r="238" spans="1:15" s="236" customFormat="1" x14ac:dyDescent="0.25">
      <c r="A238" s="237" t="str">
        <f>name!E$12</f>
        <v>Elementary occupations</v>
      </c>
      <c r="B238" s="302">
        <v>5.2892833089258719E-2</v>
      </c>
      <c r="C238" s="302">
        <v>2.3999318044347039E-2</v>
      </c>
      <c r="D238" s="302">
        <v>3.051159416218939E-2</v>
      </c>
      <c r="E238" s="302">
        <f t="shared" si="105"/>
        <v>0.10740374529579515</v>
      </c>
      <c r="F238" s="303"/>
      <c r="G238" s="302">
        <v>3.5047210922213627E-2</v>
      </c>
      <c r="H238" s="302">
        <v>1.4020607147328576E-2</v>
      </c>
      <c r="I238" s="302">
        <v>3.626531884847102E-2</v>
      </c>
      <c r="J238" s="302">
        <f t="shared" si="108"/>
        <v>8.5333136918013225E-2</v>
      </c>
      <c r="K238" s="303"/>
      <c r="L238" s="302">
        <v>2.570095964495786E-2</v>
      </c>
      <c r="M238" s="302">
        <v>9.609966190391131E-3</v>
      </c>
      <c r="N238" s="302">
        <v>4.5249813490682078E-2</v>
      </c>
      <c r="O238" s="302">
        <f t="shared" si="107"/>
        <v>8.0560739326031069E-2</v>
      </c>
    </row>
    <row r="239" spans="1:15" s="236" customFormat="1" x14ac:dyDescent="0.25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5">
      <c r="A240" s="244" t="s">
        <v>33</v>
      </c>
      <c r="B240" s="311">
        <f>SUM(B230:B238)</f>
        <v>5.1362136774116882</v>
      </c>
      <c r="C240" s="311">
        <f t="shared" ref="C240:E240" si="109">SUM(C230:C238)</f>
        <v>0.72338652333442899</v>
      </c>
      <c r="D240" s="311">
        <f t="shared" si="109"/>
        <v>0.67839979925388716</v>
      </c>
      <c r="E240" s="311">
        <f t="shared" si="109"/>
        <v>6.5380000000000047</v>
      </c>
      <c r="F240" s="311"/>
      <c r="G240" s="311">
        <f t="shared" ref="G240:J240" si="110">SUM(G230:G238)</f>
        <v>5.2578135855329631</v>
      </c>
      <c r="H240" s="311">
        <f t="shared" si="110"/>
        <v>0.51829021868257896</v>
      </c>
      <c r="I240" s="311">
        <f t="shared" si="110"/>
        <v>1.0968961957844405</v>
      </c>
      <c r="J240" s="311">
        <f t="shared" si="110"/>
        <v>6.8729999999999851</v>
      </c>
      <c r="K240" s="311"/>
      <c r="L240" s="311">
        <f t="shared" ref="L240:O240" si="111">SUM(L230:L238)</f>
        <v>5.6338609031806994</v>
      </c>
      <c r="M240" s="311">
        <f t="shared" si="111"/>
        <v>0.53894635727826201</v>
      </c>
      <c r="N240" s="311">
        <f t="shared" si="111"/>
        <v>1.2171927395410402</v>
      </c>
      <c r="O240" s="311">
        <f t="shared" si="111"/>
        <v>7.39</v>
      </c>
    </row>
    <row r="241" spans="1:15" s="236" customFormat="1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ht="13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ht="13" x14ac:dyDescent="0.3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ht="13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ht="13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5">
      <c r="A247" s="237" t="str">
        <f>name!E$4</f>
        <v>Managers, directors and senior officials</v>
      </c>
      <c r="B247" s="302">
        <v>1.1702966999429081</v>
      </c>
      <c r="C247" s="302">
        <v>9.4523209161000155E-2</v>
      </c>
      <c r="D247" s="302">
        <v>0.12419674860176874</v>
      </c>
      <c r="E247" s="302">
        <f>SUM(B247:D247)</f>
        <v>1.3890166577056771</v>
      </c>
      <c r="F247" s="303"/>
      <c r="G247" s="302">
        <v>1.2119958124916583</v>
      </c>
      <c r="H247" s="302">
        <v>0.17692295606129327</v>
      </c>
      <c r="I247" s="302">
        <v>0.12410555920850964</v>
      </c>
      <c r="J247" s="302">
        <f>SUM(G247:I247)</f>
        <v>1.5130243277614612</v>
      </c>
      <c r="K247" s="303"/>
      <c r="L247" s="302">
        <v>1.164334398929938</v>
      </c>
      <c r="M247" s="302">
        <v>0.21866628277694522</v>
      </c>
      <c r="N247" s="302">
        <v>0.13354688306308959</v>
      </c>
      <c r="O247" s="302">
        <f>SUM(L247:N247)</f>
        <v>1.5165475647699727</v>
      </c>
    </row>
    <row r="248" spans="1:15" s="236" customFormat="1" x14ac:dyDescent="0.25">
      <c r="A248" s="237" t="str">
        <f>name!E$5</f>
        <v>Professional occupations</v>
      </c>
      <c r="B248" s="302">
        <v>1.4549066860266446</v>
      </c>
      <c r="C248" s="302">
        <v>7.1757089548664221E-2</v>
      </c>
      <c r="D248" s="302">
        <v>0.31639856209723133</v>
      </c>
      <c r="E248" s="302">
        <f t="shared" ref="E248:E255" si="112">SUM(B248:D248)</f>
        <v>1.8430623376725404</v>
      </c>
      <c r="F248" s="303"/>
      <c r="G248" s="302">
        <v>1.7871922525227231</v>
      </c>
      <c r="H248" s="302">
        <v>0.12548161897445553</v>
      </c>
      <c r="I248" s="302">
        <v>0.22741840186371801</v>
      </c>
      <c r="J248" s="302">
        <f t="shared" ref="J248:J250" si="113">SUM(G248:I248)</f>
        <v>2.1400922733608967</v>
      </c>
      <c r="K248" s="303"/>
      <c r="L248" s="302">
        <v>2.1115515618182035</v>
      </c>
      <c r="M248" s="302">
        <v>0.14631313509694313</v>
      </c>
      <c r="N248" s="302">
        <v>0.23200451654365689</v>
      </c>
      <c r="O248" s="302">
        <f t="shared" ref="O248:O255" si="114">SUM(L248:N248)</f>
        <v>2.4898692134588036</v>
      </c>
    </row>
    <row r="249" spans="1:15" s="236" customFormat="1" x14ac:dyDescent="0.25">
      <c r="A249" s="237" t="str">
        <f>name!E$6</f>
        <v>Associate professional occupations</v>
      </c>
      <c r="B249" s="302">
        <v>1.7701217044932644</v>
      </c>
      <c r="C249" s="302">
        <v>0.18132809543909295</v>
      </c>
      <c r="D249" s="302">
        <v>0.37877298907491269</v>
      </c>
      <c r="E249" s="302">
        <f t="shared" si="112"/>
        <v>2.3302227890072702</v>
      </c>
      <c r="F249" s="303"/>
      <c r="G249" s="302">
        <v>1.8840778754750989</v>
      </c>
      <c r="H249" s="302">
        <v>0.25114609643961772</v>
      </c>
      <c r="I249" s="302">
        <v>0.29683871352363073</v>
      </c>
      <c r="J249" s="302">
        <f t="shared" si="113"/>
        <v>2.4320626854383471</v>
      </c>
      <c r="K249" s="303"/>
      <c r="L249" s="302">
        <v>1.6892997991539629</v>
      </c>
      <c r="M249" s="302">
        <v>0.26934409853609348</v>
      </c>
      <c r="N249" s="302">
        <v>0.26364064105751084</v>
      </c>
      <c r="O249" s="302">
        <f t="shared" si="114"/>
        <v>2.2222845387475672</v>
      </c>
    </row>
    <row r="250" spans="1:15" s="236" customFormat="1" x14ac:dyDescent="0.25">
      <c r="A250" s="237" t="str">
        <f>name!E$7</f>
        <v>Administrative and secretarial occupations</v>
      </c>
      <c r="B250" s="302">
        <v>2.2698345026195903</v>
      </c>
      <c r="C250" s="302">
        <v>0.81619617859017168</v>
      </c>
      <c r="D250" s="302">
        <v>0.14316771860892066</v>
      </c>
      <c r="E250" s="302">
        <f t="shared" si="112"/>
        <v>3.2291983998186828</v>
      </c>
      <c r="F250" s="303"/>
      <c r="G250" s="302">
        <v>2.0859896125890947</v>
      </c>
      <c r="H250" s="302">
        <v>0.96765894068067848</v>
      </c>
      <c r="I250" s="302">
        <v>6.3219180357284341E-2</v>
      </c>
      <c r="J250" s="302">
        <f t="shared" si="113"/>
        <v>3.1168677336270574</v>
      </c>
      <c r="K250" s="303"/>
      <c r="L250" s="302">
        <v>1.6063443414231726</v>
      </c>
      <c r="M250" s="302">
        <v>0.7413634127900165</v>
      </c>
      <c r="N250" s="302">
        <v>6.874310108900282E-2</v>
      </c>
      <c r="O250" s="302">
        <f t="shared" si="114"/>
        <v>2.4164508553021919</v>
      </c>
    </row>
    <row r="251" spans="1:15" s="236" customFormat="1" x14ac:dyDescent="0.25">
      <c r="A251" s="237" t="str">
        <f>name!E$8</f>
        <v>Skilled trades occupations</v>
      </c>
      <c r="B251" s="302">
        <v>6.6722579093641821E-2</v>
      </c>
      <c r="C251" s="302">
        <v>1.5517620770709232E-2</v>
      </c>
      <c r="D251" s="302">
        <v>4.4164544383632695E-2</v>
      </c>
      <c r="E251" s="302">
        <f t="shared" si="112"/>
        <v>0.12640474424798376</v>
      </c>
      <c r="F251" s="303"/>
      <c r="G251" s="302">
        <v>5.1137057639309251E-2</v>
      </c>
      <c r="H251" s="302">
        <v>1.5487114123306155E-2</v>
      </c>
      <c r="I251" s="302">
        <v>3.2682802174082169E-2</v>
      </c>
      <c r="J251" s="302">
        <f>SUM(G251:I251)</f>
        <v>9.9306973936697573E-2</v>
      </c>
      <c r="K251" s="303"/>
      <c r="L251" s="302">
        <v>4.8094357787475853E-2</v>
      </c>
      <c r="M251" s="302">
        <v>1.585877743787217E-2</v>
      </c>
      <c r="N251" s="302">
        <v>3.4297151857886433E-2</v>
      </c>
      <c r="O251" s="302">
        <f t="shared" si="114"/>
        <v>9.8250287083234467E-2</v>
      </c>
    </row>
    <row r="252" spans="1:15" s="236" customFormat="1" x14ac:dyDescent="0.25">
      <c r="A252" s="237" t="str">
        <f>name!E$9</f>
        <v>Caring, leisure and other service occupations</v>
      </c>
      <c r="B252" s="302">
        <v>5.3250982149252252E-2</v>
      </c>
      <c r="C252" s="302">
        <v>6.3257761599826538E-3</v>
      </c>
      <c r="D252" s="302">
        <v>3.8789529541918465E-2</v>
      </c>
      <c r="E252" s="302">
        <f t="shared" si="112"/>
        <v>9.8366287851153367E-2</v>
      </c>
      <c r="F252" s="303"/>
      <c r="G252" s="302">
        <v>5.9590651740681136E-2</v>
      </c>
      <c r="H252" s="302">
        <v>7.2549060181630737E-3</v>
      </c>
      <c r="I252" s="302">
        <v>1.7262551396727627E-2</v>
      </c>
      <c r="J252" s="302">
        <f t="shared" ref="J252:J255" si="115">SUM(G252:I252)</f>
        <v>8.4108109155571834E-2</v>
      </c>
      <c r="K252" s="303"/>
      <c r="L252" s="302">
        <v>6.9043128516435279E-2</v>
      </c>
      <c r="M252" s="302">
        <v>6.2902727571611224E-3</v>
      </c>
      <c r="N252" s="302">
        <v>2.9476404511842309E-2</v>
      </c>
      <c r="O252" s="302">
        <f t="shared" si="114"/>
        <v>0.10480980578543872</v>
      </c>
    </row>
    <row r="253" spans="1:15" s="236" customFormat="1" x14ac:dyDescent="0.25">
      <c r="A253" s="237" t="str">
        <f>name!E$10</f>
        <v>Sales and customer service occupations</v>
      </c>
      <c r="B253" s="302">
        <v>0.55146877520381266</v>
      </c>
      <c r="C253" s="302">
        <v>0.21618921507372457</v>
      </c>
      <c r="D253" s="302">
        <v>0.18764512429881869</v>
      </c>
      <c r="E253" s="302">
        <f t="shared" si="112"/>
        <v>0.95530311457635597</v>
      </c>
      <c r="F253" s="303"/>
      <c r="G253" s="302">
        <v>0.51782999715340272</v>
      </c>
      <c r="H253" s="302">
        <v>0.29277762442376382</v>
      </c>
      <c r="I253" s="302">
        <v>5.6135885454173154E-2</v>
      </c>
      <c r="J253" s="302">
        <f t="shared" si="115"/>
        <v>0.86674350703133962</v>
      </c>
      <c r="K253" s="303"/>
      <c r="L253" s="302">
        <v>0.57511510183978498</v>
      </c>
      <c r="M253" s="302">
        <v>0.35960826735088336</v>
      </c>
      <c r="N253" s="302">
        <v>5.237076764983916E-2</v>
      </c>
      <c r="O253" s="302">
        <f t="shared" si="114"/>
        <v>0.98709413684050751</v>
      </c>
    </row>
    <row r="254" spans="1:15" s="236" customFormat="1" x14ac:dyDescent="0.25">
      <c r="A254" s="237" t="str">
        <f>name!E$11</f>
        <v>Process, plant and machine operatives</v>
      </c>
      <c r="B254" s="302">
        <v>3.5554845988159889E-2</v>
      </c>
      <c r="C254" s="302">
        <v>4.7409332730350955E-3</v>
      </c>
      <c r="D254" s="302">
        <v>3.0986358859780835E-2</v>
      </c>
      <c r="E254" s="302">
        <f t="shared" si="112"/>
        <v>7.1282138120975821E-2</v>
      </c>
      <c r="F254" s="303"/>
      <c r="G254" s="302">
        <v>2.5794756585637374E-2</v>
      </c>
      <c r="H254" s="302">
        <v>5.7966345429042131E-3</v>
      </c>
      <c r="I254" s="302">
        <v>4.4808257030842215E-2</v>
      </c>
      <c r="J254" s="302">
        <f t="shared" si="115"/>
        <v>7.6399648159383798E-2</v>
      </c>
      <c r="K254" s="303"/>
      <c r="L254" s="302">
        <v>2.6750248497467159E-2</v>
      </c>
      <c r="M254" s="302">
        <v>9.5732110918569924E-3</v>
      </c>
      <c r="N254" s="302">
        <v>7.4707669182520572E-2</v>
      </c>
      <c r="O254" s="302">
        <f t="shared" si="114"/>
        <v>0.11103112877184472</v>
      </c>
    </row>
    <row r="255" spans="1:15" s="236" customFormat="1" x14ac:dyDescent="0.25">
      <c r="A255" s="237" t="str">
        <f>name!E$12</f>
        <v>Elementary occupations</v>
      </c>
      <c r="B255" s="302">
        <v>8.8459051119097951E-2</v>
      </c>
      <c r="C255" s="302">
        <v>2.1503788210310116E-2</v>
      </c>
      <c r="D255" s="302">
        <v>6.6180691669983777E-2</v>
      </c>
      <c r="E255" s="302">
        <f t="shared" si="112"/>
        <v>0.17614353099939184</v>
      </c>
      <c r="F255" s="303"/>
      <c r="G255" s="302">
        <v>6.5409955756228419E-2</v>
      </c>
      <c r="H255" s="302">
        <v>2.2688299345751985E-2</v>
      </c>
      <c r="I255" s="302">
        <v>2.4296486427273535E-2</v>
      </c>
      <c r="J255" s="302">
        <f t="shared" si="115"/>
        <v>0.11239474152925394</v>
      </c>
      <c r="K255" s="303"/>
      <c r="L255" s="302">
        <v>5.54700382216557E-2</v>
      </c>
      <c r="M255" s="302">
        <v>1.7229801685150415E-2</v>
      </c>
      <c r="N255" s="302">
        <v>3.4962629333632131E-2</v>
      </c>
      <c r="O255" s="302">
        <f t="shared" si="114"/>
        <v>0.10766246924043825</v>
      </c>
    </row>
    <row r="256" spans="1:15" s="236" customFormat="1" x14ac:dyDescent="0.25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5">
      <c r="A257" s="244" t="s">
        <v>33</v>
      </c>
      <c r="B257" s="311">
        <f>SUM(B247:B255)</f>
        <v>7.4606158266363716</v>
      </c>
      <c r="C257" s="311">
        <f t="shared" ref="C257:E257" si="116">SUM(C247:C255)</f>
        <v>1.4280819062266907</v>
      </c>
      <c r="D257" s="311">
        <f t="shared" si="116"/>
        <v>1.3303022671369678</v>
      </c>
      <c r="E257" s="311">
        <f t="shared" si="116"/>
        <v>10.219000000000031</v>
      </c>
      <c r="F257" s="311"/>
      <c r="G257" s="311">
        <f t="shared" ref="G257:J257" si="117">SUM(G247:G255)</f>
        <v>7.6890179719538336</v>
      </c>
      <c r="H257" s="311">
        <f t="shared" si="117"/>
        <v>1.8652141906099342</v>
      </c>
      <c r="I257" s="311">
        <f t="shared" si="117"/>
        <v>0.88676783743624144</v>
      </c>
      <c r="J257" s="311">
        <f t="shared" si="117"/>
        <v>10.44100000000001</v>
      </c>
      <c r="K257" s="311"/>
      <c r="L257" s="311">
        <f t="shared" ref="L257:O257" si="118">SUM(L247:L255)</f>
        <v>7.3460029761880952</v>
      </c>
      <c r="M257" s="311">
        <f t="shared" si="118"/>
        <v>1.7842472595229224</v>
      </c>
      <c r="N257" s="311">
        <f t="shared" si="118"/>
        <v>0.9237497642889807</v>
      </c>
      <c r="O257" s="311">
        <f t="shared" si="118"/>
        <v>10.053999999999998</v>
      </c>
    </row>
    <row r="258" spans="1:15" s="236" customFormat="1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ht="13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ht="13" x14ac:dyDescent="0.3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ht="13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ht="13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5">
      <c r="A264" s="237" t="str">
        <f>name!E$4</f>
        <v>Managers, directors and senior officials</v>
      </c>
      <c r="B264" s="302">
        <v>0.78839172877370467</v>
      </c>
      <c r="C264" s="302">
        <v>0.14000258945705685</v>
      </c>
      <c r="D264" s="302">
        <v>0.12484978346391876</v>
      </c>
      <c r="E264" s="302">
        <f>SUM(B264:D264)</f>
        <v>1.0532441016946803</v>
      </c>
      <c r="F264" s="303"/>
      <c r="G264" s="302">
        <v>1.0869678140637813</v>
      </c>
      <c r="H264" s="302">
        <v>0.39840875578379642</v>
      </c>
      <c r="I264" s="302">
        <v>0.17556306028157204</v>
      </c>
      <c r="J264" s="302">
        <f>SUM(G264:I264)</f>
        <v>1.6609396301291497</v>
      </c>
      <c r="K264" s="303"/>
      <c r="L264" s="302">
        <v>1.3776112436120098</v>
      </c>
      <c r="M264" s="302">
        <v>0.48565735153206135</v>
      </c>
      <c r="N264" s="302">
        <v>0.20370819237557214</v>
      </c>
      <c r="O264" s="302">
        <f>SUM(L264:N264)</f>
        <v>2.0669767875196432</v>
      </c>
    </row>
    <row r="265" spans="1:15" s="236" customFormat="1" x14ac:dyDescent="0.25">
      <c r="A265" s="237" t="str">
        <f>name!E$5</f>
        <v>Professional occupations</v>
      </c>
      <c r="B265" s="302">
        <v>0.84727041734465336</v>
      </c>
      <c r="C265" s="302">
        <v>0.15587904012264303</v>
      </c>
      <c r="D265" s="302">
        <v>9.0379438089217876E-2</v>
      </c>
      <c r="E265" s="302">
        <f t="shared" ref="E265:E272" si="119">SUM(B265:D265)</f>
        <v>1.0935288955565141</v>
      </c>
      <c r="F265" s="303"/>
      <c r="G265" s="302">
        <v>1.3007856001669775</v>
      </c>
      <c r="H265" s="302">
        <v>0.35912352872695186</v>
      </c>
      <c r="I265" s="302">
        <v>0.10312474039482775</v>
      </c>
      <c r="J265" s="302">
        <f t="shared" ref="J265:J267" si="120">SUM(G265:I265)</f>
        <v>1.763033869288757</v>
      </c>
      <c r="K265" s="303"/>
      <c r="L265" s="302">
        <v>1.6895120203230305</v>
      </c>
      <c r="M265" s="302">
        <v>0.43502616827007445</v>
      </c>
      <c r="N265" s="302">
        <v>9.7103822663140674E-2</v>
      </c>
      <c r="O265" s="302">
        <f t="shared" ref="O265:O272" si="121">SUM(L265:N265)</f>
        <v>2.2216420112562458</v>
      </c>
    </row>
    <row r="266" spans="1:15" s="236" customFormat="1" x14ac:dyDescent="0.25">
      <c r="A266" s="237" t="str">
        <f>name!E$6</f>
        <v>Associate professional occupations</v>
      </c>
      <c r="B266" s="302">
        <v>0.85933733578901217</v>
      </c>
      <c r="C266" s="302">
        <v>0.20360870211005949</v>
      </c>
      <c r="D266" s="302">
        <v>8.9875631999393718E-2</v>
      </c>
      <c r="E266" s="302">
        <f t="shared" si="119"/>
        <v>1.1528216698984652</v>
      </c>
      <c r="F266" s="303"/>
      <c r="G266" s="302">
        <v>1.1974599496983498</v>
      </c>
      <c r="H266" s="302">
        <v>0.44526002864483932</v>
      </c>
      <c r="I266" s="302">
        <v>0.10060395871757261</v>
      </c>
      <c r="J266" s="302">
        <f t="shared" si="120"/>
        <v>1.7433239370607618</v>
      </c>
      <c r="K266" s="303"/>
      <c r="L266" s="302">
        <v>1.3473817728755957</v>
      </c>
      <c r="M266" s="302">
        <v>0.43524274946591518</v>
      </c>
      <c r="N266" s="302">
        <v>9.4695998486060112E-2</v>
      </c>
      <c r="O266" s="302">
        <f t="shared" si="121"/>
        <v>1.8773205208275709</v>
      </c>
    </row>
    <row r="267" spans="1:15" s="236" customFormat="1" x14ac:dyDescent="0.25">
      <c r="A267" s="237" t="str">
        <f>name!E$7</f>
        <v>Administrative and secretarial occupations</v>
      </c>
      <c r="B267" s="302">
        <v>0.9782803031483478</v>
      </c>
      <c r="C267" s="302">
        <v>0.82748474857386856</v>
      </c>
      <c r="D267" s="302">
        <v>1.5572098511037399E-2</v>
      </c>
      <c r="E267" s="302">
        <f t="shared" si="119"/>
        <v>1.8213371502332538</v>
      </c>
      <c r="F267" s="303"/>
      <c r="G267" s="302">
        <v>1.0662982772416254</v>
      </c>
      <c r="H267" s="302">
        <v>1.0320175699372585</v>
      </c>
      <c r="I267" s="302">
        <v>1.6851620988257703E-2</v>
      </c>
      <c r="J267" s="302">
        <f t="shared" si="120"/>
        <v>2.1151674681671415</v>
      </c>
      <c r="K267" s="303"/>
      <c r="L267" s="302">
        <v>0.91980205301605034</v>
      </c>
      <c r="M267" s="302">
        <v>0.82200937051691436</v>
      </c>
      <c r="N267" s="302">
        <v>2.8022708560540455E-2</v>
      </c>
      <c r="O267" s="302">
        <f t="shared" si="121"/>
        <v>1.7698341320935052</v>
      </c>
    </row>
    <row r="268" spans="1:15" s="236" customFormat="1" x14ac:dyDescent="0.25">
      <c r="A268" s="237" t="str">
        <f>name!E$8</f>
        <v>Skilled trades occupations</v>
      </c>
      <c r="B268" s="302">
        <v>0.15829028679076945</v>
      </c>
      <c r="C268" s="302">
        <v>4.4363802001509772E-2</v>
      </c>
      <c r="D268" s="302">
        <v>0.27098442917436794</v>
      </c>
      <c r="E268" s="302">
        <f t="shared" si="119"/>
        <v>0.47363851796664713</v>
      </c>
      <c r="F268" s="303"/>
      <c r="G268" s="302">
        <v>0.17880697647844412</v>
      </c>
      <c r="H268" s="302">
        <v>7.9480886929756259E-2</v>
      </c>
      <c r="I268" s="302">
        <v>0.22068055741026421</v>
      </c>
      <c r="J268" s="302">
        <f>SUM(G268:I268)</f>
        <v>0.47896842081846458</v>
      </c>
      <c r="K268" s="303"/>
      <c r="L268" s="302">
        <v>0.22614294764171786</v>
      </c>
      <c r="M268" s="302">
        <v>0.12802393695230704</v>
      </c>
      <c r="N268" s="302">
        <v>0.25141861434756202</v>
      </c>
      <c r="O268" s="302">
        <f t="shared" si="121"/>
        <v>0.60558549894158697</v>
      </c>
    </row>
    <row r="269" spans="1:15" s="236" customFormat="1" x14ac:dyDescent="0.25">
      <c r="A269" s="237" t="str">
        <f>name!E$9</f>
        <v>Caring, leisure and other service occupations</v>
      </c>
      <c r="B269" s="302">
        <v>0.16891663647148952</v>
      </c>
      <c r="C269" s="302">
        <v>8.1355321897326915E-2</v>
      </c>
      <c r="D269" s="302">
        <v>4.7137696244617777E-2</v>
      </c>
      <c r="E269" s="302">
        <f t="shared" si="119"/>
        <v>0.29740965461343422</v>
      </c>
      <c r="F269" s="303"/>
      <c r="G269" s="302">
        <v>0.18529433553018362</v>
      </c>
      <c r="H269" s="302">
        <v>0.12464287225189191</v>
      </c>
      <c r="I269" s="302">
        <v>4.9683326499880283E-2</v>
      </c>
      <c r="J269" s="302">
        <f t="shared" ref="J269:J272" si="122">SUM(G269:I269)</f>
        <v>0.35962053428195584</v>
      </c>
      <c r="K269" s="303"/>
      <c r="L269" s="302">
        <v>0.24193195974648651</v>
      </c>
      <c r="M269" s="302">
        <v>0.11791033877735113</v>
      </c>
      <c r="N269" s="302">
        <v>0.10560576741891531</v>
      </c>
      <c r="O269" s="302">
        <f t="shared" si="121"/>
        <v>0.46544806594275295</v>
      </c>
    </row>
    <row r="270" spans="1:15" s="236" customFormat="1" x14ac:dyDescent="0.25">
      <c r="A270" s="237" t="str">
        <f>name!E$10</f>
        <v>Sales and customer service occupations</v>
      </c>
      <c r="B270" s="302">
        <v>0.73520880840773106</v>
      </c>
      <c r="C270" s="302">
        <v>0.36407898698486396</v>
      </c>
      <c r="D270" s="302">
        <v>4.9060198267406416E-2</v>
      </c>
      <c r="E270" s="302">
        <f t="shared" si="119"/>
        <v>1.1483479936600014</v>
      </c>
      <c r="F270" s="303"/>
      <c r="G270" s="302">
        <v>0.76355850405710879</v>
      </c>
      <c r="H270" s="302">
        <v>0.54531449431578038</v>
      </c>
      <c r="I270" s="302">
        <v>4.8434025719895274E-2</v>
      </c>
      <c r="J270" s="302">
        <f t="shared" si="122"/>
        <v>1.3573070240927845</v>
      </c>
      <c r="K270" s="303"/>
      <c r="L270" s="302">
        <v>0.8020743106069208</v>
      </c>
      <c r="M270" s="302">
        <v>0.57718261614735067</v>
      </c>
      <c r="N270" s="302">
        <v>4.35798659733602E-2</v>
      </c>
      <c r="O270" s="302">
        <f t="shared" si="121"/>
        <v>1.4228367927276315</v>
      </c>
    </row>
    <row r="271" spans="1:15" s="236" customFormat="1" x14ac:dyDescent="0.25">
      <c r="A271" s="237" t="str">
        <f>name!E$11</f>
        <v>Process, plant and machine operatives</v>
      </c>
      <c r="B271" s="302">
        <v>7.7402064366333845E-2</v>
      </c>
      <c r="C271" s="302">
        <v>1.0414337081757366E-2</v>
      </c>
      <c r="D271" s="302">
        <v>1.4864639616487155E-2</v>
      </c>
      <c r="E271" s="302">
        <f t="shared" si="119"/>
        <v>0.10268104106457836</v>
      </c>
      <c r="F271" s="303"/>
      <c r="G271" s="302">
        <v>8.3730424466907385E-2</v>
      </c>
      <c r="H271" s="302">
        <v>2.5649523508811528E-2</v>
      </c>
      <c r="I271" s="302">
        <v>2.109608385177161E-2</v>
      </c>
      <c r="J271" s="302">
        <f t="shared" si="122"/>
        <v>0.13047603182749051</v>
      </c>
      <c r="K271" s="303"/>
      <c r="L271" s="302">
        <v>7.5915466441319662E-2</v>
      </c>
      <c r="M271" s="302">
        <v>2.8666910626610736E-2</v>
      </c>
      <c r="N271" s="302">
        <v>3.859755480043691E-2</v>
      </c>
      <c r="O271" s="302">
        <f t="shared" si="121"/>
        <v>0.14317993186836731</v>
      </c>
    </row>
    <row r="272" spans="1:15" s="236" customFormat="1" x14ac:dyDescent="0.25">
      <c r="A272" s="237" t="str">
        <f>name!E$12</f>
        <v>Elementary occupations</v>
      </c>
      <c r="B272" s="302">
        <v>0.12262557165539467</v>
      </c>
      <c r="C272" s="302">
        <v>0.11077811634885881</v>
      </c>
      <c r="D272" s="302">
        <v>0.34658728730817256</v>
      </c>
      <c r="E272" s="302">
        <f t="shared" si="119"/>
        <v>0.57999097531242605</v>
      </c>
      <c r="F272" s="303"/>
      <c r="G272" s="302">
        <v>0.13163259259240109</v>
      </c>
      <c r="H272" s="302">
        <v>0.12787119994735446</v>
      </c>
      <c r="I272" s="302">
        <v>0.37165929179374346</v>
      </c>
      <c r="J272" s="302">
        <f t="shared" si="122"/>
        <v>0.63116308433349899</v>
      </c>
      <c r="K272" s="303"/>
      <c r="L272" s="302">
        <v>0.1120013430428075</v>
      </c>
      <c r="M272" s="302">
        <v>9.9534946404367511E-2</v>
      </c>
      <c r="N272" s="302">
        <v>0.45363996937551543</v>
      </c>
      <c r="O272" s="302">
        <f t="shared" si="121"/>
        <v>0.66517625882269038</v>
      </c>
    </row>
    <row r="273" spans="1:15" s="236" customFormat="1" x14ac:dyDescent="0.25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5">
      <c r="A274" s="244" t="s">
        <v>33</v>
      </c>
      <c r="B274" s="311">
        <f>SUM(B264:B272)</f>
        <v>4.7357231527474362</v>
      </c>
      <c r="C274" s="311">
        <f t="shared" ref="C274:E274" si="123">SUM(C264:C272)</f>
        <v>1.9379656445779447</v>
      </c>
      <c r="D274" s="311">
        <f t="shared" si="123"/>
        <v>1.0493112026746196</v>
      </c>
      <c r="E274" s="311">
        <f t="shared" si="123"/>
        <v>7.7230000000000008</v>
      </c>
      <c r="F274" s="311"/>
      <c r="G274" s="311">
        <f t="shared" ref="G274:J274" si="124">SUM(G264:G272)</f>
        <v>5.9945344742957785</v>
      </c>
      <c r="H274" s="311">
        <f t="shared" si="124"/>
        <v>3.1377688600464402</v>
      </c>
      <c r="I274" s="311">
        <f t="shared" si="124"/>
        <v>1.1076966656577849</v>
      </c>
      <c r="J274" s="311">
        <f t="shared" si="124"/>
        <v>10.240000000000004</v>
      </c>
      <c r="K274" s="311"/>
      <c r="L274" s="311">
        <f t="shared" ref="L274:O274" si="125">SUM(L264:L272)</f>
        <v>6.7923731173059396</v>
      </c>
      <c r="M274" s="311">
        <f t="shared" si="125"/>
        <v>3.1292543886929525</v>
      </c>
      <c r="N274" s="311">
        <f t="shared" si="125"/>
        <v>1.316372494001103</v>
      </c>
      <c r="O274" s="311">
        <f t="shared" si="125"/>
        <v>11.237999999999994</v>
      </c>
    </row>
    <row r="275" spans="1:15" s="236" customFormat="1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ht="13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ht="13" x14ac:dyDescent="0.3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ht="13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ht="13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5">
      <c r="A281" s="237" t="str">
        <f>name!E$4</f>
        <v>Managers, directors and senior officials</v>
      </c>
      <c r="B281" s="302">
        <v>2.2418726905048003</v>
      </c>
      <c r="C281" s="302">
        <v>0.42718022111744564</v>
      </c>
      <c r="D281" s="302">
        <v>0.46725734241992278</v>
      </c>
      <c r="E281" s="302">
        <f>SUM(B281:D281)</f>
        <v>3.1363102540421686</v>
      </c>
      <c r="F281" s="303"/>
      <c r="G281" s="302">
        <v>1.8203407423010636</v>
      </c>
      <c r="H281" s="302">
        <v>0.48593878902184068</v>
      </c>
      <c r="I281" s="302">
        <v>0.60829766606235169</v>
      </c>
      <c r="J281" s="302">
        <f>SUM(G281:I281)</f>
        <v>2.9145771973852561</v>
      </c>
      <c r="K281" s="303"/>
      <c r="L281" s="302">
        <v>1.9342626397920213</v>
      </c>
      <c r="M281" s="302">
        <v>0.6513854658323921</v>
      </c>
      <c r="N281" s="302">
        <v>0.68619614687262476</v>
      </c>
      <c r="O281" s="302">
        <f>SUM(L281:N281)</f>
        <v>3.2718442524970381</v>
      </c>
    </row>
    <row r="282" spans="1:15" s="236" customFormat="1" x14ac:dyDescent="0.25">
      <c r="A282" s="237" t="str">
        <f>name!E$5</f>
        <v>Professional occupations</v>
      </c>
      <c r="B282" s="302">
        <v>6.1092824890408703</v>
      </c>
      <c r="C282" s="302">
        <v>0.7628019611612501</v>
      </c>
      <c r="D282" s="302">
        <v>2.1647529627849296</v>
      </c>
      <c r="E282" s="302">
        <f t="shared" ref="E282:E289" si="126">SUM(B282:D282)</f>
        <v>9.0368374129870492</v>
      </c>
      <c r="F282" s="303"/>
      <c r="G282" s="302">
        <v>5.8302601492804937</v>
      </c>
      <c r="H282" s="302">
        <v>0.86531787701445573</v>
      </c>
      <c r="I282" s="302">
        <v>2.5859544719697825</v>
      </c>
      <c r="J282" s="302">
        <f t="shared" ref="J282:J284" si="127">SUM(G282:I282)</f>
        <v>9.2815324982647311</v>
      </c>
      <c r="K282" s="303"/>
      <c r="L282" s="302">
        <v>7.0533558285451567</v>
      </c>
      <c r="M282" s="302">
        <v>1.1436509263126922</v>
      </c>
      <c r="N282" s="302">
        <v>2.6043150127438786</v>
      </c>
      <c r="O282" s="302">
        <f t="shared" ref="O282:O289" si="128">SUM(L282:N282)</f>
        <v>10.801321767601728</v>
      </c>
    </row>
    <row r="283" spans="1:15" s="236" customFormat="1" x14ac:dyDescent="0.25">
      <c r="A283" s="237" t="str">
        <f>name!E$6</f>
        <v>Associate professional occupations</v>
      </c>
      <c r="B283" s="302">
        <v>3.4796586414213024</v>
      </c>
      <c r="C283" s="302">
        <v>0.73997708546142305</v>
      </c>
      <c r="D283" s="302">
        <v>1.0063941517842905</v>
      </c>
      <c r="E283" s="302">
        <f t="shared" si="126"/>
        <v>5.2260298786670161</v>
      </c>
      <c r="F283" s="303"/>
      <c r="G283" s="302">
        <v>2.9284632127649268</v>
      </c>
      <c r="H283" s="302">
        <v>0.70027452363719955</v>
      </c>
      <c r="I283" s="302">
        <v>0.98303940013685631</v>
      </c>
      <c r="J283" s="302">
        <f t="shared" si="127"/>
        <v>4.6117771365389828</v>
      </c>
      <c r="K283" s="303"/>
      <c r="L283" s="302">
        <v>2.9434401101085124</v>
      </c>
      <c r="M283" s="302">
        <v>0.82500939407903862</v>
      </c>
      <c r="N283" s="302">
        <v>1.0806563945813057</v>
      </c>
      <c r="O283" s="302">
        <f t="shared" si="128"/>
        <v>4.8491058987688564</v>
      </c>
    </row>
    <row r="284" spans="1:15" s="236" customFormat="1" x14ac:dyDescent="0.25">
      <c r="A284" s="237" t="str">
        <f>name!E$7</f>
        <v>Administrative and secretarial occupations</v>
      </c>
      <c r="B284" s="302">
        <v>3.5517437027654273</v>
      </c>
      <c r="C284" s="302">
        <v>2.8139826509283337</v>
      </c>
      <c r="D284" s="302">
        <v>0.66836016594109315</v>
      </c>
      <c r="E284" s="302">
        <f t="shared" si="126"/>
        <v>7.0340865196348545</v>
      </c>
      <c r="F284" s="303"/>
      <c r="G284" s="302">
        <v>2.4570982829167676</v>
      </c>
      <c r="H284" s="302">
        <v>2.1550399881622497</v>
      </c>
      <c r="I284" s="302">
        <v>0.40243677907524916</v>
      </c>
      <c r="J284" s="302">
        <f t="shared" si="127"/>
        <v>5.0145750501542663</v>
      </c>
      <c r="K284" s="303"/>
      <c r="L284" s="302">
        <v>2.0866955172983226</v>
      </c>
      <c r="M284" s="302">
        <v>2.0504118089189514</v>
      </c>
      <c r="N284" s="302">
        <v>0.47124870358223264</v>
      </c>
      <c r="O284" s="302">
        <f t="shared" si="128"/>
        <v>4.6083560297995065</v>
      </c>
    </row>
    <row r="285" spans="1:15" s="236" customFormat="1" x14ac:dyDescent="0.25">
      <c r="A285" s="237" t="str">
        <f>name!E$8</f>
        <v>Skilled trades occupations</v>
      </c>
      <c r="B285" s="302">
        <v>0.40338711088366147</v>
      </c>
      <c r="C285" s="302">
        <v>0.11352173559452376</v>
      </c>
      <c r="D285" s="302">
        <v>0.13621727691247482</v>
      </c>
      <c r="E285" s="302">
        <f t="shared" si="126"/>
        <v>0.65312612339066001</v>
      </c>
      <c r="F285" s="303"/>
      <c r="G285" s="302">
        <v>0.24211512095201618</v>
      </c>
      <c r="H285" s="302">
        <v>5.2877877346437473E-2</v>
      </c>
      <c r="I285" s="302">
        <v>0.13527612292522237</v>
      </c>
      <c r="J285" s="302">
        <f>SUM(G285:I285)</f>
        <v>0.430269121223676</v>
      </c>
      <c r="K285" s="303"/>
      <c r="L285" s="302">
        <v>0.19695979977648262</v>
      </c>
      <c r="M285" s="302">
        <v>7.4569469385487433E-2</v>
      </c>
      <c r="N285" s="302">
        <v>0.15411216449316087</v>
      </c>
      <c r="O285" s="302">
        <f t="shared" si="128"/>
        <v>0.42564143365513096</v>
      </c>
    </row>
    <row r="286" spans="1:15" s="236" customFormat="1" x14ac:dyDescent="0.25">
      <c r="A286" s="237" t="str">
        <f>name!E$9</f>
        <v>Caring, leisure and other service occupations</v>
      </c>
      <c r="B286" s="302">
        <v>0.21145971847017025</v>
      </c>
      <c r="C286" s="302">
        <v>0.10096468374405657</v>
      </c>
      <c r="D286" s="302">
        <v>0.16893507833586918</v>
      </c>
      <c r="E286" s="302">
        <f t="shared" si="126"/>
        <v>0.48135948055009603</v>
      </c>
      <c r="F286" s="303"/>
      <c r="G286" s="302">
        <v>0.19428851970895467</v>
      </c>
      <c r="H286" s="302">
        <v>0.1316367789640461</v>
      </c>
      <c r="I286" s="302">
        <v>0.14033950173991566</v>
      </c>
      <c r="J286" s="302">
        <f t="shared" ref="J286:J289" si="129">SUM(G286:I286)</f>
        <v>0.46626480041291646</v>
      </c>
      <c r="K286" s="303"/>
      <c r="L286" s="302">
        <v>0.23120008368307832</v>
      </c>
      <c r="M286" s="302">
        <v>0.17184045902014078</v>
      </c>
      <c r="N286" s="302">
        <v>0.23944441191285884</v>
      </c>
      <c r="O286" s="302">
        <f t="shared" si="128"/>
        <v>0.64248495461607791</v>
      </c>
    </row>
    <row r="287" spans="1:15" s="236" customFormat="1" x14ac:dyDescent="0.25">
      <c r="A287" s="237" t="str">
        <f>name!E$10</f>
        <v>Sales and customer service occupations</v>
      </c>
      <c r="B287" s="302">
        <v>0.75330578500661205</v>
      </c>
      <c r="C287" s="302">
        <v>0.51594213256863086</v>
      </c>
      <c r="D287" s="302">
        <v>0.18497440281534519</v>
      </c>
      <c r="E287" s="302">
        <f t="shared" si="126"/>
        <v>1.4542223203905882</v>
      </c>
      <c r="F287" s="303"/>
      <c r="G287" s="302">
        <v>0.49304272318393444</v>
      </c>
      <c r="H287" s="302">
        <v>0.38997571001762071</v>
      </c>
      <c r="I287" s="302">
        <v>0.1141861154118146</v>
      </c>
      <c r="J287" s="302">
        <f t="shared" si="129"/>
        <v>0.99720454861336971</v>
      </c>
      <c r="K287" s="303"/>
      <c r="L287" s="302">
        <v>0.5688799838562153</v>
      </c>
      <c r="M287" s="302">
        <v>0.52340204298166881</v>
      </c>
      <c r="N287" s="302">
        <v>0.11224106741307904</v>
      </c>
      <c r="O287" s="302">
        <f t="shared" si="128"/>
        <v>1.204523094250963</v>
      </c>
    </row>
    <row r="288" spans="1:15" s="236" customFormat="1" x14ac:dyDescent="0.25">
      <c r="A288" s="237" t="str">
        <f>name!E$11</f>
        <v>Process, plant and machine operatives</v>
      </c>
      <c r="B288" s="302">
        <v>0.23401924960981557</v>
      </c>
      <c r="C288" s="302">
        <v>7.9285076260820431E-2</v>
      </c>
      <c r="D288" s="302">
        <v>4.9188300493273843E-2</v>
      </c>
      <c r="E288" s="302">
        <f t="shared" si="126"/>
        <v>0.36249262636390983</v>
      </c>
      <c r="F288" s="303"/>
      <c r="G288" s="302">
        <v>0.12815415094455801</v>
      </c>
      <c r="H288" s="302">
        <v>5.4359179874008595E-2</v>
      </c>
      <c r="I288" s="302">
        <v>6.3137677533437048E-2</v>
      </c>
      <c r="J288" s="302">
        <f t="shared" si="129"/>
        <v>0.24565100835200365</v>
      </c>
      <c r="K288" s="303"/>
      <c r="L288" s="302">
        <v>0.10338526521836312</v>
      </c>
      <c r="M288" s="302">
        <v>6.6934497583540933E-2</v>
      </c>
      <c r="N288" s="302">
        <v>8.6381911086910401E-2</v>
      </c>
      <c r="O288" s="302">
        <f t="shared" si="128"/>
        <v>0.25670167388881449</v>
      </c>
    </row>
    <row r="289" spans="1:15" s="236" customFormat="1" x14ac:dyDescent="0.25">
      <c r="A289" s="237" t="str">
        <f>name!E$12</f>
        <v>Elementary occupations</v>
      </c>
      <c r="B289" s="302">
        <v>0.4411641032884312</v>
      </c>
      <c r="C289" s="302">
        <v>0.23902283672628932</v>
      </c>
      <c r="D289" s="302">
        <v>0.52734844395892844</v>
      </c>
      <c r="E289" s="302">
        <f t="shared" si="126"/>
        <v>1.2075353839736489</v>
      </c>
      <c r="F289" s="303"/>
      <c r="G289" s="302">
        <v>0.25130690719744442</v>
      </c>
      <c r="H289" s="302">
        <v>0.17524570327755784</v>
      </c>
      <c r="I289" s="302">
        <v>0.34059602857981303</v>
      </c>
      <c r="J289" s="302">
        <f t="shared" si="129"/>
        <v>0.76714863905481523</v>
      </c>
      <c r="K289" s="303"/>
      <c r="L289" s="302">
        <v>0.17735417459774583</v>
      </c>
      <c r="M289" s="302">
        <v>0.15465504228868376</v>
      </c>
      <c r="N289" s="302">
        <v>0.50101167803545266</v>
      </c>
      <c r="O289" s="302">
        <f t="shared" si="128"/>
        <v>0.83302089492188225</v>
      </c>
    </row>
    <row r="290" spans="1:15" s="236" customFormat="1" x14ac:dyDescent="0.25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5">
      <c r="A291" s="244" t="s">
        <v>33</v>
      </c>
      <c r="B291" s="311">
        <f>SUM(B281:B289)</f>
        <v>17.425893490991093</v>
      </c>
      <c r="C291" s="311">
        <f t="shared" ref="C291:E291" si="130">SUM(C281:C289)</f>
        <v>5.7926783835627731</v>
      </c>
      <c r="D291" s="311">
        <f t="shared" si="130"/>
        <v>5.3734281254461278</v>
      </c>
      <c r="E291" s="311">
        <f t="shared" si="130"/>
        <v>28.591999999999992</v>
      </c>
      <c r="F291" s="311"/>
      <c r="G291" s="311">
        <f t="shared" ref="G291:J291" si="131">SUM(G281:G289)</f>
        <v>14.345069809250161</v>
      </c>
      <c r="H291" s="311">
        <f t="shared" si="131"/>
        <v>5.0106664273154173</v>
      </c>
      <c r="I291" s="311">
        <f t="shared" si="131"/>
        <v>5.3732637634344416</v>
      </c>
      <c r="J291" s="311">
        <f t="shared" si="131"/>
        <v>24.729000000000017</v>
      </c>
      <c r="K291" s="311"/>
      <c r="L291" s="311">
        <f t="shared" ref="L291:O291" si="132">SUM(L281:L289)</f>
        <v>15.295533402875897</v>
      </c>
      <c r="M291" s="311">
        <f t="shared" si="132"/>
        <v>5.6618591064025958</v>
      </c>
      <c r="N291" s="311">
        <f t="shared" si="132"/>
        <v>5.9356074907215035</v>
      </c>
      <c r="O291" s="311">
        <f t="shared" si="132"/>
        <v>26.892999999999994</v>
      </c>
    </row>
    <row r="292" spans="1:15" s="236" customFormat="1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ht="13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ht="13" x14ac:dyDescent="0.3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ht="13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ht="13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5">
      <c r="A298" s="237" t="str">
        <f>name!E$4</f>
        <v>Managers, directors and senior officials</v>
      </c>
      <c r="B298" s="302">
        <v>2.1735608007664045</v>
      </c>
      <c r="C298" s="302">
        <v>0.50052469008993483</v>
      </c>
      <c r="D298" s="302">
        <v>0.19511789048248387</v>
      </c>
      <c r="E298" s="302">
        <f>SUM(B298:D298)</f>
        <v>2.8692033813388234</v>
      </c>
      <c r="F298" s="303"/>
      <c r="G298" s="302">
        <v>2.0398374388001845</v>
      </c>
      <c r="H298" s="302">
        <v>0.51874634484634696</v>
      </c>
      <c r="I298" s="302">
        <v>0.10843661995460674</v>
      </c>
      <c r="J298" s="302">
        <f>SUM(G298:I298)</f>
        <v>2.6670204036011382</v>
      </c>
      <c r="K298" s="303"/>
      <c r="L298" s="302">
        <v>2.4009305809277044</v>
      </c>
      <c r="M298" s="302">
        <v>0.58925003791378372</v>
      </c>
      <c r="N298" s="302">
        <v>9.2572166400094136E-2</v>
      </c>
      <c r="O298" s="302">
        <f>SUM(L298:N298)</f>
        <v>3.0827527852415821</v>
      </c>
    </row>
    <row r="299" spans="1:15" s="236" customFormat="1" x14ac:dyDescent="0.25">
      <c r="A299" s="237" t="str">
        <f>name!E$5</f>
        <v>Professional occupations</v>
      </c>
      <c r="B299" s="302">
        <v>2.5262806167495357</v>
      </c>
      <c r="C299" s="302">
        <v>0.79036552063426835</v>
      </c>
      <c r="D299" s="302">
        <v>0.25165056150917631</v>
      </c>
      <c r="E299" s="302">
        <f t="shared" ref="E299:E306" si="133">SUM(B299:D299)</f>
        <v>3.5682966988929805</v>
      </c>
      <c r="F299" s="303"/>
      <c r="G299" s="302">
        <v>2.7258638523556491</v>
      </c>
      <c r="H299" s="302">
        <v>0.82772517456077888</v>
      </c>
      <c r="I299" s="302">
        <v>0.12111114732961335</v>
      </c>
      <c r="J299" s="302">
        <f t="shared" ref="J299:J301" si="134">SUM(G299:I299)</f>
        <v>3.6747001742460412</v>
      </c>
      <c r="K299" s="303"/>
      <c r="L299" s="302">
        <v>3.554292817307203</v>
      </c>
      <c r="M299" s="302">
        <v>1.0822143830386244</v>
      </c>
      <c r="N299" s="302">
        <v>8.8297315764533271E-2</v>
      </c>
      <c r="O299" s="302">
        <f t="shared" ref="O299:O306" si="135">SUM(L299:N299)</f>
        <v>4.7248045161103605</v>
      </c>
    </row>
    <row r="300" spans="1:15" s="236" customFormat="1" x14ac:dyDescent="0.25">
      <c r="A300" s="237" t="str">
        <f>name!E$6</f>
        <v>Associate professional occupations</v>
      </c>
      <c r="B300" s="302">
        <v>3.5694069763724636</v>
      </c>
      <c r="C300" s="302">
        <v>1.1031020604611295</v>
      </c>
      <c r="D300" s="302">
        <v>0.57584091659924752</v>
      </c>
      <c r="E300" s="302">
        <f t="shared" si="133"/>
        <v>5.2483499534328404</v>
      </c>
      <c r="F300" s="303"/>
      <c r="G300" s="302">
        <v>3.4618024727844015</v>
      </c>
      <c r="H300" s="302">
        <v>0.9946757028483264</v>
      </c>
      <c r="I300" s="302">
        <v>0.28670155416104459</v>
      </c>
      <c r="J300" s="302">
        <f t="shared" si="134"/>
        <v>4.7431797297937726</v>
      </c>
      <c r="K300" s="303"/>
      <c r="L300" s="302">
        <v>3.6329100771173892</v>
      </c>
      <c r="M300" s="302">
        <v>1.1133243629546095</v>
      </c>
      <c r="N300" s="302">
        <v>0.24817612360898494</v>
      </c>
      <c r="O300" s="302">
        <f t="shared" si="135"/>
        <v>4.9944105636809839</v>
      </c>
    </row>
    <row r="301" spans="1:15" s="236" customFormat="1" x14ac:dyDescent="0.25">
      <c r="A301" s="237" t="str">
        <f>name!E$7</f>
        <v>Administrative and secretarial occupations</v>
      </c>
      <c r="B301" s="302">
        <v>3.4581702446862979</v>
      </c>
      <c r="C301" s="302">
        <v>2.6213344085702999</v>
      </c>
      <c r="D301" s="302">
        <v>5.018632648920969E-2</v>
      </c>
      <c r="E301" s="302">
        <f t="shared" si="133"/>
        <v>6.1296909797458072</v>
      </c>
      <c r="F301" s="303"/>
      <c r="G301" s="302">
        <v>3.0204290396148115</v>
      </c>
      <c r="H301" s="302">
        <v>2.0625631165600034</v>
      </c>
      <c r="I301" s="302">
        <v>2.4481549799554074E-2</v>
      </c>
      <c r="J301" s="302">
        <f t="shared" si="134"/>
        <v>5.1074737059743684</v>
      </c>
      <c r="K301" s="303"/>
      <c r="L301" s="302">
        <v>2.933613429909558</v>
      </c>
      <c r="M301" s="302">
        <v>1.9439505251448528</v>
      </c>
      <c r="N301" s="302">
        <v>2.4329827949806978E-2</v>
      </c>
      <c r="O301" s="302">
        <f t="shared" si="135"/>
        <v>4.9018937830042182</v>
      </c>
    </row>
    <row r="302" spans="1:15" s="236" customFormat="1" x14ac:dyDescent="0.25">
      <c r="A302" s="237" t="str">
        <f>name!E$8</f>
        <v>Skilled trades occupations</v>
      </c>
      <c r="B302" s="302">
        <v>0.55558987018704797</v>
      </c>
      <c r="C302" s="302">
        <v>0.34578929476721809</v>
      </c>
      <c r="D302" s="302">
        <v>0.2832132849887507</v>
      </c>
      <c r="E302" s="302">
        <f t="shared" si="133"/>
        <v>1.1845924499430167</v>
      </c>
      <c r="F302" s="303"/>
      <c r="G302" s="302">
        <v>0.37181325950836491</v>
      </c>
      <c r="H302" s="302">
        <v>0.17345759759721893</v>
      </c>
      <c r="I302" s="302">
        <v>0.10385109133522977</v>
      </c>
      <c r="J302" s="302">
        <f>SUM(G302:I302)</f>
        <v>0.64912194844081361</v>
      </c>
      <c r="K302" s="303"/>
      <c r="L302" s="302">
        <v>0.35556185191543316</v>
      </c>
      <c r="M302" s="302">
        <v>0.22166631699671432</v>
      </c>
      <c r="N302" s="302">
        <v>7.4433819728955658E-2</v>
      </c>
      <c r="O302" s="302">
        <f t="shared" si="135"/>
        <v>0.65166198864110314</v>
      </c>
    </row>
    <row r="303" spans="1:15" s="236" customFormat="1" x14ac:dyDescent="0.25">
      <c r="A303" s="237" t="str">
        <f>name!E$9</f>
        <v>Caring, leisure and other service occupations</v>
      </c>
      <c r="B303" s="302">
        <v>1.3603131405705324</v>
      </c>
      <c r="C303" s="302">
        <v>1.569330292231738</v>
      </c>
      <c r="D303" s="302">
        <v>0.18115562683700187</v>
      </c>
      <c r="E303" s="302">
        <f t="shared" si="133"/>
        <v>3.1107990596392723</v>
      </c>
      <c r="F303" s="303"/>
      <c r="G303" s="302">
        <v>1.1850806971396342</v>
      </c>
      <c r="H303" s="302">
        <v>1.2383948930784874</v>
      </c>
      <c r="I303" s="302">
        <v>0.14387150307133401</v>
      </c>
      <c r="J303" s="302">
        <f t="shared" ref="J303:J306" si="136">SUM(G303:I303)</f>
        <v>2.5673470932894551</v>
      </c>
      <c r="K303" s="303"/>
      <c r="L303" s="302">
        <v>1.5342911733543834</v>
      </c>
      <c r="M303" s="302">
        <v>1.4665413336403734</v>
      </c>
      <c r="N303" s="302">
        <v>0.18901468979782035</v>
      </c>
      <c r="O303" s="302">
        <f t="shared" si="135"/>
        <v>3.1898471967925772</v>
      </c>
    </row>
    <row r="304" spans="1:15" s="236" customFormat="1" x14ac:dyDescent="0.25">
      <c r="A304" s="237" t="str">
        <f>name!E$10</f>
        <v>Sales and customer service occupations</v>
      </c>
      <c r="B304" s="302">
        <v>2.3965894804459786</v>
      </c>
      <c r="C304" s="302">
        <v>1.682354548894917</v>
      </c>
      <c r="D304" s="302">
        <v>0.11806231702528917</v>
      </c>
      <c r="E304" s="302">
        <f t="shared" si="133"/>
        <v>4.1970063463661846</v>
      </c>
      <c r="F304" s="303"/>
      <c r="G304" s="302">
        <v>1.9798712595122134</v>
      </c>
      <c r="H304" s="302">
        <v>1.1976577891115743</v>
      </c>
      <c r="I304" s="302">
        <v>4.626411400121478E-2</v>
      </c>
      <c r="J304" s="302">
        <f t="shared" si="136"/>
        <v>3.2237931626250025</v>
      </c>
      <c r="K304" s="303"/>
      <c r="L304" s="302">
        <v>2.4160905733341456</v>
      </c>
      <c r="M304" s="302">
        <v>1.8721575688974372</v>
      </c>
      <c r="N304" s="302">
        <v>3.2800894441703546E-2</v>
      </c>
      <c r="O304" s="302">
        <f t="shared" si="135"/>
        <v>4.3210490366732861</v>
      </c>
    </row>
    <row r="305" spans="1:15" s="236" customFormat="1" x14ac:dyDescent="0.25">
      <c r="A305" s="237" t="str">
        <f>name!E$11</f>
        <v>Process, plant and machine operatives</v>
      </c>
      <c r="B305" s="302">
        <v>1.1042593102450478</v>
      </c>
      <c r="C305" s="302">
        <v>0.77688072643972061</v>
      </c>
      <c r="D305" s="302">
        <v>9.1088740677898322E-2</v>
      </c>
      <c r="E305" s="302">
        <f t="shared" si="133"/>
        <v>1.9722287773626668</v>
      </c>
      <c r="F305" s="303"/>
      <c r="G305" s="302">
        <v>0.70374952583621575</v>
      </c>
      <c r="H305" s="302">
        <v>0.51638703236876471</v>
      </c>
      <c r="I305" s="302">
        <v>5.1024528437505455E-2</v>
      </c>
      <c r="J305" s="302">
        <f t="shared" si="136"/>
        <v>1.2711610866424861</v>
      </c>
      <c r="K305" s="303"/>
      <c r="L305" s="302">
        <v>0.64721708293928126</v>
      </c>
      <c r="M305" s="302">
        <v>0.57646126258885877</v>
      </c>
      <c r="N305" s="302">
        <v>5.5861604717220119E-2</v>
      </c>
      <c r="O305" s="302">
        <f t="shared" si="135"/>
        <v>1.2795399502453599</v>
      </c>
    </row>
    <row r="306" spans="1:15" s="236" customFormat="1" x14ac:dyDescent="0.25">
      <c r="A306" s="237" t="str">
        <f>name!E$12</f>
        <v>Elementary occupations</v>
      </c>
      <c r="B306" s="302">
        <v>4.9125775871655595</v>
      </c>
      <c r="C306" s="302">
        <v>4.6767091089240793</v>
      </c>
      <c r="D306" s="302">
        <v>2.371545657188785</v>
      </c>
      <c r="E306" s="302">
        <f t="shared" si="133"/>
        <v>11.960832353278423</v>
      </c>
      <c r="F306" s="303"/>
      <c r="G306" s="302">
        <v>3.5349148425857422</v>
      </c>
      <c r="H306" s="302">
        <v>2.9711266595005927</v>
      </c>
      <c r="I306" s="302">
        <v>1.7581611933005181</v>
      </c>
      <c r="J306" s="302">
        <f t="shared" si="136"/>
        <v>8.264202695386853</v>
      </c>
      <c r="K306" s="303"/>
      <c r="L306" s="302">
        <v>4.0058354585036327</v>
      </c>
      <c r="M306" s="302">
        <v>2.4215013133495642</v>
      </c>
      <c r="N306" s="302">
        <v>2.1097034077573129</v>
      </c>
      <c r="O306" s="302">
        <f t="shared" si="135"/>
        <v>8.5370401796105106</v>
      </c>
    </row>
    <row r="307" spans="1:15" s="236" customFormat="1" x14ac:dyDescent="0.25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5">
      <c r="A308" s="244" t="s">
        <v>33</v>
      </c>
      <c r="B308" s="311">
        <f>SUM(B298:B306)</f>
        <v>22.056748027188867</v>
      </c>
      <c r="C308" s="311">
        <f t="shared" ref="C308:E308" si="137">SUM(C298:C306)</f>
        <v>14.066390651013307</v>
      </c>
      <c r="D308" s="311">
        <f t="shared" si="137"/>
        <v>4.117861321797843</v>
      </c>
      <c r="E308" s="311">
        <f t="shared" si="137"/>
        <v>40.241000000000014</v>
      </c>
      <c r="F308" s="311"/>
      <c r="G308" s="311">
        <f t="shared" ref="G308:J308" si="138">SUM(G298:G306)</f>
        <v>19.023362388137215</v>
      </c>
      <c r="H308" s="311">
        <f t="shared" si="138"/>
        <v>10.500734310472094</v>
      </c>
      <c r="I308" s="311">
        <f t="shared" si="138"/>
        <v>2.6439033013906208</v>
      </c>
      <c r="J308" s="311">
        <f t="shared" si="138"/>
        <v>32.167999999999935</v>
      </c>
      <c r="K308" s="311"/>
      <c r="L308" s="311">
        <f t="shared" ref="L308:O308" si="139">SUM(L298:L306)</f>
        <v>21.480743045308731</v>
      </c>
      <c r="M308" s="311">
        <f t="shared" si="139"/>
        <v>11.287067104524819</v>
      </c>
      <c r="N308" s="311">
        <f t="shared" si="139"/>
        <v>2.9151898501664317</v>
      </c>
      <c r="O308" s="311">
        <f t="shared" si="139"/>
        <v>35.682999999999979</v>
      </c>
    </row>
    <row r="309" spans="1:15" s="236" customFormat="1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ht="13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ht="13" x14ac:dyDescent="0.3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ht="13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ht="13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5">
      <c r="A315" s="237" t="str">
        <f>name!E$4</f>
        <v>Managers, directors and senior officials</v>
      </c>
      <c r="B315" s="302">
        <v>0.75713633150613679</v>
      </c>
      <c r="C315" s="302">
        <v>0.21806964068244944</v>
      </c>
      <c r="D315" s="302">
        <v>0.15651449481529359</v>
      </c>
      <c r="E315" s="302">
        <f>SUM(B315:D315)</f>
        <v>1.1317204670038798</v>
      </c>
      <c r="F315" s="303"/>
      <c r="G315" s="302">
        <v>0.82596147422631239</v>
      </c>
      <c r="H315" s="302">
        <v>0.27513776746139706</v>
      </c>
      <c r="I315" s="302">
        <v>3.1411075347073381E-2</v>
      </c>
      <c r="J315" s="302">
        <f>SUM(G315:I315)</f>
        <v>1.1325103170347828</v>
      </c>
      <c r="K315" s="303"/>
      <c r="L315" s="302">
        <v>0.84425331628349864</v>
      </c>
      <c r="M315" s="302">
        <v>0.35823333904787991</v>
      </c>
      <c r="N315" s="302">
        <v>4.473351081015655E-2</v>
      </c>
      <c r="O315" s="302">
        <f>SUM(L315:N315)</f>
        <v>1.247220166141535</v>
      </c>
    </row>
    <row r="316" spans="1:15" s="236" customFormat="1" x14ac:dyDescent="0.25">
      <c r="A316" s="237" t="str">
        <f>name!E$5</f>
        <v>Professional occupations</v>
      </c>
      <c r="B316" s="302">
        <v>1.7022842330850065</v>
      </c>
      <c r="C316" s="302">
        <v>0.74855588740164147</v>
      </c>
      <c r="D316" s="302">
        <v>0.35971619941795357</v>
      </c>
      <c r="E316" s="302">
        <f t="shared" ref="E316:E323" si="140">SUM(B316:D316)</f>
        <v>2.8105563199046015</v>
      </c>
      <c r="F316" s="303"/>
      <c r="G316" s="302">
        <v>2.1260805932063502</v>
      </c>
      <c r="H316" s="302">
        <v>0.87838066525107095</v>
      </c>
      <c r="I316" s="302">
        <v>0.12377983169019251</v>
      </c>
      <c r="J316" s="302">
        <f t="shared" ref="J316:J318" si="141">SUM(G316:I316)</f>
        <v>3.1282410901476139</v>
      </c>
      <c r="K316" s="303"/>
      <c r="L316" s="302">
        <v>2.4762099516089364</v>
      </c>
      <c r="M316" s="302">
        <v>1.2082777140908605</v>
      </c>
      <c r="N316" s="302">
        <v>0.13141833332538566</v>
      </c>
      <c r="O316" s="302">
        <f t="shared" ref="O316:O323" si="142">SUM(L316:N316)</f>
        <v>3.8159059990251825</v>
      </c>
    </row>
    <row r="317" spans="1:15" s="236" customFormat="1" x14ac:dyDescent="0.25">
      <c r="A317" s="237" t="str">
        <f>name!E$6</f>
        <v>Associate professional occupations</v>
      </c>
      <c r="B317" s="302">
        <v>3.3607752533011763</v>
      </c>
      <c r="C317" s="302">
        <v>0.85600794576511741</v>
      </c>
      <c r="D317" s="302">
        <v>0.27854005983617697</v>
      </c>
      <c r="E317" s="302">
        <f t="shared" si="140"/>
        <v>4.495323258902471</v>
      </c>
      <c r="F317" s="303"/>
      <c r="G317" s="302">
        <v>3.7384101445347926</v>
      </c>
      <c r="H317" s="302">
        <v>0.84468597241201371</v>
      </c>
      <c r="I317" s="302">
        <v>5.7293411419743617E-2</v>
      </c>
      <c r="J317" s="302">
        <f t="shared" si="141"/>
        <v>4.6403895283665495</v>
      </c>
      <c r="K317" s="303"/>
      <c r="L317" s="302">
        <v>4.4083512699513907</v>
      </c>
      <c r="M317" s="302">
        <v>1.0584054230081916</v>
      </c>
      <c r="N317" s="302">
        <v>7.0132342227230096E-2</v>
      </c>
      <c r="O317" s="302">
        <f t="shared" si="142"/>
        <v>5.5368890351868121</v>
      </c>
    </row>
    <row r="318" spans="1:15" s="236" customFormat="1" x14ac:dyDescent="0.25">
      <c r="A318" s="237" t="str">
        <f>name!E$7</f>
        <v>Administrative and secretarial occupations</v>
      </c>
      <c r="B318" s="302">
        <v>2.5179095029629508</v>
      </c>
      <c r="C318" s="302">
        <v>2.5492381559632316</v>
      </c>
      <c r="D318" s="302">
        <v>9.2502877657337834E-2</v>
      </c>
      <c r="E318" s="302">
        <f t="shared" si="140"/>
        <v>5.1596505365835199</v>
      </c>
      <c r="F318" s="303"/>
      <c r="G318" s="302">
        <v>2.3796787053605257</v>
      </c>
      <c r="H318" s="302">
        <v>2.1499003493653284</v>
      </c>
      <c r="I318" s="302">
        <v>2.3877866995887169E-2</v>
      </c>
      <c r="J318" s="302">
        <f t="shared" si="141"/>
        <v>4.5534569217217413</v>
      </c>
      <c r="K318" s="303"/>
      <c r="L318" s="302">
        <v>1.6772834950332904</v>
      </c>
      <c r="M318" s="302">
        <v>1.8962252204254928</v>
      </c>
      <c r="N318" s="302">
        <v>1.3714106727252685E-2</v>
      </c>
      <c r="O318" s="302">
        <f t="shared" si="142"/>
        <v>3.5872228221860358</v>
      </c>
    </row>
    <row r="319" spans="1:15" s="236" customFormat="1" x14ac:dyDescent="0.25">
      <c r="A319" s="237" t="str">
        <f>name!E$8</f>
        <v>Skilled trades occupations</v>
      </c>
      <c r="B319" s="302">
        <v>0.216166177340266</v>
      </c>
      <c r="C319" s="302">
        <v>2.4977132770183631E-2</v>
      </c>
      <c r="D319" s="302">
        <v>0.14047862780388931</v>
      </c>
      <c r="E319" s="302">
        <f t="shared" si="140"/>
        <v>0.38162193791433896</v>
      </c>
      <c r="F319" s="303"/>
      <c r="G319" s="302">
        <v>0.17071394040419788</v>
      </c>
      <c r="H319" s="302">
        <v>1.812420223182927E-2</v>
      </c>
      <c r="I319" s="302">
        <v>1.7487451761782626E-3</v>
      </c>
      <c r="J319" s="302">
        <f>SUM(G319:I319)</f>
        <v>0.19058688781220542</v>
      </c>
      <c r="K319" s="303"/>
      <c r="L319" s="302">
        <v>0.1680716670976492</v>
      </c>
      <c r="M319" s="302">
        <v>4.603156334437853E-2</v>
      </c>
      <c r="N319" s="302">
        <v>3.9940839330643999E-3</v>
      </c>
      <c r="O319" s="302">
        <f t="shared" si="142"/>
        <v>0.21809731437509214</v>
      </c>
    </row>
    <row r="320" spans="1:15" s="236" customFormat="1" x14ac:dyDescent="0.25">
      <c r="A320" s="237" t="str">
        <f>name!E$9</f>
        <v>Caring, leisure and other service occupations</v>
      </c>
      <c r="B320" s="302">
        <v>0.37188375313657429</v>
      </c>
      <c r="C320" s="302">
        <v>0.36017895768157548</v>
      </c>
      <c r="D320" s="302">
        <v>6.4436082873508896E-2</v>
      </c>
      <c r="E320" s="302">
        <f t="shared" si="140"/>
        <v>0.79649879369165866</v>
      </c>
      <c r="F320" s="303"/>
      <c r="G320" s="302">
        <v>0.3520619176575025</v>
      </c>
      <c r="H320" s="302">
        <v>0.31179515750433057</v>
      </c>
      <c r="I320" s="302">
        <v>3.0838991255858223E-2</v>
      </c>
      <c r="J320" s="302">
        <f t="shared" ref="J320:J323" si="143">SUM(G320:I320)</f>
        <v>0.69469606641769133</v>
      </c>
      <c r="K320" s="303"/>
      <c r="L320" s="302">
        <v>0.40658870547842796</v>
      </c>
      <c r="M320" s="302">
        <v>0.35939102548038926</v>
      </c>
      <c r="N320" s="302">
        <v>2.5854054408241449E-2</v>
      </c>
      <c r="O320" s="302">
        <f t="shared" si="142"/>
        <v>0.79183378536705862</v>
      </c>
    </row>
    <row r="321" spans="1:15" s="236" customFormat="1" x14ac:dyDescent="0.25">
      <c r="A321" s="237" t="str">
        <f>name!E$10</f>
        <v>Sales and customer service occupations</v>
      </c>
      <c r="B321" s="302">
        <v>0.20544665038851437</v>
      </c>
      <c r="C321" s="302">
        <v>0.23087927370879072</v>
      </c>
      <c r="D321" s="302">
        <v>3.1016160333319331E-2</v>
      </c>
      <c r="E321" s="302">
        <f t="shared" si="140"/>
        <v>0.46734208443062442</v>
      </c>
      <c r="F321" s="303"/>
      <c r="G321" s="302">
        <v>0.19648441374908424</v>
      </c>
      <c r="H321" s="302">
        <v>0.21182005765678286</v>
      </c>
      <c r="I321" s="302">
        <v>4.3012446562484931E-3</v>
      </c>
      <c r="J321" s="302">
        <f t="shared" si="143"/>
        <v>0.4126057160621156</v>
      </c>
      <c r="K321" s="303"/>
      <c r="L321" s="302">
        <v>0.23029878325864186</v>
      </c>
      <c r="M321" s="302">
        <v>0.29306422120206482</v>
      </c>
      <c r="N321" s="302">
        <v>6.0083934523322904E-3</v>
      </c>
      <c r="O321" s="302">
        <f t="shared" si="142"/>
        <v>0.529371397913039</v>
      </c>
    </row>
    <row r="322" spans="1:15" s="236" customFormat="1" x14ac:dyDescent="0.25">
      <c r="A322" s="237" t="str">
        <f>name!E$11</f>
        <v>Process, plant and machine operatives</v>
      </c>
      <c r="B322" s="302">
        <v>0.17718239120434251</v>
      </c>
      <c r="C322" s="302">
        <v>6.0849802061034235E-2</v>
      </c>
      <c r="D322" s="302">
        <v>1.9941163537520727E-2</v>
      </c>
      <c r="E322" s="302">
        <f t="shared" si="140"/>
        <v>0.25797335680289746</v>
      </c>
      <c r="F322" s="303"/>
      <c r="G322" s="302">
        <v>0.13072769956096109</v>
      </c>
      <c r="H322" s="302">
        <v>4.1467990380273156E-2</v>
      </c>
      <c r="I322" s="302">
        <v>1.5224306283330468E-3</v>
      </c>
      <c r="J322" s="302">
        <f t="shared" si="143"/>
        <v>0.17371812056956729</v>
      </c>
      <c r="K322" s="303"/>
      <c r="L322" s="302">
        <v>0.14064833118438072</v>
      </c>
      <c r="M322" s="302">
        <v>5.5851364586825804E-2</v>
      </c>
      <c r="N322" s="302">
        <v>1.790209097790163E-3</v>
      </c>
      <c r="O322" s="302">
        <f t="shared" si="142"/>
        <v>0.19828990486899667</v>
      </c>
    </row>
    <row r="323" spans="1:15" s="236" customFormat="1" x14ac:dyDescent="0.25">
      <c r="A323" s="237" t="str">
        <f>name!E$12</f>
        <v>Elementary occupations</v>
      </c>
      <c r="B323" s="302">
        <v>0.24190800484276115</v>
      </c>
      <c r="C323" s="302">
        <v>0.2413191941638482</v>
      </c>
      <c r="D323" s="302">
        <v>1.9086045759383347E-2</v>
      </c>
      <c r="E323" s="302">
        <f t="shared" si="140"/>
        <v>0.50231324476599271</v>
      </c>
      <c r="F323" s="303"/>
      <c r="G323" s="302">
        <v>0.19063981730329063</v>
      </c>
      <c r="H323" s="302">
        <v>0.16170959477543143</v>
      </c>
      <c r="I323" s="302">
        <v>2.4459397889943345E-3</v>
      </c>
      <c r="J323" s="302">
        <f t="shared" si="143"/>
        <v>0.35479535186771638</v>
      </c>
      <c r="K323" s="303"/>
      <c r="L323" s="302">
        <v>0.16899823562284649</v>
      </c>
      <c r="M323" s="302">
        <v>0.12788018476293106</v>
      </c>
      <c r="N323" s="302">
        <v>3.2911545504916684E-3</v>
      </c>
      <c r="O323" s="302">
        <f t="shared" si="142"/>
        <v>0.30016957493626922</v>
      </c>
    </row>
    <row r="324" spans="1:15" s="236" customFormat="1" x14ac:dyDescent="0.25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5">
      <c r="A325" s="244" t="s">
        <v>33</v>
      </c>
      <c r="B325" s="311">
        <f>SUM(B315:B323)</f>
        <v>9.5506922977677284</v>
      </c>
      <c r="C325" s="311">
        <f t="shared" ref="C325:E325" si="144">SUM(C315:C323)</f>
        <v>5.2900759901978729</v>
      </c>
      <c r="D325" s="311">
        <f t="shared" si="144"/>
        <v>1.1622317120343835</v>
      </c>
      <c r="E325" s="311">
        <f t="shared" si="144"/>
        <v>16.002999999999986</v>
      </c>
      <c r="F325" s="311"/>
      <c r="G325" s="311">
        <f t="shared" ref="G325:J325" si="145">SUM(G315:G323)</f>
        <v>10.110758706003018</v>
      </c>
      <c r="H325" s="311">
        <f t="shared" si="145"/>
        <v>4.8930217570384569</v>
      </c>
      <c r="I325" s="311">
        <f t="shared" si="145"/>
        <v>0.27721953695850904</v>
      </c>
      <c r="J325" s="311">
        <f t="shared" si="145"/>
        <v>15.280999999999985</v>
      </c>
      <c r="K325" s="311"/>
      <c r="L325" s="311">
        <f t="shared" ref="L325:O325" si="146">SUM(L315:L323)</f>
        <v>10.520703755519062</v>
      </c>
      <c r="M325" s="311">
        <f t="shared" si="146"/>
        <v>5.4033600559490145</v>
      </c>
      <c r="N325" s="311">
        <f t="shared" si="146"/>
        <v>0.30093618853194498</v>
      </c>
      <c r="O325" s="311">
        <f t="shared" si="146"/>
        <v>16.225000000000019</v>
      </c>
    </row>
    <row r="326" spans="1:15" s="236" customFormat="1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ht="13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ht="13" x14ac:dyDescent="0.3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ht="13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ht="13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5">
      <c r="A332" s="237" t="str">
        <f>name!E$4</f>
        <v>Managers, directors and senior officials</v>
      </c>
      <c r="B332" s="302">
        <v>0.63100503305341249</v>
      </c>
      <c r="C332" s="302">
        <v>0.24797306791750265</v>
      </c>
      <c r="D332" s="302">
        <v>0.18130462566273167</v>
      </c>
      <c r="E332" s="302">
        <f>SUM(B332:D332)</f>
        <v>1.0602827266336468</v>
      </c>
      <c r="F332" s="303"/>
      <c r="G332" s="302">
        <v>0.66484242218347012</v>
      </c>
      <c r="H332" s="302">
        <v>0.30200481438458654</v>
      </c>
      <c r="I332" s="302">
        <v>0.20497455051466121</v>
      </c>
      <c r="J332" s="302">
        <f>SUM(G332:I332)</f>
        <v>1.1718217870827179</v>
      </c>
      <c r="K332" s="303"/>
      <c r="L332" s="302">
        <v>0.72605329717024558</v>
      </c>
      <c r="M332" s="302">
        <v>0.38694831068174845</v>
      </c>
      <c r="N332" s="302">
        <v>0.18776214670938901</v>
      </c>
      <c r="O332" s="302">
        <f>SUM(L332:N332)</f>
        <v>1.300763754561383</v>
      </c>
    </row>
    <row r="333" spans="1:15" s="236" customFormat="1" x14ac:dyDescent="0.25">
      <c r="A333" s="237" t="str">
        <f>name!E$5</f>
        <v>Professional occupations</v>
      </c>
      <c r="B333" s="302">
        <v>12.386733393523542</v>
      </c>
      <c r="C333" s="302">
        <v>6.4193807741342246</v>
      </c>
      <c r="D333" s="302">
        <v>0.94306719762449076</v>
      </c>
      <c r="E333" s="302">
        <f t="shared" ref="E333:E340" si="147">SUM(B333:D333)</f>
        <v>19.749181365282258</v>
      </c>
      <c r="F333" s="303"/>
      <c r="G333" s="302">
        <v>13.932642625595047</v>
      </c>
      <c r="H333" s="302">
        <v>6.8991920181962794</v>
      </c>
      <c r="I333" s="302">
        <v>1.2346886516074518</v>
      </c>
      <c r="J333" s="302">
        <f t="shared" ref="J333:J335" si="148">SUM(G333:I333)</f>
        <v>22.066523295398778</v>
      </c>
      <c r="K333" s="303"/>
      <c r="L333" s="302">
        <v>16.174090913956952</v>
      </c>
      <c r="M333" s="302">
        <v>9.2117592166248841</v>
      </c>
      <c r="N333" s="302">
        <v>1.1595421953567786</v>
      </c>
      <c r="O333" s="302">
        <f t="shared" ref="O333:O340" si="149">SUM(L333:N333)</f>
        <v>26.545392325938614</v>
      </c>
    </row>
    <row r="334" spans="1:15" s="236" customFormat="1" x14ac:dyDescent="0.25">
      <c r="A334" s="237" t="str">
        <f>name!E$6</f>
        <v>Associate professional occupations</v>
      </c>
      <c r="B334" s="302">
        <v>1.6886332728677302</v>
      </c>
      <c r="C334" s="302">
        <v>1.5160926208655034</v>
      </c>
      <c r="D334" s="302">
        <v>0.52925632935838007</v>
      </c>
      <c r="E334" s="302">
        <f t="shared" si="147"/>
        <v>3.7339822230916138</v>
      </c>
      <c r="F334" s="303"/>
      <c r="G334" s="302">
        <v>1.8748578878744784</v>
      </c>
      <c r="H334" s="302">
        <v>1.5945519084956568</v>
      </c>
      <c r="I334" s="302">
        <v>0.49046645287783142</v>
      </c>
      <c r="J334" s="302">
        <f t="shared" si="148"/>
        <v>3.9598762492479662</v>
      </c>
      <c r="K334" s="303"/>
      <c r="L334" s="302">
        <v>1.8203924910775364</v>
      </c>
      <c r="M334" s="302">
        <v>1.7330470959564988</v>
      </c>
      <c r="N334" s="302">
        <v>0.38755113518488715</v>
      </c>
      <c r="O334" s="302">
        <f t="shared" si="149"/>
        <v>3.9409907222189222</v>
      </c>
    </row>
    <row r="335" spans="1:15" s="236" customFormat="1" x14ac:dyDescent="0.25">
      <c r="A335" s="237" t="str">
        <f>name!E$7</f>
        <v>Administrative and secretarial occupations</v>
      </c>
      <c r="B335" s="302">
        <v>0.94394747290745618</v>
      </c>
      <c r="C335" s="302">
        <v>2.2808246500516525</v>
      </c>
      <c r="D335" s="302">
        <v>5.89002687512225E-2</v>
      </c>
      <c r="E335" s="302">
        <f t="shared" si="147"/>
        <v>3.283672391710331</v>
      </c>
      <c r="F335" s="303"/>
      <c r="G335" s="302">
        <v>0.84601871214707625</v>
      </c>
      <c r="H335" s="302">
        <v>1.9296924980391337</v>
      </c>
      <c r="I335" s="302">
        <v>5.5471723453971701E-2</v>
      </c>
      <c r="J335" s="302">
        <f t="shared" si="148"/>
        <v>2.8311829336401817</v>
      </c>
      <c r="K335" s="303"/>
      <c r="L335" s="302">
        <v>0.45395345258140118</v>
      </c>
      <c r="M335" s="302">
        <v>1.0481435397238934</v>
      </c>
      <c r="N335" s="302">
        <v>3.0416753239005043E-2</v>
      </c>
      <c r="O335" s="302">
        <f t="shared" si="149"/>
        <v>1.5325137455442996</v>
      </c>
    </row>
    <row r="336" spans="1:15" s="236" customFormat="1" x14ac:dyDescent="0.25">
      <c r="A336" s="237" t="str">
        <f>name!E$8</f>
        <v>Skilled trades occupations</v>
      </c>
      <c r="B336" s="302">
        <v>0.46697813312703262</v>
      </c>
      <c r="C336" s="302">
        <v>0.29653326850374206</v>
      </c>
      <c r="D336" s="302">
        <v>8.4120392269488156E-2</v>
      </c>
      <c r="E336" s="302">
        <f t="shared" si="147"/>
        <v>0.84763179390026289</v>
      </c>
      <c r="F336" s="303"/>
      <c r="G336" s="302">
        <v>0.3472906939190129</v>
      </c>
      <c r="H336" s="302">
        <v>0.19114419631568244</v>
      </c>
      <c r="I336" s="302">
        <v>7.8673699311197012E-2</v>
      </c>
      <c r="J336" s="302">
        <f>SUM(G336:I336)</f>
        <v>0.61710858954589243</v>
      </c>
      <c r="K336" s="303"/>
      <c r="L336" s="302">
        <v>0.22473166027685887</v>
      </c>
      <c r="M336" s="302">
        <v>8.8694515825037415E-2</v>
      </c>
      <c r="N336" s="302">
        <v>0.19487325356233914</v>
      </c>
      <c r="O336" s="302">
        <f t="shared" si="149"/>
        <v>0.50829942966423536</v>
      </c>
    </row>
    <row r="337" spans="1:15" s="236" customFormat="1" x14ac:dyDescent="0.25">
      <c r="A337" s="237" t="str">
        <f>name!E$9</f>
        <v>Caring, leisure and other service occupations</v>
      </c>
      <c r="B337" s="302">
        <v>5.1480303417218813</v>
      </c>
      <c r="C337" s="302">
        <v>6.9988617740170023</v>
      </c>
      <c r="D337" s="302">
        <v>0.28904397025892326</v>
      </c>
      <c r="E337" s="302">
        <f t="shared" si="147"/>
        <v>12.435936085997806</v>
      </c>
      <c r="F337" s="303"/>
      <c r="G337" s="302">
        <v>4.8181865072502781</v>
      </c>
      <c r="H337" s="302">
        <v>6.335457823085493</v>
      </c>
      <c r="I337" s="302">
        <v>0.32101969291284393</v>
      </c>
      <c r="J337" s="302">
        <f t="shared" ref="J337:J340" si="150">SUM(G337:I337)</f>
        <v>11.474664023248614</v>
      </c>
      <c r="K337" s="303"/>
      <c r="L337" s="302">
        <v>6.0832395138576061</v>
      </c>
      <c r="M337" s="302">
        <v>7.0706666793075206</v>
      </c>
      <c r="N337" s="302">
        <v>0.53914410850163619</v>
      </c>
      <c r="O337" s="302">
        <f t="shared" si="149"/>
        <v>13.693050301666764</v>
      </c>
    </row>
    <row r="338" spans="1:15" s="236" customFormat="1" x14ac:dyDescent="0.25">
      <c r="A338" s="237" t="str">
        <f>name!E$10</f>
        <v>Sales and customer service occupations</v>
      </c>
      <c r="B338" s="302">
        <v>8.7278698077550496E-2</v>
      </c>
      <c r="C338" s="302">
        <v>0.16619691589700442</v>
      </c>
      <c r="D338" s="302">
        <v>4.9048525074581337E-2</v>
      </c>
      <c r="E338" s="302">
        <f t="shared" si="147"/>
        <v>0.30252413904913628</v>
      </c>
      <c r="F338" s="303"/>
      <c r="G338" s="302">
        <v>7.8626832709640826E-2</v>
      </c>
      <c r="H338" s="302">
        <v>0.14216162263087687</v>
      </c>
      <c r="I338" s="302">
        <v>3.5774323209846831E-2</v>
      </c>
      <c r="J338" s="302">
        <f t="shared" si="150"/>
        <v>0.25656277855036452</v>
      </c>
      <c r="K338" s="303"/>
      <c r="L338" s="302">
        <v>8.3954167435782684E-2</v>
      </c>
      <c r="M338" s="302">
        <v>0.14257744720150919</v>
      </c>
      <c r="N338" s="302">
        <v>5.3608400053769142E-2</v>
      </c>
      <c r="O338" s="302">
        <f t="shared" si="149"/>
        <v>0.28014001469106103</v>
      </c>
    </row>
    <row r="339" spans="1:15" s="236" customFormat="1" x14ac:dyDescent="0.25">
      <c r="A339" s="237" t="str">
        <f>name!E$11</f>
        <v>Process, plant and machine operatives</v>
      </c>
      <c r="B339" s="302">
        <v>7.714886414487393E-2</v>
      </c>
      <c r="C339" s="302">
        <v>0.1060213363779275</v>
      </c>
      <c r="D339" s="302">
        <v>0.6088735598790227</v>
      </c>
      <c r="E339" s="302">
        <f t="shared" si="147"/>
        <v>0.79204376040182412</v>
      </c>
      <c r="F339" s="303"/>
      <c r="G339" s="302">
        <v>5.5164000340741308E-2</v>
      </c>
      <c r="H339" s="302">
        <v>6.667624676673882E-2</v>
      </c>
      <c r="I339" s="302">
        <v>0.65712908926325919</v>
      </c>
      <c r="J339" s="302">
        <f t="shared" si="150"/>
        <v>0.77896933637073928</v>
      </c>
      <c r="K339" s="303"/>
      <c r="L339" s="302">
        <v>4.4086295575781267E-2</v>
      </c>
      <c r="M339" s="302">
        <v>6.8257860821168581E-2</v>
      </c>
      <c r="N339" s="302">
        <v>0.8045783373260802</v>
      </c>
      <c r="O339" s="302">
        <f t="shared" si="149"/>
        <v>0.91692249372303003</v>
      </c>
    </row>
    <row r="340" spans="1:15" s="236" customFormat="1" x14ac:dyDescent="0.25">
      <c r="A340" s="237" t="str">
        <f>name!E$12</f>
        <v>Elementary occupations</v>
      </c>
      <c r="B340" s="302">
        <v>0.27375008248464988</v>
      </c>
      <c r="C340" s="302">
        <v>2.2146770714690311</v>
      </c>
      <c r="D340" s="302">
        <v>0.11631835997952171</v>
      </c>
      <c r="E340" s="302">
        <f t="shared" si="147"/>
        <v>2.604745513933203</v>
      </c>
      <c r="F340" s="303"/>
      <c r="G340" s="302">
        <v>0.2041234447630316</v>
      </c>
      <c r="H340" s="302">
        <v>1.6210616366518591</v>
      </c>
      <c r="I340" s="302">
        <v>8.1105925499863174E-2</v>
      </c>
      <c r="J340" s="302">
        <f t="shared" si="150"/>
        <v>1.9062910069147538</v>
      </c>
      <c r="K340" s="303"/>
      <c r="L340" s="302">
        <v>0.12526787622694349</v>
      </c>
      <c r="M340" s="302">
        <v>0.11180705063979819</v>
      </c>
      <c r="N340" s="302">
        <v>0.20885228512484302</v>
      </c>
      <c r="O340" s="302">
        <f t="shared" si="149"/>
        <v>0.44592721199158469</v>
      </c>
    </row>
    <row r="341" spans="1:15" s="236" customFormat="1" x14ac:dyDescent="0.25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5">
      <c r="A342" s="244" t="s">
        <v>33</v>
      </c>
      <c r="B342" s="311">
        <f>SUM(B332:B340)</f>
        <v>21.703505291908129</v>
      </c>
      <c r="C342" s="311">
        <f t="shared" ref="C342:E342" si="151">SUM(C332:C340)</f>
        <v>20.246561479233591</v>
      </c>
      <c r="D342" s="311">
        <f t="shared" si="151"/>
        <v>2.8599332288583623</v>
      </c>
      <c r="E342" s="311">
        <f t="shared" si="151"/>
        <v>44.810000000000088</v>
      </c>
      <c r="F342" s="311"/>
      <c r="G342" s="311">
        <f t="shared" ref="G342:J342" si="152">SUM(G332:G340)</f>
        <v>22.821753126782777</v>
      </c>
      <c r="H342" s="311">
        <f t="shared" si="152"/>
        <v>19.08194276456631</v>
      </c>
      <c r="I342" s="311">
        <f t="shared" si="152"/>
        <v>3.1593041086509261</v>
      </c>
      <c r="J342" s="311">
        <f t="shared" si="152"/>
        <v>45.063000000000017</v>
      </c>
      <c r="K342" s="311"/>
      <c r="L342" s="311">
        <f t="shared" ref="L342:O342" si="153">SUM(L332:L340)</f>
        <v>25.735769668159108</v>
      </c>
      <c r="M342" s="311">
        <f t="shared" si="153"/>
        <v>19.861901716782061</v>
      </c>
      <c r="N342" s="311">
        <f t="shared" si="153"/>
        <v>3.5663286150587279</v>
      </c>
      <c r="O342" s="311">
        <f t="shared" si="153"/>
        <v>49.163999999999902</v>
      </c>
    </row>
    <row r="343" spans="1:15" s="236" customFormat="1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ht="13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ht="13" x14ac:dyDescent="0.3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ht="13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ht="13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5">
      <c r="A349" s="237" t="str">
        <f>name!E$4</f>
        <v>Managers, directors and senior officials</v>
      </c>
      <c r="B349" s="302">
        <v>1.6854851108844839</v>
      </c>
      <c r="C349" s="302">
        <v>0.50092299093033266</v>
      </c>
      <c r="D349" s="302">
        <v>0.22614235472440447</v>
      </c>
      <c r="E349" s="302">
        <f>SUM(B349:D349)</f>
        <v>2.4125504565392211</v>
      </c>
      <c r="F349" s="303"/>
      <c r="G349" s="302">
        <v>1.9987956891907173</v>
      </c>
      <c r="H349" s="302">
        <v>0.77599955273666099</v>
      </c>
      <c r="I349" s="302">
        <v>0.46716815830022768</v>
      </c>
      <c r="J349" s="302">
        <f>SUM(G349:I349)</f>
        <v>3.2419634002276059</v>
      </c>
      <c r="K349" s="303"/>
      <c r="L349" s="302">
        <v>2.5207389825180089</v>
      </c>
      <c r="M349" s="302">
        <v>0.97553534309307743</v>
      </c>
      <c r="N349" s="302">
        <v>0.47080080700146104</v>
      </c>
      <c r="O349" s="302">
        <f>SUM(L349:N349)</f>
        <v>3.9670751326125471</v>
      </c>
    </row>
    <row r="350" spans="1:15" s="236" customFormat="1" x14ac:dyDescent="0.25">
      <c r="A350" s="237" t="str">
        <f>name!E$5</f>
        <v>Professional occupations</v>
      </c>
      <c r="B350" s="302">
        <v>11.680926968460874</v>
      </c>
      <c r="C350" s="302">
        <v>5.6146928203405784</v>
      </c>
      <c r="D350" s="302">
        <v>1.4295026265682569</v>
      </c>
      <c r="E350" s="302">
        <f t="shared" ref="E350:E357" si="154">SUM(B350:D350)</f>
        <v>18.725122415369711</v>
      </c>
      <c r="F350" s="303"/>
      <c r="G350" s="302">
        <v>14.816958760394806</v>
      </c>
      <c r="H350" s="302">
        <v>7.5433898912689603</v>
      </c>
      <c r="I350" s="302">
        <v>2.0600626368970842</v>
      </c>
      <c r="J350" s="302">
        <f t="shared" ref="J350:J352" si="155">SUM(G350:I350)</f>
        <v>24.42041128856085</v>
      </c>
      <c r="K350" s="303"/>
      <c r="L350" s="302">
        <v>19.028906602400699</v>
      </c>
      <c r="M350" s="302">
        <v>9.2695576976102849</v>
      </c>
      <c r="N350" s="302">
        <v>2.0854297045236692</v>
      </c>
      <c r="O350" s="302">
        <f t="shared" ref="O350:O357" si="156">SUM(L350:N350)</f>
        <v>30.383894004534653</v>
      </c>
    </row>
    <row r="351" spans="1:15" s="236" customFormat="1" x14ac:dyDescent="0.25">
      <c r="A351" s="237" t="str">
        <f>name!E$6</f>
        <v>Associate professional occupations</v>
      </c>
      <c r="B351" s="302">
        <v>4.8764502695457725</v>
      </c>
      <c r="C351" s="302">
        <v>2.9503300372988863</v>
      </c>
      <c r="D351" s="302">
        <v>0.66767209666121297</v>
      </c>
      <c r="E351" s="302">
        <f t="shared" si="154"/>
        <v>8.4944524035058731</v>
      </c>
      <c r="F351" s="303"/>
      <c r="G351" s="302">
        <v>5.9830967925952114</v>
      </c>
      <c r="H351" s="302">
        <v>3.9360455980822691</v>
      </c>
      <c r="I351" s="302">
        <v>0.61601675713997062</v>
      </c>
      <c r="J351" s="302">
        <f t="shared" si="155"/>
        <v>10.535159147817451</v>
      </c>
      <c r="K351" s="303"/>
      <c r="L351" s="302">
        <v>7.0119800700869481</v>
      </c>
      <c r="M351" s="302">
        <v>4.2446744493190423</v>
      </c>
      <c r="N351" s="302">
        <v>0.80936075166497523</v>
      </c>
      <c r="O351" s="302">
        <f t="shared" si="156"/>
        <v>12.066015271070967</v>
      </c>
    </row>
    <row r="352" spans="1:15" s="236" customFormat="1" x14ac:dyDescent="0.25">
      <c r="A352" s="237" t="str">
        <f>name!E$7</f>
        <v>Administrative and secretarial occupations</v>
      </c>
      <c r="B352" s="302">
        <v>2.2230465175969805</v>
      </c>
      <c r="C352" s="302">
        <v>3.4476681481100386</v>
      </c>
      <c r="D352" s="302">
        <v>0.1365377838657541</v>
      </c>
      <c r="E352" s="302">
        <f t="shared" si="154"/>
        <v>5.8072524495727729</v>
      </c>
      <c r="F352" s="303"/>
      <c r="G352" s="302">
        <v>2.3551756062412892</v>
      </c>
      <c r="H352" s="302">
        <v>3.5231295030739456</v>
      </c>
      <c r="I352" s="302">
        <v>9.6753612792275512E-2</v>
      </c>
      <c r="J352" s="302">
        <f t="shared" si="155"/>
        <v>5.9750587221075104</v>
      </c>
      <c r="K352" s="303"/>
      <c r="L352" s="302">
        <v>1.6098924382750293</v>
      </c>
      <c r="M352" s="302">
        <v>1.6396187622575065</v>
      </c>
      <c r="N352" s="302">
        <v>7.113383010344683E-2</v>
      </c>
      <c r="O352" s="302">
        <f t="shared" si="156"/>
        <v>3.3206450306359825</v>
      </c>
    </row>
    <row r="353" spans="1:15" s="236" customFormat="1" x14ac:dyDescent="0.25">
      <c r="A353" s="237" t="str">
        <f>name!E$8</f>
        <v>Skilled trades occupations</v>
      </c>
      <c r="B353" s="302">
        <v>0.45154952774325191</v>
      </c>
      <c r="C353" s="302">
        <v>0.33285062404574806</v>
      </c>
      <c r="D353" s="302">
        <v>9.8891803864451844E-2</v>
      </c>
      <c r="E353" s="302">
        <f t="shared" si="154"/>
        <v>0.88329195565345187</v>
      </c>
      <c r="F353" s="303"/>
      <c r="G353" s="302">
        <v>0.35120282640350287</v>
      </c>
      <c r="H353" s="302">
        <v>0.2674176428043985</v>
      </c>
      <c r="I353" s="302">
        <v>0.22525175874010264</v>
      </c>
      <c r="J353" s="302">
        <f>SUM(G353:I353)</f>
        <v>0.84387222794800398</v>
      </c>
      <c r="K353" s="303"/>
      <c r="L353" s="302">
        <v>0.23875205793136911</v>
      </c>
      <c r="M353" s="302">
        <v>0.20021827540466977</v>
      </c>
      <c r="N353" s="302">
        <v>0.25884969655470808</v>
      </c>
      <c r="O353" s="302">
        <f t="shared" si="156"/>
        <v>0.69782002989074687</v>
      </c>
    </row>
    <row r="354" spans="1:15" s="236" customFormat="1" x14ac:dyDescent="0.25">
      <c r="A354" s="237" t="str">
        <f>name!E$9</f>
        <v>Caring, leisure and other service occupations</v>
      </c>
      <c r="B354" s="302">
        <v>10.735368346648158</v>
      </c>
      <c r="C354" s="302">
        <v>9.6787180323217576</v>
      </c>
      <c r="D354" s="302">
        <v>1.3319291879859327</v>
      </c>
      <c r="E354" s="302">
        <f t="shared" si="154"/>
        <v>21.746015566955847</v>
      </c>
      <c r="F354" s="303"/>
      <c r="G354" s="302">
        <v>12.243112120177033</v>
      </c>
      <c r="H354" s="302">
        <v>10.710378321376476</v>
      </c>
      <c r="I354" s="302">
        <v>1.1551744105528134</v>
      </c>
      <c r="J354" s="302">
        <f t="shared" ref="J354:J357" si="157">SUM(G354:I354)</f>
        <v>24.108664852106322</v>
      </c>
      <c r="K354" s="303"/>
      <c r="L354" s="302">
        <v>15.231353459999033</v>
      </c>
      <c r="M354" s="302">
        <v>11.945435954352035</v>
      </c>
      <c r="N354" s="302">
        <v>1.4936971546308859</v>
      </c>
      <c r="O354" s="302">
        <f t="shared" si="156"/>
        <v>28.670486568981957</v>
      </c>
    </row>
    <row r="355" spans="1:15" s="236" customFormat="1" x14ac:dyDescent="0.25">
      <c r="A355" s="237" t="str">
        <f>name!E$10</f>
        <v>Sales and customer service occupations</v>
      </c>
      <c r="B355" s="302">
        <v>0.36822976732028634</v>
      </c>
      <c r="C355" s="302">
        <v>0.40121204658604415</v>
      </c>
      <c r="D355" s="302">
        <v>5.6907015058791456E-2</v>
      </c>
      <c r="E355" s="302">
        <f t="shared" si="154"/>
        <v>0.82634882896512196</v>
      </c>
      <c r="F355" s="303"/>
      <c r="G355" s="302">
        <v>0.38468306209382136</v>
      </c>
      <c r="H355" s="302">
        <v>0.41699369572911316</v>
      </c>
      <c r="I355" s="302">
        <v>5.9696908923171567E-2</v>
      </c>
      <c r="J355" s="302">
        <f t="shared" si="157"/>
        <v>0.86137366674610605</v>
      </c>
      <c r="K355" s="303"/>
      <c r="L355" s="302">
        <v>0.44545723454813296</v>
      </c>
      <c r="M355" s="302">
        <v>0.44822408726905211</v>
      </c>
      <c r="N355" s="302">
        <v>6.4283122674844914E-2</v>
      </c>
      <c r="O355" s="302">
        <f t="shared" si="156"/>
        <v>0.95796444449203</v>
      </c>
    </row>
    <row r="356" spans="1:15" s="236" customFormat="1" x14ac:dyDescent="0.25">
      <c r="A356" s="237" t="str">
        <f>name!E$11</f>
        <v>Process, plant and machine operatives</v>
      </c>
      <c r="B356" s="302">
        <v>0.16216600219335717</v>
      </c>
      <c r="C356" s="302">
        <v>0.23644895980644429</v>
      </c>
      <c r="D356" s="302">
        <v>2.7948325479206809E-2</v>
      </c>
      <c r="E356" s="302">
        <f t="shared" si="154"/>
        <v>0.42656328747900829</v>
      </c>
      <c r="F356" s="303"/>
      <c r="G356" s="302">
        <v>0.12320010853171383</v>
      </c>
      <c r="H356" s="302">
        <v>0.21245314859765987</v>
      </c>
      <c r="I356" s="302">
        <v>7.1764912512231424E-2</v>
      </c>
      <c r="J356" s="302">
        <f t="shared" si="157"/>
        <v>0.40741816964160515</v>
      </c>
      <c r="K356" s="303"/>
      <c r="L356" s="302">
        <v>0.10643270791730564</v>
      </c>
      <c r="M356" s="302">
        <v>0.18840554860825878</v>
      </c>
      <c r="N356" s="302">
        <v>7.47490755966502E-2</v>
      </c>
      <c r="O356" s="302">
        <f t="shared" si="156"/>
        <v>0.36958733212221462</v>
      </c>
    </row>
    <row r="357" spans="1:15" s="236" customFormat="1" x14ac:dyDescent="0.25">
      <c r="A357" s="237" t="str">
        <f>name!E$12</f>
        <v>Elementary occupations</v>
      </c>
      <c r="B357" s="302">
        <v>0.44560840227342385</v>
      </c>
      <c r="C357" s="302">
        <v>1.0264090632209084</v>
      </c>
      <c r="D357" s="302">
        <v>7.3385170464764199E-2</v>
      </c>
      <c r="E357" s="302">
        <f t="shared" si="154"/>
        <v>1.5454026359590964</v>
      </c>
      <c r="F357" s="303"/>
      <c r="G357" s="302">
        <v>0.38056230402183588</v>
      </c>
      <c r="H357" s="302">
        <v>0.87781770100586898</v>
      </c>
      <c r="I357" s="302">
        <v>0.11769851981695466</v>
      </c>
      <c r="J357" s="302">
        <f t="shared" si="157"/>
        <v>1.3760785248446594</v>
      </c>
      <c r="K357" s="303"/>
      <c r="L357" s="302">
        <v>0.25249461035815118</v>
      </c>
      <c r="M357" s="302">
        <v>0.37718464321176243</v>
      </c>
      <c r="N357" s="302">
        <v>0.13983293208901892</v>
      </c>
      <c r="O357" s="302">
        <f t="shared" si="156"/>
        <v>0.76951218565893253</v>
      </c>
    </row>
    <row r="358" spans="1:15" s="236" customFormat="1" x14ac:dyDescent="0.25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5">
      <c r="A359" s="244" t="s">
        <v>33</v>
      </c>
      <c r="B359" s="311">
        <f>SUM(B349:B357)</f>
        <v>32.628830912666587</v>
      </c>
      <c r="C359" s="311">
        <f t="shared" ref="C359:E359" si="158">SUM(C349:C357)</f>
        <v>24.189252722660736</v>
      </c>
      <c r="D359" s="311">
        <f t="shared" si="158"/>
        <v>4.0489163646727757</v>
      </c>
      <c r="E359" s="311">
        <f t="shared" si="158"/>
        <v>60.867000000000111</v>
      </c>
      <c r="F359" s="311"/>
      <c r="G359" s="311">
        <f t="shared" ref="G359:J359" si="159">SUM(G349:G357)</f>
        <v>38.636787269649929</v>
      </c>
      <c r="H359" s="311">
        <f t="shared" si="159"/>
        <v>28.263625054675355</v>
      </c>
      <c r="I359" s="311">
        <f t="shared" si="159"/>
        <v>4.8695876756748309</v>
      </c>
      <c r="J359" s="311">
        <f t="shared" si="159"/>
        <v>71.77000000000011</v>
      </c>
      <c r="K359" s="311"/>
      <c r="L359" s="311">
        <f t="shared" ref="L359:O359" si="160">SUM(L349:L357)</f>
        <v>46.446008164034673</v>
      </c>
      <c r="M359" s="311">
        <f t="shared" si="160"/>
        <v>29.288854761125688</v>
      </c>
      <c r="N359" s="311">
        <f t="shared" si="160"/>
        <v>5.4681370748396612</v>
      </c>
      <c r="O359" s="311">
        <f t="shared" si="160"/>
        <v>81.203000000000031</v>
      </c>
    </row>
    <row r="360" spans="1:15" s="236" customFormat="1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ht="13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ht="13" x14ac:dyDescent="0.3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ht="13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ht="13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5">
      <c r="A366" s="237" t="str">
        <f>name!E$4</f>
        <v>Managers, directors and senior officials</v>
      </c>
      <c r="B366" s="302">
        <v>0.48396494606330182</v>
      </c>
      <c r="C366" s="302">
        <v>0.15041664401868768</v>
      </c>
      <c r="D366" s="302">
        <v>0.19730574575010973</v>
      </c>
      <c r="E366" s="302">
        <f>SUM(B366:D366)</f>
        <v>0.83168733583209919</v>
      </c>
      <c r="F366" s="303"/>
      <c r="G366" s="302">
        <v>0.55078378055803268</v>
      </c>
      <c r="H366" s="302">
        <v>0.19578288784115672</v>
      </c>
      <c r="I366" s="302">
        <v>0.20742136829924138</v>
      </c>
      <c r="J366" s="302">
        <f>SUM(G366:I366)</f>
        <v>0.9539880366984308</v>
      </c>
      <c r="K366" s="303"/>
      <c r="L366" s="302">
        <v>0.57127170800205629</v>
      </c>
      <c r="M366" s="302">
        <v>0.2764466335775328</v>
      </c>
      <c r="N366" s="302">
        <v>0.19791306614081333</v>
      </c>
      <c r="O366" s="302">
        <f>SUM(L366:N366)</f>
        <v>1.0456314077204023</v>
      </c>
    </row>
    <row r="367" spans="1:15" s="236" customFormat="1" x14ac:dyDescent="0.25">
      <c r="A367" s="237" t="str">
        <f>name!E$5</f>
        <v>Professional occupations</v>
      </c>
      <c r="B367" s="302">
        <v>0.6379181259532406</v>
      </c>
      <c r="C367" s="302">
        <v>0.36301601261004696</v>
      </c>
      <c r="D367" s="302">
        <v>0.63394830243334399</v>
      </c>
      <c r="E367" s="302">
        <f t="shared" ref="E367:E374" si="161">SUM(B367:D367)</f>
        <v>1.6348824409966314</v>
      </c>
      <c r="F367" s="303"/>
      <c r="G367" s="302">
        <v>0.87904349104191082</v>
      </c>
      <c r="H367" s="302">
        <v>0.49808821094707162</v>
      </c>
      <c r="I367" s="302">
        <v>0.62065220954327383</v>
      </c>
      <c r="J367" s="302">
        <f t="shared" ref="J367:J369" si="162">SUM(G367:I367)</f>
        <v>1.9977839115322562</v>
      </c>
      <c r="K367" s="303"/>
      <c r="L367" s="302">
        <v>0.97800005194972484</v>
      </c>
      <c r="M367" s="302">
        <v>0.6567098894271185</v>
      </c>
      <c r="N367" s="302">
        <v>0.5485932069937598</v>
      </c>
      <c r="O367" s="302">
        <f t="shared" ref="O367:O374" si="163">SUM(L367:N367)</f>
        <v>2.1833031483706034</v>
      </c>
    </row>
    <row r="368" spans="1:15" s="236" customFormat="1" x14ac:dyDescent="0.25">
      <c r="A368" s="237" t="str">
        <f>name!E$6</f>
        <v>Associate professional occupations</v>
      </c>
      <c r="B368" s="302">
        <v>0.9291720602152207</v>
      </c>
      <c r="C368" s="302">
        <v>0.76149569241625992</v>
      </c>
      <c r="D368" s="302">
        <v>1.7924034164603522</v>
      </c>
      <c r="E368" s="302">
        <f t="shared" si="161"/>
        <v>3.4830711690918328</v>
      </c>
      <c r="F368" s="303"/>
      <c r="G368" s="302">
        <v>1.1151176214184375</v>
      </c>
      <c r="H368" s="302">
        <v>0.79780882166934985</v>
      </c>
      <c r="I368" s="302">
        <v>1.8105736623486928</v>
      </c>
      <c r="J368" s="302">
        <f t="shared" si="162"/>
        <v>3.7235001054364805</v>
      </c>
      <c r="K368" s="303"/>
      <c r="L368" s="302">
        <v>1.141879206630247</v>
      </c>
      <c r="M368" s="302">
        <v>0.84251584103926846</v>
      </c>
      <c r="N368" s="302">
        <v>1.7339278501837418</v>
      </c>
      <c r="O368" s="302">
        <f t="shared" si="163"/>
        <v>3.7183228978532572</v>
      </c>
    </row>
    <row r="369" spans="1:15" s="236" customFormat="1" x14ac:dyDescent="0.25">
      <c r="A369" s="237" t="str">
        <f>name!E$7</f>
        <v>Administrative and secretarial occupations</v>
      </c>
      <c r="B369" s="302">
        <v>0.50434448713509827</v>
      </c>
      <c r="C369" s="302">
        <v>1.243061126161594</v>
      </c>
      <c r="D369" s="302">
        <v>4.9161840128618142E-2</v>
      </c>
      <c r="E369" s="302">
        <f t="shared" si="161"/>
        <v>1.7965674534253104</v>
      </c>
      <c r="F369" s="303"/>
      <c r="G369" s="302">
        <v>0.5261477936961011</v>
      </c>
      <c r="H369" s="302">
        <v>1.2214213228006869</v>
      </c>
      <c r="I369" s="302">
        <v>3.8276926523286854E-2</v>
      </c>
      <c r="J369" s="302">
        <f t="shared" si="162"/>
        <v>1.7858460430200751</v>
      </c>
      <c r="K369" s="303"/>
      <c r="L369" s="302">
        <v>0.42479805321944769</v>
      </c>
      <c r="M369" s="302">
        <v>1.1791526738909257</v>
      </c>
      <c r="N369" s="302">
        <v>3.4138847896016074E-2</v>
      </c>
      <c r="O369" s="302">
        <f t="shared" si="163"/>
        <v>1.6380895750063895</v>
      </c>
    </row>
    <row r="370" spans="1:15" s="236" customFormat="1" x14ac:dyDescent="0.25">
      <c r="A370" s="237" t="str">
        <f>name!E$8</f>
        <v>Skilled trades occupations</v>
      </c>
      <c r="B370" s="302">
        <v>0.24354220111473324</v>
      </c>
      <c r="C370" s="302">
        <v>0.18877916475903006</v>
      </c>
      <c r="D370" s="302">
        <v>0.22839576575379208</v>
      </c>
      <c r="E370" s="302">
        <f t="shared" si="161"/>
        <v>0.66071713162755541</v>
      </c>
      <c r="F370" s="303"/>
      <c r="G370" s="302">
        <v>0.21060639037096843</v>
      </c>
      <c r="H370" s="302">
        <v>0.12169852120945163</v>
      </c>
      <c r="I370" s="302">
        <v>0.20984121268722189</v>
      </c>
      <c r="J370" s="302">
        <f>SUM(G370:I370)</f>
        <v>0.54214612426764197</v>
      </c>
      <c r="K370" s="303"/>
      <c r="L370" s="302">
        <v>0.1381982819979749</v>
      </c>
      <c r="M370" s="302">
        <v>0.15936843527003378</v>
      </c>
      <c r="N370" s="302">
        <v>0.18190514003418171</v>
      </c>
      <c r="O370" s="302">
        <f t="shared" si="163"/>
        <v>0.47947185730219033</v>
      </c>
    </row>
    <row r="371" spans="1:15" s="236" customFormat="1" x14ac:dyDescent="0.25">
      <c r="A371" s="237" t="str">
        <f>name!E$9</f>
        <v>Caring, leisure and other service occupations</v>
      </c>
      <c r="B371" s="302">
        <v>0.52003235574021833</v>
      </c>
      <c r="C371" s="302">
        <v>0.7653548715113746</v>
      </c>
      <c r="D371" s="302">
        <v>8.4956994354355456E-2</v>
      </c>
      <c r="E371" s="302">
        <f t="shared" si="161"/>
        <v>1.3703442216059485</v>
      </c>
      <c r="F371" s="303"/>
      <c r="G371" s="302">
        <v>0.46394866662106504</v>
      </c>
      <c r="H371" s="302">
        <v>0.63301803470718698</v>
      </c>
      <c r="I371" s="302">
        <v>6.8244561471271475E-2</v>
      </c>
      <c r="J371" s="302">
        <f t="shared" ref="J371:J374" si="164">SUM(G371:I371)</f>
        <v>1.1652112627995235</v>
      </c>
      <c r="K371" s="303"/>
      <c r="L371" s="302">
        <v>0.45651742872372247</v>
      </c>
      <c r="M371" s="302">
        <v>0.64103976132922547</v>
      </c>
      <c r="N371" s="302">
        <v>6.5590593961686663E-2</v>
      </c>
      <c r="O371" s="302">
        <f t="shared" si="163"/>
        <v>1.1631477840146347</v>
      </c>
    </row>
    <row r="372" spans="1:15" s="236" customFormat="1" x14ac:dyDescent="0.25">
      <c r="A372" s="237" t="str">
        <f>name!E$10</f>
        <v>Sales and customer service occupations</v>
      </c>
      <c r="B372" s="302">
        <v>0.22915598837606263</v>
      </c>
      <c r="C372" s="302">
        <v>0.54317662515276233</v>
      </c>
      <c r="D372" s="302">
        <v>4.6776235662399336E-2</v>
      </c>
      <c r="E372" s="302">
        <f t="shared" si="161"/>
        <v>0.81910884919122429</v>
      </c>
      <c r="F372" s="303"/>
      <c r="G372" s="302">
        <v>0.23124017311606765</v>
      </c>
      <c r="H372" s="302">
        <v>0.46069502898287634</v>
      </c>
      <c r="I372" s="302">
        <v>3.4028454569099781E-2</v>
      </c>
      <c r="J372" s="302">
        <f t="shared" si="164"/>
        <v>0.72596365666804374</v>
      </c>
      <c r="K372" s="303"/>
      <c r="L372" s="302">
        <v>0.22362648107901159</v>
      </c>
      <c r="M372" s="302">
        <v>0.58357318041601403</v>
      </c>
      <c r="N372" s="302">
        <v>2.6702770005957568E-2</v>
      </c>
      <c r="O372" s="302">
        <f t="shared" si="163"/>
        <v>0.8339024315009832</v>
      </c>
    </row>
    <row r="373" spans="1:15" s="236" customFormat="1" x14ac:dyDescent="0.25">
      <c r="A373" s="237" t="str">
        <f>name!E$11</f>
        <v>Process, plant and machine operatives</v>
      </c>
      <c r="B373" s="302">
        <v>5.1634774131947281E-2</v>
      </c>
      <c r="C373" s="302">
        <v>5.0337909806455146E-2</v>
      </c>
      <c r="D373" s="302">
        <v>1.319477549645731E-2</v>
      </c>
      <c r="E373" s="302">
        <f t="shared" si="161"/>
        <v>0.11516745943485973</v>
      </c>
      <c r="F373" s="303"/>
      <c r="G373" s="302">
        <v>3.9573639523961153E-2</v>
      </c>
      <c r="H373" s="302">
        <v>3.624614855495116E-2</v>
      </c>
      <c r="I373" s="302">
        <v>1.3569987144810168E-2</v>
      </c>
      <c r="J373" s="302">
        <f t="shared" si="164"/>
        <v>8.938977522372249E-2</v>
      </c>
      <c r="K373" s="303"/>
      <c r="L373" s="302">
        <v>3.3779384045735238E-2</v>
      </c>
      <c r="M373" s="302">
        <v>4.4017209357089748E-2</v>
      </c>
      <c r="N373" s="302">
        <v>1.4451506496808313E-2</v>
      </c>
      <c r="O373" s="302">
        <f t="shared" si="163"/>
        <v>9.2248099899633312E-2</v>
      </c>
    </row>
    <row r="374" spans="1:15" s="236" customFormat="1" x14ac:dyDescent="0.25">
      <c r="A374" s="237" t="str">
        <f>name!E$12</f>
        <v>Elementary occupations</v>
      </c>
      <c r="B374" s="302">
        <v>0.23430310870815674</v>
      </c>
      <c r="C374" s="302">
        <v>0.9056574289501359</v>
      </c>
      <c r="D374" s="302">
        <v>5.0493401136265222E-2</v>
      </c>
      <c r="E374" s="302">
        <f t="shared" si="161"/>
        <v>1.1904539387945579</v>
      </c>
      <c r="F374" s="303"/>
      <c r="G374" s="302">
        <v>0.19661153575946022</v>
      </c>
      <c r="H374" s="302">
        <v>0.69301416995774423</v>
      </c>
      <c r="I374" s="302">
        <v>3.6545378636614931E-2</v>
      </c>
      <c r="J374" s="302">
        <f t="shared" si="164"/>
        <v>0.92617108435381934</v>
      </c>
      <c r="K374" s="303"/>
      <c r="L374" s="302">
        <v>0.18252284908596775</v>
      </c>
      <c r="M374" s="302">
        <v>0.59092506949674406</v>
      </c>
      <c r="N374" s="302">
        <v>2.5434879749188097E-2</v>
      </c>
      <c r="O374" s="302">
        <f t="shared" si="163"/>
        <v>0.7988827983318999</v>
      </c>
    </row>
    <row r="375" spans="1:15" s="236" customFormat="1" x14ac:dyDescent="0.25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5">
      <c r="A376" s="244" t="s">
        <v>33</v>
      </c>
      <c r="B376" s="311">
        <f>SUM(B366:B374)</f>
        <v>3.83406804743798</v>
      </c>
      <c r="C376" s="311">
        <f t="shared" ref="C376:E376" si="165">SUM(C366:C374)</f>
        <v>4.9712954753863468</v>
      </c>
      <c r="D376" s="311">
        <f t="shared" si="165"/>
        <v>3.0966364771756933</v>
      </c>
      <c r="E376" s="311">
        <f t="shared" si="165"/>
        <v>11.902000000000021</v>
      </c>
      <c r="F376" s="311"/>
      <c r="G376" s="311">
        <f t="shared" ref="G376:J376" si="166">SUM(G366:G374)</f>
        <v>4.2130730921060042</v>
      </c>
      <c r="H376" s="311">
        <f t="shared" si="166"/>
        <v>4.6577731466704755</v>
      </c>
      <c r="I376" s="311">
        <f t="shared" si="166"/>
        <v>3.0391537612235133</v>
      </c>
      <c r="J376" s="311">
        <f t="shared" si="166"/>
        <v>11.909999999999995</v>
      </c>
      <c r="K376" s="311"/>
      <c r="L376" s="311">
        <f t="shared" ref="L376:O376" si="167">SUM(L366:L374)</f>
        <v>4.1505934447338877</v>
      </c>
      <c r="M376" s="311">
        <f t="shared" si="167"/>
        <v>4.9737486938039526</v>
      </c>
      <c r="N376" s="311">
        <f t="shared" si="167"/>
        <v>2.8286578614621529</v>
      </c>
      <c r="O376" s="311">
        <f t="shared" si="167"/>
        <v>11.952999999999992</v>
      </c>
    </row>
    <row r="377" spans="1:15" s="236" customFormat="1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ht="13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ht="13" x14ac:dyDescent="0.3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ht="13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ht="13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5">
      <c r="A383" s="237" t="str">
        <f>name!E$4</f>
        <v>Managers, directors and senior officials</v>
      </c>
      <c r="B383" s="302">
        <v>0.68891958911273743</v>
      </c>
      <c r="C383" s="302">
        <v>0.11734158024975996</v>
      </c>
      <c r="D383" s="302">
        <v>0.4891355650585591</v>
      </c>
      <c r="E383" s="302">
        <f>SUM(B383:D383)</f>
        <v>1.2953967344210564</v>
      </c>
      <c r="F383" s="303"/>
      <c r="G383" s="302">
        <v>0.56528134923734341</v>
      </c>
      <c r="H383" s="302">
        <v>0.1559410690936868</v>
      </c>
      <c r="I383" s="302">
        <v>0.44518209056661029</v>
      </c>
      <c r="J383" s="302">
        <f>SUM(G383:I383)</f>
        <v>1.1664045088976405</v>
      </c>
      <c r="K383" s="303"/>
      <c r="L383" s="302">
        <v>0.60658023343726586</v>
      </c>
      <c r="M383" s="302">
        <v>0.19309372475186443</v>
      </c>
      <c r="N383" s="302">
        <v>0.43343595072613322</v>
      </c>
      <c r="O383" s="302">
        <f>SUM(L383:N383)</f>
        <v>1.2331099089152635</v>
      </c>
    </row>
    <row r="384" spans="1:15" s="236" customFormat="1" x14ac:dyDescent="0.25">
      <c r="A384" s="237" t="str">
        <f>name!E$5</f>
        <v>Professional occupations</v>
      </c>
      <c r="B384" s="302">
        <v>1.3878650633655598</v>
      </c>
      <c r="C384" s="302">
        <v>0.42619776641414914</v>
      </c>
      <c r="D384" s="302">
        <v>0.83865305042686034</v>
      </c>
      <c r="E384" s="302">
        <f t="shared" ref="E384:E391" si="168">SUM(B384:D384)</f>
        <v>2.6527158802065696</v>
      </c>
      <c r="F384" s="303"/>
      <c r="G384" s="302">
        <v>1.4926773029605085</v>
      </c>
      <c r="H384" s="302">
        <v>0.62685524165631568</v>
      </c>
      <c r="I384" s="302">
        <v>0.79349560236825734</v>
      </c>
      <c r="J384" s="302">
        <f t="shared" ref="J384:J386" si="169">SUM(G384:I384)</f>
        <v>2.9130281469850816</v>
      </c>
      <c r="K384" s="303"/>
      <c r="L384" s="302">
        <v>1.6570255510562613</v>
      </c>
      <c r="M384" s="302">
        <v>0.74544142170086747</v>
      </c>
      <c r="N384" s="302">
        <v>0.77154010104873805</v>
      </c>
      <c r="O384" s="302">
        <f t="shared" ref="O384:O391" si="170">SUM(L384:N384)</f>
        <v>3.1740070738058668</v>
      </c>
    </row>
    <row r="385" spans="1:15" s="236" customFormat="1" x14ac:dyDescent="0.25">
      <c r="A385" s="237" t="str">
        <f>name!E$6</f>
        <v>Associate professional occupations</v>
      </c>
      <c r="B385" s="302">
        <v>0.79579492430832832</v>
      </c>
      <c r="C385" s="302">
        <v>0.45384857489522051</v>
      </c>
      <c r="D385" s="302">
        <v>0.71195760261716967</v>
      </c>
      <c r="E385" s="302">
        <f t="shared" si="168"/>
        <v>1.9616011018207185</v>
      </c>
      <c r="F385" s="303"/>
      <c r="G385" s="302">
        <v>0.72296392177258906</v>
      </c>
      <c r="H385" s="302">
        <v>0.51990328488889326</v>
      </c>
      <c r="I385" s="302">
        <v>0.66496358836270231</v>
      </c>
      <c r="J385" s="302">
        <f t="shared" si="169"/>
        <v>1.9078307950241846</v>
      </c>
      <c r="K385" s="303"/>
      <c r="L385" s="302">
        <v>0.68888780389448945</v>
      </c>
      <c r="M385" s="302">
        <v>0.5327049862057992</v>
      </c>
      <c r="N385" s="302">
        <v>0.71219410506981795</v>
      </c>
      <c r="O385" s="302">
        <f t="shared" si="170"/>
        <v>1.9337868951701065</v>
      </c>
    </row>
    <row r="386" spans="1:15" s="236" customFormat="1" x14ac:dyDescent="0.25">
      <c r="A386" s="237" t="str">
        <f>name!E$7</f>
        <v>Administrative and secretarial occupations</v>
      </c>
      <c r="B386" s="302">
        <v>0.72811623911180823</v>
      </c>
      <c r="C386" s="302">
        <v>0.89852188565572377</v>
      </c>
      <c r="D386" s="302">
        <v>0.20410437272233226</v>
      </c>
      <c r="E386" s="302">
        <f t="shared" si="168"/>
        <v>1.8307424974898643</v>
      </c>
      <c r="F386" s="303"/>
      <c r="G386" s="302">
        <v>0.6096475957357077</v>
      </c>
      <c r="H386" s="302">
        <v>0.83415882443549205</v>
      </c>
      <c r="I386" s="302">
        <v>0.21525860093701965</v>
      </c>
      <c r="J386" s="302">
        <f t="shared" si="169"/>
        <v>1.6590650211082194</v>
      </c>
      <c r="K386" s="303"/>
      <c r="L386" s="302">
        <v>0.4443228381530806</v>
      </c>
      <c r="M386" s="302">
        <v>0.87320250139911526</v>
      </c>
      <c r="N386" s="302">
        <v>0.15599074395283699</v>
      </c>
      <c r="O386" s="302">
        <f t="shared" si="170"/>
        <v>1.4735160835050329</v>
      </c>
    </row>
    <row r="387" spans="1:15" s="236" customFormat="1" x14ac:dyDescent="0.25">
      <c r="A387" s="237" t="str">
        <f>name!E$8</f>
        <v>Skilled trades occupations</v>
      </c>
      <c r="B387" s="302">
        <v>0.22034978591665388</v>
      </c>
      <c r="C387" s="302">
        <v>0.11849623355872467</v>
      </c>
      <c r="D387" s="302">
        <v>0.21263862492258112</v>
      </c>
      <c r="E387" s="302">
        <f t="shared" si="168"/>
        <v>0.55148464439795974</v>
      </c>
      <c r="F387" s="303"/>
      <c r="G387" s="302">
        <v>0.11421985421895724</v>
      </c>
      <c r="H387" s="302">
        <v>7.9492366269185905E-2</v>
      </c>
      <c r="I387" s="302">
        <v>0.16193582094857903</v>
      </c>
      <c r="J387" s="302">
        <f>SUM(G387:I387)</f>
        <v>0.35564804143672213</v>
      </c>
      <c r="K387" s="303"/>
      <c r="L387" s="302">
        <v>9.2042888512175958E-2</v>
      </c>
      <c r="M387" s="302">
        <v>8.1921325540998152E-2</v>
      </c>
      <c r="N387" s="302">
        <v>0.22640685483215042</v>
      </c>
      <c r="O387" s="302">
        <f t="shared" si="170"/>
        <v>0.40037106888532453</v>
      </c>
    </row>
    <row r="388" spans="1:15" s="236" customFormat="1" x14ac:dyDescent="0.25">
      <c r="A388" s="237" t="str">
        <f>name!E$9</f>
        <v>Caring, leisure and other service occupations</v>
      </c>
      <c r="B388" s="302">
        <v>2.5914628480453805</v>
      </c>
      <c r="C388" s="302">
        <v>1.394848420063499</v>
      </c>
      <c r="D388" s="302">
        <v>1.5665856767659658</v>
      </c>
      <c r="E388" s="302">
        <f t="shared" si="168"/>
        <v>5.5528969448748455</v>
      </c>
      <c r="F388" s="303"/>
      <c r="G388" s="302">
        <v>1.5607425406563156</v>
      </c>
      <c r="H388" s="302">
        <v>0.68329961667216388</v>
      </c>
      <c r="I388" s="302">
        <v>1.0832612064234524</v>
      </c>
      <c r="J388" s="302">
        <f t="shared" ref="J388:J391" si="171">SUM(G388:I388)</f>
        <v>3.3273033637519318</v>
      </c>
      <c r="K388" s="303"/>
      <c r="L388" s="302">
        <v>1.4655125083660119</v>
      </c>
      <c r="M388" s="302">
        <v>0.38934974173375803</v>
      </c>
      <c r="N388" s="302">
        <v>1.08949691475993</v>
      </c>
      <c r="O388" s="302">
        <f t="shared" si="170"/>
        <v>2.9443591648597001</v>
      </c>
    </row>
    <row r="389" spans="1:15" s="236" customFormat="1" x14ac:dyDescent="0.25">
      <c r="A389" s="237" t="str">
        <f>name!E$10</f>
        <v>Sales and customer service occupations</v>
      </c>
      <c r="B389" s="302">
        <v>0.24481779572452403</v>
      </c>
      <c r="C389" s="302">
        <v>0.28404802458605832</v>
      </c>
      <c r="D389" s="302">
        <v>0.1631278550167139</v>
      </c>
      <c r="E389" s="302">
        <f t="shared" si="168"/>
        <v>0.69199367532729628</v>
      </c>
      <c r="F389" s="303"/>
      <c r="G389" s="302">
        <v>0.15728199827113271</v>
      </c>
      <c r="H389" s="302">
        <v>0.22320181445581663</v>
      </c>
      <c r="I389" s="302">
        <v>9.1933293901825988E-2</v>
      </c>
      <c r="J389" s="302">
        <f t="shared" si="171"/>
        <v>0.47241710662877529</v>
      </c>
      <c r="K389" s="303"/>
      <c r="L389" s="302">
        <v>0.15205294013706203</v>
      </c>
      <c r="M389" s="302">
        <v>0.26046545335861493</v>
      </c>
      <c r="N389" s="302">
        <v>6.42309309832369E-2</v>
      </c>
      <c r="O389" s="302">
        <f t="shared" si="170"/>
        <v>0.47674932447891388</v>
      </c>
    </row>
    <row r="390" spans="1:15" s="236" customFormat="1" x14ac:dyDescent="0.25">
      <c r="A390" s="237" t="str">
        <f>name!E$11</f>
        <v>Process, plant and machine operatives</v>
      </c>
      <c r="B390" s="302">
        <v>0.22305989851830149</v>
      </c>
      <c r="C390" s="302">
        <v>0.10029184799698322</v>
      </c>
      <c r="D390" s="302">
        <v>5.0299647999611598E-2</v>
      </c>
      <c r="E390" s="302">
        <f t="shared" si="168"/>
        <v>0.37365139451489632</v>
      </c>
      <c r="F390" s="303"/>
      <c r="G390" s="302">
        <v>0.10650844046425796</v>
      </c>
      <c r="H390" s="302">
        <v>6.6138796523841303E-2</v>
      </c>
      <c r="I390" s="302">
        <v>4.6903165579297947E-2</v>
      </c>
      <c r="J390" s="302">
        <f t="shared" si="171"/>
        <v>0.21955040256739719</v>
      </c>
      <c r="K390" s="303"/>
      <c r="L390" s="302">
        <v>9.2877546663030858E-2</v>
      </c>
      <c r="M390" s="302">
        <v>5.0200755759138065E-2</v>
      </c>
      <c r="N390" s="302">
        <v>3.096588639529348E-2</v>
      </c>
      <c r="O390" s="302">
        <f t="shared" si="170"/>
        <v>0.17404418881746242</v>
      </c>
    </row>
    <row r="391" spans="1:15" s="236" customFormat="1" x14ac:dyDescent="0.25">
      <c r="A391" s="237" t="str">
        <f>name!E$12</f>
        <v>Elementary occupations</v>
      </c>
      <c r="B391" s="302">
        <v>0.55115950481837339</v>
      </c>
      <c r="C391" s="302">
        <v>0.6401465817937193</v>
      </c>
      <c r="D391" s="302">
        <v>0.3222110403346945</v>
      </c>
      <c r="E391" s="302">
        <f t="shared" si="168"/>
        <v>1.5135171269467871</v>
      </c>
      <c r="F391" s="303"/>
      <c r="G391" s="302">
        <v>0.2967138627606728</v>
      </c>
      <c r="H391" s="302">
        <v>0.45566967858020663</v>
      </c>
      <c r="I391" s="302">
        <v>0.17336907225916401</v>
      </c>
      <c r="J391" s="302">
        <f t="shared" si="171"/>
        <v>0.92575261360004346</v>
      </c>
      <c r="K391" s="303"/>
      <c r="L391" s="302">
        <v>0.31236694175375868</v>
      </c>
      <c r="M391" s="302">
        <v>0.3362181326291373</v>
      </c>
      <c r="N391" s="302">
        <v>0.13647121717942695</v>
      </c>
      <c r="O391" s="302">
        <f t="shared" si="170"/>
        <v>0.78505629156232293</v>
      </c>
    </row>
    <row r="392" spans="1:15" s="236" customFormat="1" x14ac:dyDescent="0.25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5">
      <c r="A393" s="244" t="s">
        <v>33</v>
      </c>
      <c r="B393" s="311">
        <f>SUM(B383:B391)</f>
        <v>7.4315456489216665</v>
      </c>
      <c r="C393" s="311">
        <f t="shared" ref="C393:E393" si="172">SUM(C383:C391)</f>
        <v>4.4337409152138374</v>
      </c>
      <c r="D393" s="311">
        <f t="shared" si="172"/>
        <v>4.5587134358644885</v>
      </c>
      <c r="E393" s="311">
        <f t="shared" si="172"/>
        <v>16.423999999999992</v>
      </c>
      <c r="F393" s="311"/>
      <c r="G393" s="311">
        <f t="shared" ref="G393:J393" si="173">SUM(G383:G391)</f>
        <v>5.6260368660774844</v>
      </c>
      <c r="H393" s="311">
        <f t="shared" si="173"/>
        <v>3.6446606925756018</v>
      </c>
      <c r="I393" s="311">
        <f t="shared" si="173"/>
        <v>3.676302441346909</v>
      </c>
      <c r="J393" s="311">
        <f t="shared" si="173"/>
        <v>12.946999999999997</v>
      </c>
      <c r="K393" s="311"/>
      <c r="L393" s="311">
        <f t="shared" ref="L393:O393" si="174">SUM(L383:L391)</f>
        <v>5.5116692519731361</v>
      </c>
      <c r="M393" s="311">
        <f t="shared" si="174"/>
        <v>3.4625980430792929</v>
      </c>
      <c r="N393" s="311">
        <f t="shared" si="174"/>
        <v>3.6207327049475642</v>
      </c>
      <c r="O393" s="311">
        <f t="shared" si="174"/>
        <v>12.594999999999995</v>
      </c>
    </row>
    <row r="394" spans="1:15" s="236" customFormat="1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topLeftCell="A16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Black Country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Black Country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Black Country</v>
      </c>
    </row>
    <row r="2" spans="1:32" ht="13" x14ac:dyDescent="0.3">
      <c r="A2" s="1" t="s">
        <v>521</v>
      </c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42.392720616000339</v>
      </c>
      <c r="C8" s="11">
        <f t="array" ref="C8:C16">MMULT(aggregation!$B$13:$AA$21,'Occ T2'!C8:C33)</f>
        <v>46.345148009577279</v>
      </c>
      <c r="D8" s="11">
        <f t="array" ref="D8:D16">MMULT(aggregation!$B$13:$AA$21,'Occ T2'!D8:D33)</f>
        <v>47.662233271684329</v>
      </c>
      <c r="E8" s="11">
        <f t="array" ref="E8:E16">MMULT(aggregation!$B$13:$AA$21,'Occ T2'!E8:E33)</f>
        <v>48.624847367414716</v>
      </c>
      <c r="F8" s="11">
        <f t="array" ref="F8:F16">MMULT(aggregation!$B$13:$AA$21,'Occ T2'!F8:F33)</f>
        <v>54.339890299405795</v>
      </c>
      <c r="G8" s="11"/>
      <c r="H8" s="11">
        <f>F8-D8</f>
        <v>6.677657027721466</v>
      </c>
      <c r="I8" s="11">
        <f t="array" ref="I8:I16">MMULT(aggregation!$B$13:$AA$21,'Occ T2'!I8:I33)</f>
        <v>26.801745886592286</v>
      </c>
      <c r="J8" s="11">
        <f>SUM(H8:I8)</f>
        <v>33.479402914313752</v>
      </c>
      <c r="L8" s="10" t="str">
        <f>name!E4</f>
        <v>Managers, directors and senior officials</v>
      </c>
      <c r="M8" s="11">
        <f t="array" ref="M8:M16">MMULT(aggregation!$B$13:$AA$21,'Occ T2'!M8:M33)</f>
        <v>29.034224818589166</v>
      </c>
      <c r="N8" s="11">
        <f t="array" ref="N8:N16">MMULT(aggregation!$B$13:$AA$21,'Occ T2'!N8:N33)</f>
        <v>31.048103843759243</v>
      </c>
      <c r="O8" s="11">
        <f t="array" ref="O8:O16">MMULT(aggregation!$B$13:$AA$21,'Occ T2'!O8:O33)</f>
        <v>30.941781795641511</v>
      </c>
      <c r="P8" s="11">
        <f t="array" ref="P8:P16">MMULT(aggregation!$B$13:$AA$21,'Occ T2'!P8:P33)</f>
        <v>30.806939908244424</v>
      </c>
      <c r="Q8" s="11">
        <f t="array" ref="Q8:Q16">MMULT(aggregation!$B$13:$AA$21,'Occ T2'!Q8:Q33)</f>
        <v>33.262575975939527</v>
      </c>
      <c r="R8" s="11"/>
      <c r="S8" s="11">
        <f>Q8-O8</f>
        <v>2.3207941802980159</v>
      </c>
      <c r="T8" s="11">
        <f t="array" ref="T8:T16">MMULT(aggregation!$B$13:$AA$21,'Occ T2'!T8:T33)</f>
        <v>15.185566408562707</v>
      </c>
      <c r="U8" s="11">
        <f>SUM(S8:T8)</f>
        <v>17.506360588860723</v>
      </c>
      <c r="W8" s="10" t="str">
        <f>name!E4</f>
        <v>Managers, directors and senior officials</v>
      </c>
      <c r="X8" s="11">
        <f t="array" ref="X8:X16">MMULT(aggregation!$B$13:$AA$21,'Occ T2'!X8:X33)</f>
        <v>13.358495797411184</v>
      </c>
      <c r="Y8" s="11">
        <f t="array" ref="Y8:Y16">MMULT(aggregation!$B$13:$AA$21,'Occ T2'!Y8:Y33)</f>
        <v>15.297044165818036</v>
      </c>
      <c r="Z8" s="11">
        <f t="array" ref="Z8:Z16">MMULT(aggregation!$B$13:$AA$21,'Occ T2'!Z8:Z33)</f>
        <v>16.720451476042815</v>
      </c>
      <c r="AA8" s="11">
        <f t="array" ref="AA8:AA16">MMULT(aggregation!$B$13:$AA$21,'Occ T2'!AA8:AA33)</f>
        <v>17.817907459170236</v>
      </c>
      <c r="AB8" s="11">
        <f t="array" ref="AB8:AB16">MMULT(aggregation!$B$13:$AA$21,'Occ T2'!AB8:AB33)</f>
        <v>21.077314323466247</v>
      </c>
      <c r="AC8" s="11"/>
      <c r="AD8" s="11">
        <f>AB8-Z8</f>
        <v>4.3568628474234323</v>
      </c>
      <c r="AE8" s="11">
        <f t="array" ref="AE8:AE16">MMULT(aggregation!$B$13:$AA$21,'Occ T2'!AE8:AE33)</f>
        <v>11.616179478029576</v>
      </c>
      <c r="AF8" s="11">
        <f>SUM(AD8:AE8)</f>
        <v>15.973042325453008</v>
      </c>
    </row>
    <row r="9" spans="1:32" x14ac:dyDescent="0.25">
      <c r="A9" t="str">
        <f>name!E5</f>
        <v>Professional occupations</v>
      </c>
      <c r="B9" s="11">
        <v>87.713907644760397</v>
      </c>
      <c r="C9" s="11">
        <v>99.060176549524812</v>
      </c>
      <c r="D9" s="11">
        <v>103.38385272421922</v>
      </c>
      <c r="E9" s="11">
        <v>111.37636061126263</v>
      </c>
      <c r="F9" s="11">
        <v>123.68400316994341</v>
      </c>
      <c r="G9" s="11"/>
      <c r="H9" s="11">
        <f t="shared" ref="H9:H16" si="0">F9-D9</f>
        <v>20.300150445724185</v>
      </c>
      <c r="I9" s="11">
        <v>53.629052517641313</v>
      </c>
      <c r="J9" s="11">
        <f t="shared" ref="J9:J15" si="1">SUM(H9:I9)</f>
        <v>73.929202963365498</v>
      </c>
      <c r="L9" s="10" t="str">
        <f>name!E5</f>
        <v>Professional occupations</v>
      </c>
      <c r="M9" s="11">
        <v>45.534461167396969</v>
      </c>
      <c r="N9" s="11">
        <v>49.460621452471031</v>
      </c>
      <c r="O9" s="11">
        <v>51.920596732260663</v>
      </c>
      <c r="P9" s="11">
        <v>55.053562793647664</v>
      </c>
      <c r="Q9" s="11">
        <v>59.258380639950616</v>
      </c>
      <c r="R9" s="11"/>
      <c r="S9" s="11">
        <f t="shared" ref="S9:S16" si="2">Q9-O9</f>
        <v>7.3377839076899534</v>
      </c>
      <c r="T9" s="11">
        <v>21.218399697842834</v>
      </c>
      <c r="U9" s="11">
        <f t="shared" ref="U9:U12" si="3">SUM(S9:T9)</f>
        <v>28.556183605532787</v>
      </c>
      <c r="W9" s="10" t="str">
        <f>name!E5</f>
        <v>Professional occupations</v>
      </c>
      <c r="X9" s="11">
        <v>42.179446477363356</v>
      </c>
      <c r="Y9" s="11">
        <v>49.599555097053852</v>
      </c>
      <c r="Z9" s="11">
        <v>51.463255991958597</v>
      </c>
      <c r="AA9" s="11">
        <v>56.322797817614962</v>
      </c>
      <c r="AB9" s="11">
        <v>64.425622529992779</v>
      </c>
      <c r="AC9" s="11"/>
      <c r="AD9" s="11">
        <f t="shared" ref="AD9:AD16" si="4">AB9-Z9</f>
        <v>12.962366538034182</v>
      </c>
      <c r="AE9" s="11">
        <v>32.410652819798472</v>
      </c>
      <c r="AF9" s="11">
        <f t="shared" ref="AF9:AF12" si="5">SUM(AD9:AE9)</f>
        <v>45.373019357832653</v>
      </c>
    </row>
    <row r="10" spans="1:32" x14ac:dyDescent="0.25">
      <c r="A10" t="str">
        <f>name!E6</f>
        <v>Associate professional occupations</v>
      </c>
      <c r="B10" s="11">
        <v>56.127385363836453</v>
      </c>
      <c r="C10" s="11">
        <v>58.71638203189363</v>
      </c>
      <c r="D10" s="11">
        <v>60.870563130092535</v>
      </c>
      <c r="E10" s="11">
        <v>59.244897095735702</v>
      </c>
      <c r="F10" s="11">
        <v>63.713873046934694</v>
      </c>
      <c r="G10" s="11"/>
      <c r="H10" s="11">
        <f t="shared" si="0"/>
        <v>2.8433099168421592</v>
      </c>
      <c r="I10" s="11">
        <v>28.085772003775855</v>
      </c>
      <c r="J10" s="11">
        <f t="shared" si="1"/>
        <v>30.929081920618014</v>
      </c>
      <c r="L10" s="10" t="str">
        <f>name!E6</f>
        <v>Associate professional occupations</v>
      </c>
      <c r="M10" s="11">
        <v>31.445207367233628</v>
      </c>
      <c r="N10" s="11">
        <v>31.637672918534648</v>
      </c>
      <c r="O10" s="11">
        <v>32.846181743609748</v>
      </c>
      <c r="P10" s="11">
        <v>30.590420385887182</v>
      </c>
      <c r="Q10" s="11">
        <v>31.284600658128259</v>
      </c>
      <c r="R10" s="11"/>
      <c r="S10" s="11">
        <f t="shared" si="2"/>
        <v>-1.5615810854814889</v>
      </c>
      <c r="T10" s="11">
        <v>11.634381688522728</v>
      </c>
      <c r="U10" s="11">
        <f t="shared" si="3"/>
        <v>10.072800603041239</v>
      </c>
      <c r="W10" s="10" t="str">
        <f>name!E6</f>
        <v>Associate professional occupations</v>
      </c>
      <c r="X10" s="11">
        <v>24.682177996602796</v>
      </c>
      <c r="Y10" s="11">
        <v>27.078709113358975</v>
      </c>
      <c r="Z10" s="11">
        <v>28.024381386482737</v>
      </c>
      <c r="AA10" s="11">
        <v>28.654476709848524</v>
      </c>
      <c r="AB10" s="11">
        <v>32.429272388806446</v>
      </c>
      <c r="AC10" s="11"/>
      <c r="AD10" s="11">
        <f t="shared" si="4"/>
        <v>4.4048910023237084</v>
      </c>
      <c r="AE10" s="11">
        <v>16.451390315253128</v>
      </c>
      <c r="AF10" s="11">
        <f t="shared" si="5"/>
        <v>20.856281317576837</v>
      </c>
    </row>
    <row r="11" spans="1:32" x14ac:dyDescent="0.25">
      <c r="A11" t="str">
        <f>name!E7</f>
        <v>Administrative and secretarial occupations</v>
      </c>
      <c r="B11" s="11">
        <v>60.137952735863834</v>
      </c>
      <c r="C11" s="11">
        <v>54.660014915246528</v>
      </c>
      <c r="D11" s="11">
        <v>56.605928964515698</v>
      </c>
      <c r="E11" s="11">
        <v>53.603520890825322</v>
      </c>
      <c r="F11" s="11">
        <v>48.148843754609096</v>
      </c>
      <c r="G11" s="11"/>
      <c r="H11" s="11">
        <f t="shared" si="0"/>
        <v>-8.4570852099066016</v>
      </c>
      <c r="I11" s="11">
        <v>26.155382761210923</v>
      </c>
      <c r="J11" s="11">
        <f t="shared" si="1"/>
        <v>17.698297551304321</v>
      </c>
      <c r="L11" s="10" t="str">
        <f>name!E7</f>
        <v>Administrative and secretarial occupations</v>
      </c>
      <c r="M11" s="11">
        <v>16.597948530106507</v>
      </c>
      <c r="N11" s="11">
        <v>14.301103892386759</v>
      </c>
      <c r="O11" s="11">
        <v>16.999550832287429</v>
      </c>
      <c r="P11" s="11">
        <v>16.679162266156951</v>
      </c>
      <c r="Q11" s="11">
        <v>18.394463069195947</v>
      </c>
      <c r="R11" s="11"/>
      <c r="S11" s="11">
        <f t="shared" si="2"/>
        <v>1.3949122369085174</v>
      </c>
      <c r="T11" s="11">
        <v>6.5296348346745354</v>
      </c>
      <c r="U11" s="11">
        <f t="shared" si="3"/>
        <v>7.9245470715830528</v>
      </c>
      <c r="W11" s="10" t="str">
        <f>name!E7</f>
        <v>Administrative and secretarial occupations</v>
      </c>
      <c r="X11" s="11">
        <v>43.54000420575742</v>
      </c>
      <c r="Y11" s="11">
        <v>40.358911022859751</v>
      </c>
      <c r="Z11" s="11">
        <v>39.606378132228258</v>
      </c>
      <c r="AA11" s="11">
        <v>36.924358624668386</v>
      </c>
      <c r="AB11" s="11">
        <v>29.754380685413082</v>
      </c>
      <c r="AC11" s="11"/>
      <c r="AD11" s="11">
        <f t="shared" si="4"/>
        <v>-9.8519974468151759</v>
      </c>
      <c r="AE11" s="11">
        <v>19.625747926536384</v>
      </c>
      <c r="AF11" s="11">
        <f t="shared" si="5"/>
        <v>9.7737504797212083</v>
      </c>
    </row>
    <row r="12" spans="1:32" x14ac:dyDescent="0.25">
      <c r="A12" t="str">
        <f>name!E8</f>
        <v>Skilled trades occupations</v>
      </c>
      <c r="B12" s="11">
        <v>61.298727794930358</v>
      </c>
      <c r="C12" s="11">
        <v>61.935890697668654</v>
      </c>
      <c r="D12" s="11">
        <v>52.306630670550817</v>
      </c>
      <c r="E12" s="11">
        <v>51.461610878246773</v>
      </c>
      <c r="F12" s="11">
        <v>47.401734716717307</v>
      </c>
      <c r="G12" s="11"/>
      <c r="H12" s="11">
        <f t="shared" si="0"/>
        <v>-4.9048959538335097</v>
      </c>
      <c r="I12" s="11">
        <v>20.681544433003907</v>
      </c>
      <c r="J12" s="11">
        <f t="shared" si="1"/>
        <v>15.776648479170397</v>
      </c>
      <c r="L12" s="10" t="str">
        <f>name!E8</f>
        <v>Skilled trades occupations</v>
      </c>
      <c r="M12" s="11">
        <v>56.754509224207411</v>
      </c>
      <c r="N12" s="11">
        <v>57.607674779367699</v>
      </c>
      <c r="O12" s="11">
        <v>47.611889858610951</v>
      </c>
      <c r="P12" s="11">
        <v>46.246858360083245</v>
      </c>
      <c r="Q12" s="11">
        <v>41.906536475717878</v>
      </c>
      <c r="R12" s="11"/>
      <c r="S12" s="11">
        <f t="shared" si="2"/>
        <v>-5.7053533828930725</v>
      </c>
      <c r="T12" s="11">
        <v>17.589379069659902</v>
      </c>
      <c r="U12" s="11">
        <f t="shared" si="3"/>
        <v>11.884025686766829</v>
      </c>
      <c r="W12" s="10" t="str">
        <f>name!E8</f>
        <v>Skilled trades occupations</v>
      </c>
      <c r="X12" s="11">
        <v>4.5442185707229328</v>
      </c>
      <c r="Y12" s="11">
        <v>4.3282159183010007</v>
      </c>
      <c r="Z12" s="11">
        <v>4.6947408119398846</v>
      </c>
      <c r="AA12" s="11">
        <v>5.2147525181635448</v>
      </c>
      <c r="AB12" s="11">
        <v>5.4951982409994429</v>
      </c>
      <c r="AC12" s="11"/>
      <c r="AD12" s="11">
        <f t="shared" si="4"/>
        <v>0.8004574290595583</v>
      </c>
      <c r="AE12" s="11">
        <v>3.0921653633440069</v>
      </c>
      <c r="AF12" s="11">
        <f t="shared" si="5"/>
        <v>3.8926227924035652</v>
      </c>
    </row>
    <row r="13" spans="1:32" x14ac:dyDescent="0.25">
      <c r="A13" t="str">
        <f>name!E9</f>
        <v>Caring, leisure and other service occupations</v>
      </c>
      <c r="B13" s="11">
        <v>50.478192628686529</v>
      </c>
      <c r="C13" s="11">
        <v>51.457710511437924</v>
      </c>
      <c r="D13" s="11">
        <v>49.410643446209662</v>
      </c>
      <c r="E13" s="11">
        <v>53.053345602630927</v>
      </c>
      <c r="F13" s="11">
        <v>57.663130107930762</v>
      </c>
      <c r="G13" s="11"/>
      <c r="H13" s="11">
        <f t="shared" si="0"/>
        <v>8.2524866617211003</v>
      </c>
      <c r="I13" s="11">
        <v>30.248027009467108</v>
      </c>
      <c r="J13" s="11">
        <f>SUM(H13:I13)</f>
        <v>38.500513671188209</v>
      </c>
      <c r="L13" s="10" t="str">
        <f>name!E9</f>
        <v>Caring, leisure and other service occupations</v>
      </c>
      <c r="M13" s="11">
        <v>7.6489928676305317</v>
      </c>
      <c r="N13" s="11">
        <v>7.5516485551121022</v>
      </c>
      <c r="O13" s="11">
        <v>7.3637281899938403</v>
      </c>
      <c r="P13" s="11">
        <v>8.3015019606696665</v>
      </c>
      <c r="Q13" s="11">
        <v>9.2278933573620634</v>
      </c>
      <c r="R13" s="11"/>
      <c r="S13" s="11">
        <f t="shared" si="2"/>
        <v>1.8641651673682231</v>
      </c>
      <c r="T13" s="11">
        <v>3.7158359840609991</v>
      </c>
      <c r="U13" s="11">
        <f>SUM(S13:T13)</f>
        <v>5.5800011514292223</v>
      </c>
      <c r="W13" s="10" t="str">
        <f>name!E9</f>
        <v>Caring, leisure and other service occupations</v>
      </c>
      <c r="X13" s="11">
        <v>42.829199761056003</v>
      </c>
      <c r="Y13" s="11">
        <v>43.906061956325843</v>
      </c>
      <c r="Z13" s="11">
        <v>42.046915256215811</v>
      </c>
      <c r="AA13" s="11">
        <v>44.751843641961258</v>
      </c>
      <c r="AB13" s="11">
        <v>48.43523675056872</v>
      </c>
      <c r="AC13" s="11"/>
      <c r="AD13" s="11">
        <f t="shared" si="4"/>
        <v>6.3883214943529083</v>
      </c>
      <c r="AE13" s="11">
        <v>26.532191025406103</v>
      </c>
      <c r="AF13" s="11">
        <f>SUM(AD13:AE13)</f>
        <v>32.920512519759015</v>
      </c>
    </row>
    <row r="14" spans="1:32" x14ac:dyDescent="0.25">
      <c r="A14" t="str">
        <f>name!E10</f>
        <v>Sales and customer service occupations</v>
      </c>
      <c r="B14" s="11">
        <v>43.312490842090227</v>
      </c>
      <c r="C14" s="11">
        <v>39.58425723188698</v>
      </c>
      <c r="D14" s="11">
        <v>39.309638587229429</v>
      </c>
      <c r="E14" s="11">
        <v>39.513198289376646</v>
      </c>
      <c r="F14" s="11">
        <v>39.410882758368302</v>
      </c>
      <c r="G14" s="11"/>
      <c r="H14" s="11">
        <f t="shared" si="0"/>
        <v>0.10124417113887318</v>
      </c>
      <c r="I14" s="11">
        <v>17.957580114900235</v>
      </c>
      <c r="J14" s="11">
        <f t="shared" si="1"/>
        <v>18.058824286039108</v>
      </c>
      <c r="L14" s="10" t="str">
        <f>name!E10</f>
        <v>Sales and customer service occupations</v>
      </c>
      <c r="M14" s="11">
        <v>17.699134073339788</v>
      </c>
      <c r="N14" s="11">
        <v>16.267488273262146</v>
      </c>
      <c r="O14" s="11">
        <v>16.671250869621229</v>
      </c>
      <c r="P14" s="11">
        <v>17.29530475563503</v>
      </c>
      <c r="Q14" s="11">
        <v>17.590047316482185</v>
      </c>
      <c r="R14" s="11"/>
      <c r="S14" s="11">
        <f t="shared" si="2"/>
        <v>0.91879644686095574</v>
      </c>
      <c r="T14" s="11">
        <v>5.7501629847535742</v>
      </c>
      <c r="U14" s="11">
        <f t="shared" ref="U14:U15" si="6">SUM(S14:T14)</f>
        <v>6.66895943161453</v>
      </c>
      <c r="W14" s="10" t="str">
        <f>name!E10</f>
        <v>Sales and customer service occupations</v>
      </c>
      <c r="X14" s="11">
        <v>25.61335676875046</v>
      </c>
      <c r="Y14" s="11">
        <v>23.31676895862482</v>
      </c>
      <c r="Z14" s="11">
        <v>22.638387717608175</v>
      </c>
      <c r="AA14" s="11">
        <v>22.217893533741609</v>
      </c>
      <c r="AB14" s="11">
        <v>21.820835441886121</v>
      </c>
      <c r="AC14" s="11"/>
      <c r="AD14" s="11">
        <f t="shared" si="4"/>
        <v>-0.81755227572205413</v>
      </c>
      <c r="AE14" s="11">
        <v>12.207417130146661</v>
      </c>
      <c r="AF14" s="11">
        <f t="shared" ref="AF14:AF15" si="7">SUM(AD14:AE14)</f>
        <v>11.389864854424607</v>
      </c>
    </row>
    <row r="15" spans="1:32" x14ac:dyDescent="0.25">
      <c r="A15" t="str">
        <f>name!E11</f>
        <v>Process, plant and machine operatives</v>
      </c>
      <c r="B15" s="11">
        <v>47.140684059777136</v>
      </c>
      <c r="C15" s="11">
        <v>46.572468845695923</v>
      </c>
      <c r="D15" s="11">
        <v>40.267755299281561</v>
      </c>
      <c r="E15" s="11">
        <v>45.789999084206102</v>
      </c>
      <c r="F15" s="11">
        <v>45.466920875438291</v>
      </c>
      <c r="G15" s="11"/>
      <c r="H15" s="11">
        <f t="shared" si="0"/>
        <v>5.1991655761567301</v>
      </c>
      <c r="I15" s="11">
        <v>21.228253252211957</v>
      </c>
      <c r="J15" s="11">
        <f t="shared" si="1"/>
        <v>26.427418828368687</v>
      </c>
      <c r="L15" s="10" t="str">
        <f>name!E11</f>
        <v>Process, plant and machine operatives</v>
      </c>
      <c r="M15" s="11">
        <v>41.541071156937733</v>
      </c>
      <c r="N15" s="11">
        <v>40.697861653187907</v>
      </c>
      <c r="O15" s="11">
        <v>35.211176723761042</v>
      </c>
      <c r="P15" s="11">
        <v>39.144397058049222</v>
      </c>
      <c r="Q15" s="11">
        <v>38.440376441614433</v>
      </c>
      <c r="R15" s="11"/>
      <c r="S15" s="11">
        <f t="shared" si="2"/>
        <v>3.2291997178533904</v>
      </c>
      <c r="T15" s="11">
        <v>17.636935612125335</v>
      </c>
      <c r="U15" s="11">
        <f t="shared" si="6"/>
        <v>20.866135329978725</v>
      </c>
      <c r="W15" s="10" t="str">
        <f>name!E11</f>
        <v>Process, plant and machine operatives</v>
      </c>
      <c r="X15" s="11">
        <v>5.5996129028394179</v>
      </c>
      <c r="Y15" s="11">
        <v>5.8746071925080585</v>
      </c>
      <c r="Z15" s="11">
        <v>5.0565785755204891</v>
      </c>
      <c r="AA15" s="11">
        <v>6.6456020261568582</v>
      </c>
      <c r="AB15" s="11">
        <v>7.0265444338238474</v>
      </c>
      <c r="AC15" s="11"/>
      <c r="AD15" s="11">
        <f t="shared" si="4"/>
        <v>1.9699658583033584</v>
      </c>
      <c r="AE15" s="11">
        <v>3.5913176400866202</v>
      </c>
      <c r="AF15" s="11">
        <f t="shared" si="7"/>
        <v>5.5612834983899786</v>
      </c>
    </row>
    <row r="16" spans="1:32" x14ac:dyDescent="0.25">
      <c r="A16" t="str">
        <f>name!E12</f>
        <v>Elementary occupations</v>
      </c>
      <c r="B16" s="11">
        <v>56.959938314054902</v>
      </c>
      <c r="C16" s="11">
        <v>51.59895120706809</v>
      </c>
      <c r="D16" s="11">
        <v>46.376753906216948</v>
      </c>
      <c r="E16" s="11">
        <v>45.460220180301008</v>
      </c>
      <c r="F16" s="11">
        <v>42.114721270652204</v>
      </c>
      <c r="G16" s="11"/>
      <c r="H16" s="11">
        <f t="shared" si="0"/>
        <v>-4.2620326355647435</v>
      </c>
      <c r="I16" s="11">
        <v>21.212774715744736</v>
      </c>
      <c r="J16" s="11">
        <f>SUM(H16:I16)</f>
        <v>16.950742080179992</v>
      </c>
      <c r="L16" s="10" t="str">
        <f>name!E12</f>
        <v>Elementary occupations</v>
      </c>
      <c r="M16" s="11">
        <v>32.217453269733966</v>
      </c>
      <c r="N16" s="11">
        <v>27.329557027929614</v>
      </c>
      <c r="O16" s="11">
        <v>25.533247658324402</v>
      </c>
      <c r="P16" s="11">
        <v>25.756818980768912</v>
      </c>
      <c r="Q16" s="11">
        <v>24.079594072808252</v>
      </c>
      <c r="R16" s="11"/>
      <c r="S16" s="11">
        <f t="shared" si="2"/>
        <v>-1.4536535855161503</v>
      </c>
      <c r="T16" s="11">
        <v>9.8130757246356648</v>
      </c>
      <c r="U16" s="11">
        <f>SUM(S16:T16)</f>
        <v>8.3594221391195145</v>
      </c>
      <c r="W16" s="10" t="str">
        <f>name!E12</f>
        <v>Elementary occupations</v>
      </c>
      <c r="X16" s="11">
        <v>24.742485044320908</v>
      </c>
      <c r="Y16" s="11">
        <v>24.269394179138473</v>
      </c>
      <c r="Z16" s="11">
        <v>20.843506247892513</v>
      </c>
      <c r="AA16" s="11">
        <v>19.703401199532095</v>
      </c>
      <c r="AB16" s="11">
        <v>18.035127197843984</v>
      </c>
      <c r="AC16" s="11"/>
      <c r="AD16" s="11">
        <f t="shared" si="4"/>
        <v>-2.8083790500485293</v>
      </c>
      <c r="AE16" s="11">
        <v>11.399698991109068</v>
      </c>
      <c r="AF16" s="11">
        <f>SUM(AD16:AE16)</f>
        <v>8.5913199410605383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4" t="str">
        <f>name!E3</f>
        <v>All occupations</v>
      </c>
      <c r="B18" s="34">
        <f>SUM(B8:B16)</f>
        <v>505.56200000000024</v>
      </c>
      <c r="C18" s="34">
        <f>SUM(C8:C16)</f>
        <v>509.93099999999981</v>
      </c>
      <c r="D18" s="34">
        <f>SUM(D8:D16)</f>
        <v>496.19400000000024</v>
      </c>
      <c r="E18" s="34">
        <f>SUM(E8:E16)</f>
        <v>508.12799999999987</v>
      </c>
      <c r="F18" s="34">
        <f>SUM(F8:F16)</f>
        <v>521.94399999999996</v>
      </c>
      <c r="G18" s="11"/>
      <c r="H18" s="34">
        <f>SUM(H8:H16)</f>
        <v>25.749999999999659</v>
      </c>
      <c r="I18" s="34">
        <f>SUM(I8:I16)</f>
        <v>246.00013269454831</v>
      </c>
      <c r="J18" s="34">
        <f>SUM(H18:I18)</f>
        <v>271.75013269454797</v>
      </c>
      <c r="L18" s="231" t="str">
        <f>name!E3</f>
        <v>All occupations</v>
      </c>
      <c r="M18" s="34">
        <f>SUM(M8:M16)</f>
        <v>278.47300247517569</v>
      </c>
      <c r="N18" s="34">
        <f>SUM(N8:N16)</f>
        <v>275.90173239601114</v>
      </c>
      <c r="O18" s="34">
        <f>SUM(O8:O16)</f>
        <v>265.09940440411083</v>
      </c>
      <c r="P18" s="34">
        <f>SUM(P8:P16)</f>
        <v>269.87496646914229</v>
      </c>
      <c r="Q18" s="34">
        <f>SUM(Q8:Q16)</f>
        <v>273.44446800719913</v>
      </c>
      <c r="R18" s="11"/>
      <c r="S18" s="34">
        <f>SUM(S8:S16)</f>
        <v>8.3450636030883452</v>
      </c>
      <c r="T18" s="34">
        <f>SUM(T8:T16)</f>
        <v>109.07337200483829</v>
      </c>
      <c r="U18" s="34">
        <f>SUM(S18:T18)</f>
        <v>117.41843560792664</v>
      </c>
      <c r="W18" s="231" t="str">
        <f>name!E3</f>
        <v>All occupations</v>
      </c>
      <c r="X18" s="34">
        <f>SUM(X8:X16)</f>
        <v>227.08899752482449</v>
      </c>
      <c r="Y18" s="34">
        <f>SUM(Y8:Y16)</f>
        <v>234.02926760398884</v>
      </c>
      <c r="Z18" s="34">
        <f>SUM(Z8:Z16)</f>
        <v>231.09459559588927</v>
      </c>
      <c r="AA18" s="34">
        <f>SUM(AA8:AA16)</f>
        <v>238.25303353085746</v>
      </c>
      <c r="AB18" s="34">
        <f>SUM(AB8:AB16)</f>
        <v>248.49953199280068</v>
      </c>
      <c r="AC18" s="11"/>
      <c r="AD18" s="34">
        <f>SUM(AD8:AD16)</f>
        <v>17.404936396911388</v>
      </c>
      <c r="AE18" s="34">
        <f>SUM(AE8:AE16)</f>
        <v>136.92676068971002</v>
      </c>
      <c r="AF18" s="34">
        <f>SUM(AD18:AE18)</f>
        <v>154.3316970866214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ht="13" x14ac:dyDescent="0.3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18">
        <f t="shared" ref="B26:F34" si="8">B8/B$18*100</f>
        <v>8.3852664195490014</v>
      </c>
      <c r="C26" s="18">
        <f t="shared" si="8"/>
        <v>9.0885135458674391</v>
      </c>
      <c r="D26" s="18">
        <f t="shared" si="8"/>
        <v>9.605564209096503</v>
      </c>
      <c r="E26" s="18">
        <f t="shared" si="8"/>
        <v>9.5694091582071295</v>
      </c>
      <c r="F26" s="18">
        <f t="shared" si="8"/>
        <v>10.411057565448745</v>
      </c>
      <c r="G26" s="11"/>
      <c r="H26" s="40">
        <f>IF(D8&gt;0,(H8/D8)*100,0)</f>
        <v>14.01037376838277</v>
      </c>
      <c r="I26" s="40">
        <f>IF(D8&gt;0,(I8/D8)*100,0)</f>
        <v>56.232669027103569</v>
      </c>
      <c r="J26" s="40">
        <f>IF(D8&gt;0,(J8/D8)*100,0)</f>
        <v>70.243042795486346</v>
      </c>
      <c r="L26" t="str">
        <f>$A$8</f>
        <v>Managers, directors and senior officials</v>
      </c>
      <c r="M26" s="18">
        <f t="shared" ref="M26:Q26" si="9">M8/M$18*100</f>
        <v>10.426226083146931</v>
      </c>
      <c r="N26" s="18">
        <f t="shared" si="9"/>
        <v>11.253319641790013</v>
      </c>
      <c r="O26" s="18">
        <f t="shared" si="9"/>
        <v>11.671765866540628</v>
      </c>
      <c r="P26" s="18">
        <f t="shared" si="9"/>
        <v>11.415264005884337</v>
      </c>
      <c r="Q26" s="18">
        <f t="shared" si="9"/>
        <v>12.164289231502684</v>
      </c>
      <c r="R26" s="11"/>
      <c r="S26" s="40">
        <f>IF(O8&gt;0,(S8/O8)*100,0)</f>
        <v>7.5005188635417417</v>
      </c>
      <c r="T26" s="40">
        <f>IF(O8&gt;0,(T8/O8)*100,0)</f>
        <v>49.077866649236604</v>
      </c>
      <c r="U26" s="40">
        <f>IF(O8&gt;0,(U8/O8)*100,0)</f>
        <v>56.57838551277834</v>
      </c>
      <c r="W26" t="str">
        <f>$A$8</f>
        <v>Managers, directors and senior officials</v>
      </c>
      <c r="X26" s="18">
        <f t="shared" ref="X26:AB26" si="10">X8/X$18*100</f>
        <v>5.8824936227704665</v>
      </c>
      <c r="Y26" s="18">
        <f t="shared" si="10"/>
        <v>6.5363808221212887</v>
      </c>
      <c r="Z26" s="18">
        <f t="shared" si="10"/>
        <v>7.2353277812180217</v>
      </c>
      <c r="AA26" s="18">
        <f t="shared" si="10"/>
        <v>7.478564782623236</v>
      </c>
      <c r="AB26" s="18">
        <f t="shared" si="10"/>
        <v>8.4818326032408304</v>
      </c>
      <c r="AC26" s="11"/>
      <c r="AD26" s="40">
        <f>IF(Z8&gt;0,(AD8/Z8)*100,0)</f>
        <v>26.057088552100264</v>
      </c>
      <c r="AE26" s="40">
        <f>IF(Z8&gt;0,(AE8/Z8)*100,0)</f>
        <v>69.472881726150291</v>
      </c>
      <c r="AF26" s="40">
        <f>IF(Z8&gt;0,(AF8/Z8)*100,0)</f>
        <v>95.529970278250559</v>
      </c>
    </row>
    <row r="27" spans="1:32" x14ac:dyDescent="0.25">
      <c r="A27" t="str">
        <f>$A$9</f>
        <v>Professional occupations</v>
      </c>
      <c r="B27" s="18">
        <f t="shared" si="8"/>
        <v>17.349782547889351</v>
      </c>
      <c r="C27" s="18">
        <f t="shared" si="8"/>
        <v>19.42619227886221</v>
      </c>
      <c r="D27" s="18">
        <f t="shared" si="8"/>
        <v>20.835369376538043</v>
      </c>
      <c r="E27" s="18">
        <f t="shared" si="8"/>
        <v>21.918957548346608</v>
      </c>
      <c r="F27" s="18">
        <f t="shared" si="8"/>
        <v>23.696795665807716</v>
      </c>
      <c r="G27" s="11"/>
      <c r="H27" s="40">
        <f t="shared" ref="H27:H36" si="11">IF(D9&gt;0,(H9/D9)*100,0)</f>
        <v>19.635707038192599</v>
      </c>
      <c r="I27" s="40">
        <f t="shared" ref="I27:I36" si="12">IF(D9&gt;0,(I9/D9)*100,0)</f>
        <v>51.873722157268666</v>
      </c>
      <c r="J27" s="40">
        <f t="shared" ref="J27:J36" si="13">IF(D9&gt;0,(J9/D9)*100,0)</f>
        <v>71.509429195461266</v>
      </c>
      <c r="L27" t="str">
        <f>$A$9</f>
        <v>Professional occupations</v>
      </c>
      <c r="M27" s="18">
        <f t="shared" ref="M27:Q27" si="14">M9/M$18*100</f>
        <v>16.351481386945622</v>
      </c>
      <c r="N27" s="18">
        <f t="shared" si="14"/>
        <v>17.926897748318058</v>
      </c>
      <c r="O27" s="18">
        <f t="shared" si="14"/>
        <v>19.585331339754433</v>
      </c>
      <c r="P27" s="18">
        <f t="shared" si="14"/>
        <v>20.399655260334246</v>
      </c>
      <c r="Q27" s="18">
        <f t="shared" si="14"/>
        <v>21.671084104137183</v>
      </c>
      <c r="R27" s="11"/>
      <c r="S27" s="40">
        <f t="shared" ref="S27:S34" si="15">IF(O9&gt;0,(S9/O9)*100,0)</f>
        <v>14.13270333838565</v>
      </c>
      <c r="T27" s="40">
        <f t="shared" ref="T27:T34" si="16">IF(O9&gt;0,(T9/O9)*100,0)</f>
        <v>40.867018164794828</v>
      </c>
      <c r="U27" s="40">
        <f t="shared" ref="U27:U34" si="17">IF(O9&gt;0,(U9/O9)*100,0)</f>
        <v>54.999721503180474</v>
      </c>
      <c r="W27" t="str">
        <f>$A$9</f>
        <v>Professional occupations</v>
      </c>
      <c r="X27" s="18">
        <f t="shared" ref="X27:AB27" si="18">X9/X$18*100</f>
        <v>18.573971851169262</v>
      </c>
      <c r="Y27" s="18">
        <f t="shared" si="18"/>
        <v>21.193740255164766</v>
      </c>
      <c r="Z27" s="18">
        <f t="shared" si="18"/>
        <v>22.269346394387956</v>
      </c>
      <c r="AA27" s="18">
        <f t="shared" si="18"/>
        <v>23.63990795119101</v>
      </c>
      <c r="AB27" s="18">
        <f t="shared" si="18"/>
        <v>25.925852661911357</v>
      </c>
      <c r="AC27" s="11"/>
      <c r="AD27" s="40">
        <f t="shared" ref="AD27:AD34" si="19">IF(Z9&gt;0,(AD9/Z9)*100,0)</f>
        <v>25.187614518715296</v>
      </c>
      <c r="AE27" s="40">
        <f t="shared" ref="AE27:AE34" si="20">IF(Z9&gt;0,(AE9/Z9)*100,0)</f>
        <v>62.978239901616028</v>
      </c>
      <c r="AF27" s="40">
        <f t="shared" ref="AF27:AF34" si="21">IF(Z9&gt;0,(AF9/Z9)*100,0)</f>
        <v>88.165854420331328</v>
      </c>
    </row>
    <row r="28" spans="1:32" x14ac:dyDescent="0.25">
      <c r="A28" t="str">
        <f>$A$10</f>
        <v>Associate professional occupations</v>
      </c>
      <c r="B28" s="18">
        <f t="shared" si="8"/>
        <v>11.101978662129754</v>
      </c>
      <c r="C28" s="18">
        <f t="shared" si="8"/>
        <v>11.514573938806162</v>
      </c>
      <c r="D28" s="18">
        <f t="shared" si="8"/>
        <v>12.26749278106799</v>
      </c>
      <c r="E28" s="18">
        <f t="shared" si="8"/>
        <v>11.659443505521388</v>
      </c>
      <c r="F28" s="18">
        <f t="shared" si="8"/>
        <v>12.207032372617503</v>
      </c>
      <c r="G28" s="11"/>
      <c r="H28" s="40">
        <f t="shared" si="11"/>
        <v>4.6710754273218056</v>
      </c>
      <c r="I28" s="40">
        <f t="shared" si="12"/>
        <v>46.14015471444047</v>
      </c>
      <c r="J28" s="40">
        <f t="shared" si="13"/>
        <v>50.811230141762273</v>
      </c>
      <c r="L28" t="str">
        <f>$A$10</f>
        <v>Associate professional occupations</v>
      </c>
      <c r="M28" s="18">
        <f t="shared" ref="M28:Q28" si="22">M10/M$18*100</f>
        <v>11.292012901694767</v>
      </c>
      <c r="N28" s="18">
        <f t="shared" si="22"/>
        <v>11.467007707339807</v>
      </c>
      <c r="O28" s="18">
        <f t="shared" si="22"/>
        <v>12.390137887122469</v>
      </c>
      <c r="P28" s="18">
        <f t="shared" si="22"/>
        <v>11.335034436913922</v>
      </c>
      <c r="Q28" s="18">
        <f t="shared" si="22"/>
        <v>11.440933834252814</v>
      </c>
      <c r="R28" s="11"/>
      <c r="S28" s="40">
        <f t="shared" si="15"/>
        <v>-4.7542240911618165</v>
      </c>
      <c r="T28" s="40">
        <f t="shared" si="16"/>
        <v>35.420804096312366</v>
      </c>
      <c r="U28" s="40">
        <f t="shared" si="17"/>
        <v>30.666580005150557</v>
      </c>
      <c r="W28" t="str">
        <f>$A$10</f>
        <v>Associate professional occupations</v>
      </c>
      <c r="X28" s="18">
        <f t="shared" ref="X28:AB28" si="23">X10/X$18*100</f>
        <v>10.868944891927066</v>
      </c>
      <c r="Y28" s="18">
        <f t="shared" si="23"/>
        <v>11.570650709884731</v>
      </c>
      <c r="Z28" s="18">
        <f t="shared" si="23"/>
        <v>12.126800851495654</v>
      </c>
      <c r="AA28" s="18">
        <f t="shared" si="23"/>
        <v>12.02690949416068</v>
      </c>
      <c r="AB28" s="18">
        <f t="shared" si="23"/>
        <v>13.050033587083762</v>
      </c>
      <c r="AC28" s="11"/>
      <c r="AD28" s="40">
        <f t="shared" si="19"/>
        <v>15.718066856056851</v>
      </c>
      <c r="AE28" s="40">
        <f t="shared" si="20"/>
        <v>58.703848225489395</v>
      </c>
      <c r="AF28" s="40">
        <f t="shared" si="21"/>
        <v>74.421915081546246</v>
      </c>
    </row>
    <row r="29" spans="1:32" x14ac:dyDescent="0.25">
      <c r="A29" t="str">
        <f>$A$11</f>
        <v>Administrative and secretarial occupations</v>
      </c>
      <c r="B29" s="18">
        <f t="shared" si="8"/>
        <v>11.895267590496083</v>
      </c>
      <c r="C29" s="18">
        <f t="shared" si="8"/>
        <v>10.719100214587179</v>
      </c>
      <c r="D29" s="18">
        <f t="shared" si="8"/>
        <v>11.408023669072112</v>
      </c>
      <c r="E29" s="18">
        <f t="shared" si="8"/>
        <v>10.549216120903656</v>
      </c>
      <c r="F29" s="18">
        <f t="shared" si="8"/>
        <v>9.2249060731820087</v>
      </c>
      <c r="G29" s="11"/>
      <c r="H29" s="40">
        <f t="shared" si="11"/>
        <v>-14.940281635883155</v>
      </c>
      <c r="I29" s="40">
        <f t="shared" si="12"/>
        <v>46.206083425654633</v>
      </c>
      <c r="J29" s="40">
        <f t="shared" si="13"/>
        <v>31.26580178977148</v>
      </c>
      <c r="L29" t="str">
        <f>$A$11</f>
        <v>Administrative and secretarial occupations</v>
      </c>
      <c r="M29" s="18">
        <f t="shared" ref="M29:Q29" si="24">M11/M$18*100</f>
        <v>5.9603438690923447</v>
      </c>
      <c r="N29" s="18">
        <f t="shared" si="24"/>
        <v>5.1834048913690394</v>
      </c>
      <c r="O29" s="18">
        <f t="shared" si="24"/>
        <v>6.4125194360579343</v>
      </c>
      <c r="P29" s="18">
        <f t="shared" si="24"/>
        <v>6.1803295371836793</v>
      </c>
      <c r="Q29" s="18">
        <f t="shared" si="24"/>
        <v>6.7269464996862416</v>
      </c>
      <c r="R29" s="11"/>
      <c r="S29" s="40">
        <f t="shared" si="15"/>
        <v>8.2055829043385398</v>
      </c>
      <c r="T29" s="40">
        <f t="shared" si="16"/>
        <v>38.410631546056671</v>
      </c>
      <c r="U29" s="40">
        <f t="shared" si="17"/>
        <v>46.616214450395219</v>
      </c>
      <c r="W29" t="str">
        <f>$A$11</f>
        <v>Administrative and secretarial occupations</v>
      </c>
      <c r="X29" s="18">
        <f t="shared" ref="X29:AB29" si="25">X11/X$18*100</f>
        <v>19.173101594672282</v>
      </c>
      <c r="Y29" s="18">
        <f t="shared" si="25"/>
        <v>17.245240920530001</v>
      </c>
      <c r="Z29" s="18">
        <f t="shared" si="25"/>
        <v>17.138599901092959</v>
      </c>
      <c r="AA29" s="18">
        <f t="shared" si="25"/>
        <v>15.497959491829979</v>
      </c>
      <c r="AB29" s="18">
        <f t="shared" si="25"/>
        <v>11.973616387444586</v>
      </c>
      <c r="AC29" s="11"/>
      <c r="AD29" s="40">
        <f t="shared" si="19"/>
        <v>-24.87477500195472</v>
      </c>
      <c r="AE29" s="40">
        <f t="shared" si="20"/>
        <v>49.551988472701673</v>
      </c>
      <c r="AF29" s="40">
        <f t="shared" si="21"/>
        <v>24.677213470746956</v>
      </c>
    </row>
    <row r="30" spans="1:32" x14ac:dyDescent="0.25">
      <c r="A30" t="str">
        <f>$A$12</f>
        <v>Skilled trades occupations</v>
      </c>
      <c r="B30" s="18">
        <f t="shared" si="8"/>
        <v>12.124868521552317</v>
      </c>
      <c r="C30" s="18">
        <f t="shared" si="8"/>
        <v>12.1459355672961</v>
      </c>
      <c r="D30" s="18">
        <f t="shared" si="8"/>
        <v>10.541568553942771</v>
      </c>
      <c r="E30" s="18">
        <f t="shared" si="8"/>
        <v>10.127686503842888</v>
      </c>
      <c r="F30" s="18">
        <f t="shared" si="8"/>
        <v>9.0817663804387667</v>
      </c>
      <c r="G30" s="11"/>
      <c r="H30" s="40">
        <f t="shared" si="11"/>
        <v>-9.3771972901994189</v>
      </c>
      <c r="I30" s="40">
        <f t="shared" si="12"/>
        <v>39.539049194862088</v>
      </c>
      <c r="J30" s="40">
        <f t="shared" si="13"/>
        <v>30.161851904662669</v>
      </c>
      <c r="L30" t="str">
        <f>$A$12</f>
        <v>Skilled trades occupations</v>
      </c>
      <c r="M30" s="18">
        <f t="shared" ref="M30:Q30" si="26">M12/M$18*100</f>
        <v>20.38061453704718</v>
      </c>
      <c r="N30" s="18">
        <f t="shared" si="26"/>
        <v>20.879780014096266</v>
      </c>
      <c r="O30" s="18">
        <f t="shared" si="26"/>
        <v>17.960013892008821</v>
      </c>
      <c r="P30" s="18">
        <f t="shared" si="26"/>
        <v>17.136401706740422</v>
      </c>
      <c r="Q30" s="18">
        <f t="shared" si="26"/>
        <v>15.325428516116327</v>
      </c>
      <c r="R30" s="11"/>
      <c r="S30" s="40">
        <f t="shared" si="15"/>
        <v>-11.983043310895205</v>
      </c>
      <c r="T30" s="40">
        <f t="shared" si="16"/>
        <v>36.943249095748165</v>
      </c>
      <c r="U30" s="40">
        <f t="shared" si="17"/>
        <v>24.960205784852956</v>
      </c>
      <c r="W30" t="str">
        <f>$A$12</f>
        <v>Skilled trades occupations</v>
      </c>
      <c r="X30" s="18">
        <f t="shared" ref="X30:AB30" si="27">X12/X$18*100</f>
        <v>2.0010738610205792</v>
      </c>
      <c r="Y30" s="18">
        <f t="shared" si="27"/>
        <v>1.8494336040161283</v>
      </c>
      <c r="Z30" s="18">
        <f t="shared" si="27"/>
        <v>2.0315234113693807</v>
      </c>
      <c r="AA30" s="18">
        <f t="shared" si="27"/>
        <v>2.1887454866290939</v>
      </c>
      <c r="AB30" s="18">
        <f t="shared" si="27"/>
        <v>2.2113515453858663</v>
      </c>
      <c r="AC30" s="11"/>
      <c r="AD30" s="40">
        <f t="shared" si="19"/>
        <v>17.050087771060703</v>
      </c>
      <c r="AE30" s="40">
        <f t="shared" si="20"/>
        <v>65.864453165973885</v>
      </c>
      <c r="AF30" s="40">
        <f t="shared" si="21"/>
        <v>82.914540937034573</v>
      </c>
    </row>
    <row r="31" spans="1:32" x14ac:dyDescent="0.25">
      <c r="A31" t="str">
        <f>$A$13</f>
        <v>Caring, leisure and other service occupations</v>
      </c>
      <c r="B31" s="18">
        <f t="shared" si="8"/>
        <v>9.984570167197397</v>
      </c>
      <c r="C31" s="18">
        <f t="shared" si="8"/>
        <v>10.091112427257402</v>
      </c>
      <c r="D31" s="18">
        <f t="shared" si="8"/>
        <v>9.9579284405312514</v>
      </c>
      <c r="E31" s="18">
        <f t="shared" si="8"/>
        <v>10.440941180692844</v>
      </c>
      <c r="F31" s="18">
        <f t="shared" si="8"/>
        <v>11.047761849533813</v>
      </c>
      <c r="G31" s="11"/>
      <c r="H31" s="40">
        <f t="shared" si="11"/>
        <v>16.701840101930827</v>
      </c>
      <c r="I31" s="40">
        <f t="shared" si="12"/>
        <v>61.217634298562174</v>
      </c>
      <c r="J31" s="40">
        <f t="shared" si="13"/>
        <v>77.919474400492987</v>
      </c>
      <c r="L31" t="str">
        <f>$A$13</f>
        <v>Caring, leisure and other service occupations</v>
      </c>
      <c r="M31" s="18">
        <f t="shared" ref="M31:Q31" si="28">M13/M$18*100</f>
        <v>2.7467628099109525</v>
      </c>
      <c r="N31" s="18">
        <f t="shared" si="28"/>
        <v>2.7370790641767209</v>
      </c>
      <c r="O31" s="18">
        <f t="shared" si="28"/>
        <v>2.7777234002264146</v>
      </c>
      <c r="P31" s="18">
        <f t="shared" si="28"/>
        <v>3.076054837275493</v>
      </c>
      <c r="Q31" s="18">
        <f t="shared" si="28"/>
        <v>3.3746864307085254</v>
      </c>
      <c r="R31" s="11"/>
      <c r="S31" s="40">
        <f t="shared" si="15"/>
        <v>25.315507569947155</v>
      </c>
      <c r="T31" s="40">
        <f t="shared" si="16"/>
        <v>50.461340888576544</v>
      </c>
      <c r="U31" s="40">
        <f t="shared" si="17"/>
        <v>75.776848458523688</v>
      </c>
      <c r="W31" t="str">
        <f>$A$13</f>
        <v>Caring, leisure and other service occupations</v>
      </c>
      <c r="X31" s="18">
        <f t="shared" ref="X31:AB31" si="29">X13/X$18*100</f>
        <v>18.860094600740876</v>
      </c>
      <c r="Y31" s="18">
        <f t="shared" si="29"/>
        <v>18.760927812935435</v>
      </c>
      <c r="Z31" s="18">
        <f t="shared" si="29"/>
        <v>18.194677009990514</v>
      </c>
      <c r="AA31" s="18">
        <f t="shared" si="29"/>
        <v>18.78332585266546</v>
      </c>
      <c r="AB31" s="18">
        <f t="shared" si="29"/>
        <v>19.491077654010208</v>
      </c>
      <c r="AC31" s="11"/>
      <c r="AD31" s="40">
        <f t="shared" si="19"/>
        <v>15.193317881764276</v>
      </c>
      <c r="AE31" s="40">
        <f t="shared" si="20"/>
        <v>63.10139724574406</v>
      </c>
      <c r="AF31" s="40">
        <f t="shared" si="21"/>
        <v>78.29471512750834</v>
      </c>
    </row>
    <row r="32" spans="1:32" x14ac:dyDescent="0.25">
      <c r="A32" t="str">
        <f>$A$14</f>
        <v>Sales and customer service occupations</v>
      </c>
      <c r="B32" s="18">
        <f t="shared" si="8"/>
        <v>8.5671966726316864</v>
      </c>
      <c r="C32" s="18">
        <f t="shared" si="8"/>
        <v>7.7626693085705707</v>
      </c>
      <c r="D32" s="18">
        <f t="shared" si="8"/>
        <v>7.9222317454925708</v>
      </c>
      <c r="E32" s="18">
        <f t="shared" si="8"/>
        <v>7.776229274784435</v>
      </c>
      <c r="F32" s="18">
        <f t="shared" si="8"/>
        <v>7.5507875860951188</v>
      </c>
      <c r="H32" s="40">
        <f t="shared" si="11"/>
        <v>0.25755558885185098</v>
      </c>
      <c r="I32" s="40">
        <f t="shared" si="12"/>
        <v>45.682384169093169</v>
      </c>
      <c r="J32" s="40">
        <f t="shared" si="13"/>
        <v>45.939939757945012</v>
      </c>
      <c r="L32" t="str">
        <f>$A$14</f>
        <v>Sales and customer service occupations</v>
      </c>
      <c r="M32" s="18">
        <f t="shared" ref="M32:Q32" si="30">M14/M$18*100</f>
        <v>6.3557809611786569</v>
      </c>
      <c r="N32" s="18">
        <f t="shared" si="30"/>
        <v>5.8961167557704446</v>
      </c>
      <c r="O32" s="18">
        <f t="shared" si="30"/>
        <v>6.2886791115562062</v>
      </c>
      <c r="P32" s="18">
        <f t="shared" si="30"/>
        <v>6.4086361850878042</v>
      </c>
      <c r="Q32" s="18">
        <f t="shared" si="30"/>
        <v>6.4327676638238227</v>
      </c>
      <c r="S32" s="40">
        <f t="shared" si="15"/>
        <v>5.5112627963340755</v>
      </c>
      <c r="T32" s="40">
        <f t="shared" si="16"/>
        <v>34.491490948838546</v>
      </c>
      <c r="U32" s="40">
        <f t="shared" si="17"/>
        <v>40.002753745172626</v>
      </c>
      <c r="W32" t="str">
        <f>$A$14</f>
        <v>Sales and customer service occupations</v>
      </c>
      <c r="X32" s="18">
        <f t="shared" ref="X32:AB32" si="31">X14/X$18*100</f>
        <v>11.278995040678053</v>
      </c>
      <c r="Y32" s="18">
        <f t="shared" si="31"/>
        <v>9.9631850312329941</v>
      </c>
      <c r="Z32" s="18">
        <f t="shared" si="31"/>
        <v>9.7961562706535528</v>
      </c>
      <c r="AA32" s="18">
        <f t="shared" si="31"/>
        <v>9.3253350039146721</v>
      </c>
      <c r="AB32" s="18">
        <f t="shared" si="31"/>
        <v>8.7810368361250255</v>
      </c>
      <c r="AD32" s="40">
        <f t="shared" si="19"/>
        <v>-3.6113538027540741</v>
      </c>
      <c r="AE32" s="40">
        <f t="shared" si="20"/>
        <v>53.923527074552716</v>
      </c>
      <c r="AF32" s="40">
        <f t="shared" si="21"/>
        <v>50.312173271798642</v>
      </c>
    </row>
    <row r="33" spans="1:32" x14ac:dyDescent="0.25">
      <c r="A33" t="str">
        <f>$A$15</f>
        <v>Process, plant and machine operatives</v>
      </c>
      <c r="B33" s="18">
        <f t="shared" si="8"/>
        <v>9.3244120522857958</v>
      </c>
      <c r="C33" s="18">
        <f t="shared" si="8"/>
        <v>9.1330922900737441</v>
      </c>
      <c r="D33" s="18">
        <f t="shared" si="8"/>
        <v>8.1153249130947867</v>
      </c>
      <c r="E33" s="18">
        <f t="shared" si="8"/>
        <v>9.0115087309115243</v>
      </c>
      <c r="F33" s="18">
        <f t="shared" si="8"/>
        <v>8.7110726199435753</v>
      </c>
      <c r="G33" s="11"/>
      <c r="H33" s="40">
        <f t="shared" si="11"/>
        <v>12.911485970635894</v>
      </c>
      <c r="I33" s="40">
        <f t="shared" si="12"/>
        <v>52.717746729206681</v>
      </c>
      <c r="J33" s="40">
        <f t="shared" si="13"/>
        <v>65.629232699842575</v>
      </c>
      <c r="L33" t="str">
        <f>$A$15</f>
        <v>Process, plant and machine operatives</v>
      </c>
      <c r="M33" s="18">
        <f t="shared" ref="M33:Q33" si="32">M15/M$18*100</f>
        <v>14.917450089489694</v>
      </c>
      <c r="N33" s="18">
        <f t="shared" si="32"/>
        <v>14.750853972447292</v>
      </c>
      <c r="O33" s="18">
        <f t="shared" si="32"/>
        <v>13.282254180430378</v>
      </c>
      <c r="P33" s="18">
        <f t="shared" si="32"/>
        <v>14.504641749543309</v>
      </c>
      <c r="Q33" s="18">
        <f t="shared" si="32"/>
        <v>14.057836577115317</v>
      </c>
      <c r="R33" s="11"/>
      <c r="S33" s="40">
        <f t="shared" si="15"/>
        <v>9.1709508693422244</v>
      </c>
      <c r="T33" s="40">
        <f t="shared" si="16"/>
        <v>50.089026420476479</v>
      </c>
      <c r="U33" s="40">
        <f t="shared" si="17"/>
        <v>59.259977289818707</v>
      </c>
      <c r="W33" t="str">
        <f>$A$15</f>
        <v>Process, plant and machine operatives</v>
      </c>
      <c r="X33" s="18">
        <f t="shared" ref="X33:AB33" si="33">X15/X$18*100</f>
        <v>2.4658230754782782</v>
      </c>
      <c r="Y33" s="18">
        <f t="shared" si="33"/>
        <v>2.510201930148642</v>
      </c>
      <c r="Z33" s="18">
        <f t="shared" si="33"/>
        <v>2.1880990174096637</v>
      </c>
      <c r="AA33" s="18">
        <f t="shared" si="33"/>
        <v>2.7893042651631754</v>
      </c>
      <c r="AB33" s="18">
        <f t="shared" si="33"/>
        <v>2.8275885984475071</v>
      </c>
      <c r="AC33" s="11"/>
      <c r="AD33" s="40">
        <f t="shared" si="19"/>
        <v>38.958474171452657</v>
      </c>
      <c r="AE33" s="40">
        <f t="shared" si="20"/>
        <v>71.022680384571203</v>
      </c>
      <c r="AF33" s="40">
        <f t="shared" si="21"/>
        <v>109.98115455602387</v>
      </c>
    </row>
    <row r="34" spans="1:32" x14ac:dyDescent="0.25">
      <c r="A34" t="str">
        <f>$A$16</f>
        <v>Elementary occupations</v>
      </c>
      <c r="B34" s="18">
        <f t="shared" si="8"/>
        <v>11.266657366268603</v>
      </c>
      <c r="C34" s="18">
        <f t="shared" si="8"/>
        <v>10.118810428679195</v>
      </c>
      <c r="D34" s="18">
        <f t="shared" si="8"/>
        <v>9.3464963111639658</v>
      </c>
      <c r="E34" s="18">
        <f t="shared" si="8"/>
        <v>8.9466079767895135</v>
      </c>
      <c r="F34" s="18">
        <f t="shared" si="8"/>
        <v>8.0688198869327383</v>
      </c>
      <c r="G34" s="11"/>
      <c r="H34" s="40">
        <f t="shared" si="11"/>
        <v>-9.1900193018757292</v>
      </c>
      <c r="I34" s="40">
        <f t="shared" si="12"/>
        <v>45.74010237680973</v>
      </c>
      <c r="J34" s="40">
        <f t="shared" si="13"/>
        <v>36.550083074934001</v>
      </c>
      <c r="L34" t="str">
        <f>$A$16</f>
        <v>Elementary occupations</v>
      </c>
      <c r="M34" s="18">
        <f t="shared" ref="M34:Q34" si="34">M16/M$18*100</f>
        <v>11.569327361493857</v>
      </c>
      <c r="N34" s="18">
        <f t="shared" si="34"/>
        <v>9.9055402046923611</v>
      </c>
      <c r="O34" s="18">
        <f t="shared" si="34"/>
        <v>9.6315748863027117</v>
      </c>
      <c r="P34" s="18">
        <f t="shared" si="34"/>
        <v>9.5439822810367883</v>
      </c>
      <c r="Q34" s="18">
        <f t="shared" si="34"/>
        <v>8.8060271426570953</v>
      </c>
      <c r="R34" s="11"/>
      <c r="S34" s="40">
        <f t="shared" si="15"/>
        <v>-5.6931793595877611</v>
      </c>
      <c r="T34" s="40">
        <f t="shared" si="16"/>
        <v>38.432540411428569</v>
      </c>
      <c r="U34" s="40">
        <f t="shared" si="17"/>
        <v>32.73936105184081</v>
      </c>
      <c r="W34" t="str">
        <f>$A$16</f>
        <v>Elementary occupations</v>
      </c>
      <c r="X34" s="18">
        <f t="shared" ref="X34:AB34" si="35">X16/X$18*100</f>
        <v>10.895501461543136</v>
      </c>
      <c r="Y34" s="18">
        <f t="shared" si="35"/>
        <v>10.370238913965999</v>
      </c>
      <c r="Z34" s="18">
        <f t="shared" si="35"/>
        <v>9.019469362382301</v>
      </c>
      <c r="AA34" s="18">
        <f t="shared" si="35"/>
        <v>8.2699476718226954</v>
      </c>
      <c r="AB34" s="18">
        <f t="shared" si="35"/>
        <v>7.2576101263508548</v>
      </c>
      <c r="AC34" s="11"/>
      <c r="AD34" s="40">
        <f t="shared" si="19"/>
        <v>-13.473640263055476</v>
      </c>
      <c r="AE34" s="40">
        <f t="shared" si="20"/>
        <v>54.69184913292451</v>
      </c>
      <c r="AF34" s="40">
        <f t="shared" si="21"/>
        <v>41.218208869869031</v>
      </c>
    </row>
    <row r="35" spans="1:32" x14ac:dyDescent="0.25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5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5.1895024929764659</v>
      </c>
      <c r="I36" s="43">
        <f t="shared" si="12"/>
        <v>49.577409782171529</v>
      </c>
      <c r="J36" s="43">
        <f t="shared" si="13"/>
        <v>54.766912275147995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3.1478997932290116</v>
      </c>
      <c r="T36" s="43">
        <f t="shared" ref="T36" si="37">IF(O18&gt;0,(T18/O18)*100,0)</f>
        <v>41.144329331864363</v>
      </c>
      <c r="U36" s="43">
        <f t="shared" ref="U36" si="38">IF(O18&gt;0,(U18/O18)*100,0)</f>
        <v>44.292229125093371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7.5315203075311503</v>
      </c>
      <c r="AE36" s="43">
        <f t="shared" ref="AE36" si="40">IF(Z18&gt;0,(AE18/Z18)*100,0)</f>
        <v>59.251390252825843</v>
      </c>
      <c r="AF36" s="43">
        <f t="shared" ref="AF36" si="41">IF(Z18&gt;0,(AF18/Z18)*100,0)</f>
        <v>66.782910560356996</v>
      </c>
    </row>
    <row r="37" spans="1:32" x14ac:dyDescent="0.25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5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5" x14ac:dyDescent="0.35">
      <c r="A39" s="19" t="str">
        <f>CONCATENATE(A$1," (Continued)")</f>
        <v>Occupation Table 1  Employment Change by Occupation Group (SOC 2020) and Replacement Demand, 2015-2035, Black Country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Black Country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Black Country (Continued)</v>
      </c>
      <c r="X39" s="18"/>
      <c r="Y39" s="18"/>
      <c r="Z39" s="18"/>
      <c r="AA39" s="18"/>
      <c r="AB39" s="18"/>
      <c r="AC39" s="11"/>
    </row>
    <row r="40" spans="1:32" x14ac:dyDescent="0.25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5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ht="13" x14ac:dyDescent="0.3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ht="13" x14ac:dyDescent="0.3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5">
      <c r="A46" t="str">
        <f>$A$8</f>
        <v>Managers, directors and senior officials</v>
      </c>
      <c r="B46" s="18">
        <f t="shared" ref="B46:E54" si="42">IF(C$6-B$6 &lt;&gt; 0,(EXP(LN(C8/B8)/(C$6-B$6))-1)*100,0)</f>
        <v>2.2535150400792014</v>
      </c>
      <c r="C46" s="18">
        <f t="shared" si="42"/>
        <v>2.8419053960834662</v>
      </c>
      <c r="D46" s="18">
        <f t="shared" si="42"/>
        <v>0.40070737335460294</v>
      </c>
      <c r="E46" s="18">
        <f t="shared" si="42"/>
        <v>1.1174364195466913</v>
      </c>
      <c r="F46" s="18">
        <f>IF(F$6-D$6 &lt;&gt; 0,(EXP(LN(F8/D8)/(F$6-D$6))-1)*100,0)</f>
        <v>0.87796003337696771</v>
      </c>
      <c r="H46" s="18">
        <f>IF($F$6-$D$6 &lt;&gt; 0,(EXP(LN(1+(H26/100))/($F$6-$D$6))-1)*100,0)</f>
        <v>0.87796003337696771</v>
      </c>
      <c r="I46" s="18">
        <f>IF($F$6-$D$6 &lt;&gt; 0,(EXP(LN(1+(I26/100))/($F$6-$D$6))-1)*100,0)</f>
        <v>3.01918824687335</v>
      </c>
      <c r="J46" s="18">
        <f>IF($F$6-$D$6 &lt;&gt; 0,(EXP(LN(1+(J26/100))/($F$6-$D$6))-1)*100,0)</f>
        <v>3.6107040629805631</v>
      </c>
      <c r="L46" t="str">
        <f>$A$8</f>
        <v>Managers, directors and senior officials</v>
      </c>
      <c r="M46" s="18">
        <f t="shared" ref="M46:M54" si="43">IF(N$6-M$6 &lt;&gt; 0,(EXP(LN(N8/M8)/(N$6-M$6))-1)*100,0)</f>
        <v>1.6906941160654609</v>
      </c>
      <c r="N46" s="18">
        <f t="shared" ref="N46:N54" si="44">IF(O$6-N$6 &lt;&gt; 0,(EXP(LN(O8/N8)/(O$6-N$6))-1)*100,0)</f>
        <v>-0.34244296737980795</v>
      </c>
      <c r="O46" s="18">
        <f t="shared" ref="O46:O54" si="45">IF(P$6-O$6 &lt;&gt; 0,(EXP(LN(P8/O8)/(P$6-O$6))-1)*100,0)</f>
        <v>-8.7310780595928339E-2</v>
      </c>
      <c r="P46" s="18">
        <f t="shared" ref="P46:P54" si="46">IF(Q$6-P$6 &lt;&gt; 0,(EXP(LN(Q8/P8)/(Q$6-P$6))-1)*100,0)</f>
        <v>0.7698777771116605</v>
      </c>
      <c r="Q46" s="18">
        <f>IF(Q$6-O$6 &lt;&gt; 0,(EXP(LN(Q8/O8)/(Q$6-O$6))-1)*100,0)</f>
        <v>0.48333423110082929</v>
      </c>
      <c r="S46" s="18">
        <f>IF($F$6-$D$6 &lt;&gt; 0,(EXP(LN(1+(S26/100))/($F$6-$D$6))-1)*100,0)</f>
        <v>0.48333423110082929</v>
      </c>
      <c r="T46" s="18">
        <f>IF($F$6-$D$6 &lt;&gt; 0,(EXP(LN(1+(T26/100))/($F$6-$D$6))-1)*100,0)</f>
        <v>2.6977379835849691</v>
      </c>
      <c r="U46" s="18">
        <f>IF($F$6-$D$6 &lt;&gt; 0,(EXP(LN(1+(U26/100))/($F$6-$D$6))-1)*100,0)</f>
        <v>3.0343701785688904</v>
      </c>
      <c r="W46" t="str">
        <f>$A$8</f>
        <v>Managers, directors and senior officials</v>
      </c>
      <c r="X46" s="18">
        <f t="shared" ref="X46:X54" si="47">IF(Y$6-X$6 &lt;&gt; 0,(EXP(LN(Y8/X8)/(Y$6-X$6))-1)*100,0)</f>
        <v>3.4457113981530618</v>
      </c>
      <c r="Y46" s="18">
        <f t="shared" ref="Y46:Y54" si="48">IF(Z$6-Y$6 &lt;&gt; 0,(EXP(LN(Z8/Y8)/(Z$6-Y$6))-1)*100,0)</f>
        <v>9.305113424497069</v>
      </c>
      <c r="Z46" s="18">
        <f t="shared" ref="Z46:Z54" si="49">IF(AA$6-Z$6 &lt;&gt; 0,(EXP(LN(AA8/Z8)/(AA$6-Z$6))-1)*100,0)</f>
        <v>1.2795445879569822</v>
      </c>
      <c r="AA46" s="18">
        <f t="shared" ref="AA46:AA54" si="50">IF(AB$6-AA$6 &lt;&gt; 0,(EXP(LN(AB8/AA8)/(AB$6-AA$6))-1)*100,0)</f>
        <v>1.6941234583569553</v>
      </c>
      <c r="AB46" s="18">
        <f>IF(AB$6-Z$6 &lt;&gt; 0,(EXP(LN(AB8/Z8)/(AB$6-Z$6))-1)*100,0)</f>
        <v>1.5557422835655643</v>
      </c>
      <c r="AD46" s="18">
        <f>IF($F$6-$D$6 &lt;&gt; 0,(EXP(LN(1+(AD26/100))/($F$6-$D$6))-1)*100,0)</f>
        <v>1.5557422835655643</v>
      </c>
      <c r="AE46" s="18">
        <f>IF($F$6-$D$6 &lt;&gt; 0,(EXP(LN(1+(AE26/100))/($F$6-$D$6))-1)*100,0)</f>
        <v>3.5793896608027564</v>
      </c>
      <c r="AF46" s="18">
        <f>IF($F$6-$D$6 &lt;&gt; 0,(EXP(LN(1+(AF26/100))/($F$6-$D$6))-1)*100,0)</f>
        <v>4.5717129961695413</v>
      </c>
    </row>
    <row r="47" spans="1:32" x14ac:dyDescent="0.25">
      <c r="A47" t="str">
        <f>$A$9</f>
        <v>Professional occupations</v>
      </c>
      <c r="B47" s="18">
        <f t="shared" si="42"/>
        <v>3.0878921424440708</v>
      </c>
      <c r="C47" s="18">
        <f t="shared" si="42"/>
        <v>4.3646966170434842</v>
      </c>
      <c r="D47" s="18">
        <f t="shared" si="42"/>
        <v>1.5004720382954639</v>
      </c>
      <c r="E47" s="18">
        <f t="shared" si="42"/>
        <v>1.0536608112592383</v>
      </c>
      <c r="F47" s="18">
        <f>IF(F$6-D$6 &lt;&gt; 0,(EXP(LN(F9/D9)/(F$6-D$6))-1)*100,0)</f>
        <v>1.2023789149196329</v>
      </c>
      <c r="H47" s="18">
        <f t="shared" ref="H47:J56" si="51">IF($F$6-$D$6 &lt;&gt; 0,(EXP(LN(1+(H27/100))/($F$6-$D$6))-1)*100,0)</f>
        <v>1.2023789149196329</v>
      </c>
      <c r="I47" s="18">
        <f t="shared" si="51"/>
        <v>2.8250294241736862</v>
      </c>
      <c r="J47" s="18">
        <f t="shared" si="51"/>
        <v>3.6619084550842729</v>
      </c>
      <c r="L47" t="str">
        <f>$A$9</f>
        <v>Professional occupations</v>
      </c>
      <c r="M47" s="18">
        <f t="shared" si="43"/>
        <v>2.0892096838939889</v>
      </c>
      <c r="N47" s="18">
        <f t="shared" si="44"/>
        <v>4.9736036619627555</v>
      </c>
      <c r="O47" s="18">
        <f t="shared" si="45"/>
        <v>1.178713004544063</v>
      </c>
      <c r="P47" s="18">
        <f t="shared" si="46"/>
        <v>0.73872153504175309</v>
      </c>
      <c r="Q47" s="18">
        <f>IF(Q$6-O$6 &lt;&gt; 0,(EXP(LN(Q9/O9)/(Q$6-O$6))-1)*100,0)</f>
        <v>0.88517234940679312</v>
      </c>
      <c r="S47" s="18">
        <f t="shared" ref="S47:U47" si="52">IF($F$6-$D$6 &lt;&gt; 0,(EXP(LN(1+(S27/100))/($F$6-$D$6))-1)*100,0)</f>
        <v>0.88517234940679312</v>
      </c>
      <c r="T47" s="18">
        <f t="shared" si="52"/>
        <v>2.310597609702203</v>
      </c>
      <c r="U47" s="18">
        <f t="shared" si="52"/>
        <v>2.9647875775040911</v>
      </c>
      <c r="W47" t="str">
        <f>$A$9</f>
        <v>Professional occupations</v>
      </c>
      <c r="X47" s="18">
        <f t="shared" si="47"/>
        <v>4.134401708827995</v>
      </c>
      <c r="Y47" s="18">
        <f t="shared" si="48"/>
        <v>3.7574951857087369</v>
      </c>
      <c r="Z47" s="18">
        <f t="shared" si="49"/>
        <v>1.8210079864245277</v>
      </c>
      <c r="AA47" s="18">
        <f t="shared" si="50"/>
        <v>1.3531942220793791</v>
      </c>
      <c r="AB47" s="18">
        <f>IF(AB$6-Z$6 &lt;&gt; 0,(EXP(LN(AB9/Z9)/(AB$6-Z$6))-1)*100,0)</f>
        <v>1.5088928370861732</v>
      </c>
      <c r="AD47" s="18">
        <f t="shared" ref="AD47:AF47" si="53">IF($F$6-$D$6 &lt;&gt; 0,(EXP(LN(1+(AD27/100))/($F$6-$D$6))-1)*100,0)</f>
        <v>1.5088928370861732</v>
      </c>
      <c r="AE47" s="18">
        <f t="shared" si="53"/>
        <v>3.3099080215779342</v>
      </c>
      <c r="AF47" s="18">
        <f t="shared" si="53"/>
        <v>4.3044220800654731</v>
      </c>
    </row>
    <row r="48" spans="1:32" x14ac:dyDescent="0.25">
      <c r="A48" t="str">
        <f>$A$10</f>
        <v>Associate professional occupations</v>
      </c>
      <c r="B48" s="18">
        <f t="shared" si="42"/>
        <v>1.1337518594024765</v>
      </c>
      <c r="C48" s="18">
        <f t="shared" si="42"/>
        <v>3.6687905890195882</v>
      </c>
      <c r="D48" s="18">
        <f t="shared" si="42"/>
        <v>-0.53993791650410738</v>
      </c>
      <c r="E48" s="18">
        <f t="shared" si="42"/>
        <v>0.72987746300836598</v>
      </c>
      <c r="F48" s="18">
        <f t="shared" ref="F48:F56" si="54">IF(F$6-D$6 &lt;&gt; 0,(EXP(LN(F10/D10)/(F$6-D$6))-1)*100,0)</f>
        <v>0.30481449939876448</v>
      </c>
      <c r="H48" s="18">
        <f t="shared" si="51"/>
        <v>0.30481449939876448</v>
      </c>
      <c r="I48" s="18">
        <f t="shared" si="51"/>
        <v>2.5615646076944998</v>
      </c>
      <c r="J48" s="18">
        <f t="shared" si="51"/>
        <v>2.7769153006210523</v>
      </c>
      <c r="L48" t="str">
        <f>$A$10</f>
        <v>Associate professional occupations</v>
      </c>
      <c r="M48" s="18">
        <f t="shared" si="43"/>
        <v>0.15266663956374771</v>
      </c>
      <c r="N48" s="18">
        <f t="shared" si="44"/>
        <v>3.8198410742374955</v>
      </c>
      <c r="O48" s="18">
        <f t="shared" si="45"/>
        <v>-1.4128956924323477</v>
      </c>
      <c r="P48" s="18">
        <f>IF(Q$6-P$6 &lt;&gt; 0,(EXP(LN(Q10/P10)/(Q$6-P$6))-1)*100,0)</f>
        <v>0.22464278530898163</v>
      </c>
      <c r="Q48" s="18">
        <f t="shared" ref="Q48:Q54" si="55">IF(Q$6-O$6 &lt;&gt; 0,(EXP(LN(Q10/O10)/(Q$6-O$6))-1)*100,0)</f>
        <v>-0.32420345779888837</v>
      </c>
      <c r="S48" s="18">
        <f t="shared" ref="S48:U48" si="56">IF($F$6-$D$6 &lt;&gt; 0,(EXP(LN(1+(S28/100))/($F$6-$D$6))-1)*100,0)</f>
        <v>-0.32420345779888837</v>
      </c>
      <c r="T48" s="18">
        <f t="shared" si="56"/>
        <v>2.0420149872090843</v>
      </c>
      <c r="U48" s="18">
        <f t="shared" si="56"/>
        <v>1.7991851280806381</v>
      </c>
      <c r="W48" t="str">
        <f>$A$10</f>
        <v>Associate professional occupations</v>
      </c>
      <c r="X48" s="18">
        <f t="shared" si="47"/>
        <v>2.343701279458088</v>
      </c>
      <c r="Y48" s="18">
        <f t="shared" si="48"/>
        <v>3.492309286845674</v>
      </c>
      <c r="Z48" s="18">
        <f t="shared" si="49"/>
        <v>0.44568605944839135</v>
      </c>
      <c r="AA48" s="18">
        <f t="shared" si="50"/>
        <v>1.2452069143919609</v>
      </c>
      <c r="AB48" s="18">
        <f t="shared" ref="AB48:AB54" si="57">IF(AB$6-Z$6 &lt;&gt; 0,(EXP(LN(AB10/Z10)/(AB$6-Z$6))-1)*100,0)</f>
        <v>0.97799534462712501</v>
      </c>
      <c r="AD48" s="18">
        <f t="shared" ref="AD48:AF48" si="58">IF($F$6-$D$6 &lt;&gt; 0,(EXP(LN(1+(AD28/100))/($F$6-$D$6))-1)*100,0)</f>
        <v>0.97799534462712501</v>
      </c>
      <c r="AE48" s="18">
        <f t="shared" si="58"/>
        <v>3.1270268364453679</v>
      </c>
      <c r="AF48" s="18">
        <f t="shared" si="58"/>
        <v>3.7783440870148954</v>
      </c>
    </row>
    <row r="49" spans="1:32" x14ac:dyDescent="0.25">
      <c r="A49" t="str">
        <f>$A$11</f>
        <v>Administrative and secretarial occupations</v>
      </c>
      <c r="B49" s="18">
        <f t="shared" si="42"/>
        <v>-2.3594366184096605</v>
      </c>
      <c r="C49" s="18">
        <f t="shared" si="42"/>
        <v>3.5600320495455806</v>
      </c>
      <c r="D49" s="18">
        <f t="shared" si="42"/>
        <v>-1.0840607981116968</v>
      </c>
      <c r="E49" s="18">
        <f t="shared" si="42"/>
        <v>-1.0674383040765401</v>
      </c>
      <c r="F49" s="18">
        <f t="shared" si="54"/>
        <v>-1.0729794457711606</v>
      </c>
      <c r="H49" s="18">
        <f t="shared" si="51"/>
        <v>-1.0729794457711606</v>
      </c>
      <c r="I49" s="18">
        <f t="shared" si="51"/>
        <v>2.5646485552730969</v>
      </c>
      <c r="J49" s="18">
        <f t="shared" si="51"/>
        <v>1.8302413366615644</v>
      </c>
      <c r="L49" t="str">
        <f>$A$11</f>
        <v>Administrative and secretarial occupations</v>
      </c>
      <c r="M49" s="18">
        <f t="shared" si="43"/>
        <v>-3.655087413843372</v>
      </c>
      <c r="N49" s="18">
        <f t="shared" si="44"/>
        <v>18.86880173870491</v>
      </c>
      <c r="O49" s="18">
        <f t="shared" si="45"/>
        <v>-0.37981188826098355</v>
      </c>
      <c r="P49" s="18">
        <f t="shared" si="46"/>
        <v>0.98370212525300538</v>
      </c>
      <c r="Q49" s="18">
        <f t="shared" si="55"/>
        <v>0.52713634763998929</v>
      </c>
      <c r="S49" s="18">
        <f t="shared" ref="S49:U49" si="59">IF($F$6-$D$6 &lt;&gt; 0,(EXP(LN(1+(S29/100))/($F$6-$D$6))-1)*100,0)</f>
        <v>0.52713634763998929</v>
      </c>
      <c r="T49" s="18">
        <f t="shared" si="59"/>
        <v>2.1906817951111046</v>
      </c>
      <c r="U49" s="18">
        <f t="shared" si="59"/>
        <v>2.5838041547653345</v>
      </c>
      <c r="W49" t="str">
        <f>$A$11</f>
        <v>Administrative and secretarial occupations</v>
      </c>
      <c r="X49" s="18">
        <f t="shared" si="47"/>
        <v>-1.8788243309695751</v>
      </c>
      <c r="Y49" s="18">
        <f t="shared" si="48"/>
        <v>-1.8646015751149658</v>
      </c>
      <c r="Z49" s="18">
        <f t="shared" si="49"/>
        <v>-1.3925867514676948</v>
      </c>
      <c r="AA49" s="18">
        <f t="shared" si="50"/>
        <v>-2.1358123463176004</v>
      </c>
      <c r="AB49" s="18">
        <f t="shared" si="57"/>
        <v>-1.888695003806462</v>
      </c>
      <c r="AD49" s="18">
        <f t="shared" ref="AD49:AF49" si="60">IF($F$6-$D$6 &lt;&gt; 0,(EXP(LN(1+(AD29/100))/($F$6-$D$6))-1)*100,0)</f>
        <v>-1.888695003806462</v>
      </c>
      <c r="AE49" s="18">
        <f t="shared" si="60"/>
        <v>2.7194801427219861</v>
      </c>
      <c r="AF49" s="18">
        <f t="shared" si="60"/>
        <v>1.4812494840337198</v>
      </c>
    </row>
    <row r="50" spans="1:32" x14ac:dyDescent="0.25">
      <c r="A50" t="str">
        <f>$A$12</f>
        <v>Skilled trades occupations</v>
      </c>
      <c r="B50" s="18">
        <f t="shared" si="42"/>
        <v>0.25885294966077055</v>
      </c>
      <c r="C50" s="18">
        <f t="shared" si="42"/>
        <v>-15.547140629851786</v>
      </c>
      <c r="D50" s="18">
        <f t="shared" si="42"/>
        <v>-0.32521073323633631</v>
      </c>
      <c r="E50" s="18">
        <f t="shared" si="42"/>
        <v>-0.81840552154786028</v>
      </c>
      <c r="F50" s="18">
        <f t="shared" si="54"/>
        <v>-0.65427900649316362</v>
      </c>
      <c r="H50" s="18">
        <f t="shared" si="51"/>
        <v>-0.65427900649316362</v>
      </c>
      <c r="I50" s="18">
        <f t="shared" si="51"/>
        <v>2.2460134499022066</v>
      </c>
      <c r="J50" s="18">
        <f t="shared" si="51"/>
        <v>1.7729229882848863</v>
      </c>
      <c r="L50" t="str">
        <f>$A$12</f>
        <v>Skilled trades occupations</v>
      </c>
      <c r="M50" s="18">
        <f t="shared" si="43"/>
        <v>0.37371384082260928</v>
      </c>
      <c r="N50" s="18">
        <f t="shared" si="44"/>
        <v>-17.351481307030213</v>
      </c>
      <c r="O50" s="18">
        <f t="shared" si="45"/>
        <v>-0.58009059309077626</v>
      </c>
      <c r="P50" s="18">
        <f t="shared" si="46"/>
        <v>-0.98067687053625674</v>
      </c>
      <c r="Q50" s="18">
        <f t="shared" si="55"/>
        <v>-0.84732777292845229</v>
      </c>
      <c r="S50" s="18">
        <f t="shared" ref="S50:U50" si="61">IF($F$6-$D$6 &lt;&gt; 0,(EXP(LN(1+(S30/100))/($F$6-$D$6))-1)*100,0)</f>
        <v>-0.84732777292845229</v>
      </c>
      <c r="T50" s="18">
        <f t="shared" si="61"/>
        <v>2.1180959431305935</v>
      </c>
      <c r="U50" s="18">
        <f t="shared" si="61"/>
        <v>1.4965893832632249</v>
      </c>
      <c r="W50" t="str">
        <f>$A$12</f>
        <v>Skilled trades occupations</v>
      </c>
      <c r="X50" s="18">
        <f t="shared" si="47"/>
        <v>-1.2101271546279602</v>
      </c>
      <c r="Y50" s="18">
        <f t="shared" si="48"/>
        <v>8.4682673082252293</v>
      </c>
      <c r="Z50" s="18">
        <f t="shared" si="49"/>
        <v>2.1232003606373118</v>
      </c>
      <c r="AA50" s="18">
        <f t="shared" si="50"/>
        <v>0.525204712433891</v>
      </c>
      <c r="AB50" s="18">
        <f t="shared" si="57"/>
        <v>1.0550720954820125</v>
      </c>
      <c r="AD50" s="18">
        <f t="shared" ref="AD50:AF50" si="62">IF($F$6-$D$6 &lt;&gt; 0,(EXP(LN(1+(AD30/100))/($F$6-$D$6))-1)*100,0)</f>
        <v>1.0550720954820125</v>
      </c>
      <c r="AE50" s="18">
        <f t="shared" si="62"/>
        <v>3.4308804040094731</v>
      </c>
      <c r="AF50" s="18">
        <f t="shared" si="62"/>
        <v>4.1077871369147312</v>
      </c>
    </row>
    <row r="51" spans="1:32" x14ac:dyDescent="0.25">
      <c r="A51" t="str">
        <f>$A$13</f>
        <v>Caring, leisure and other service occupations</v>
      </c>
      <c r="B51" s="18">
        <f t="shared" si="42"/>
        <v>0.48162865360099616</v>
      </c>
      <c r="C51" s="18">
        <f t="shared" si="42"/>
        <v>-3.9781541869672643</v>
      </c>
      <c r="D51" s="18">
        <f t="shared" si="42"/>
        <v>1.4328091588033942</v>
      </c>
      <c r="E51" s="18">
        <f t="shared" si="42"/>
        <v>0.83668125764770895</v>
      </c>
      <c r="F51" s="18">
        <f t="shared" si="54"/>
        <v>1.0350002614567977</v>
      </c>
      <c r="H51" s="18">
        <f t="shared" si="51"/>
        <v>1.0350002614567977</v>
      </c>
      <c r="I51" s="18">
        <f t="shared" si="51"/>
        <v>3.2351285571235788</v>
      </c>
      <c r="J51" s="18">
        <f t="shared" si="51"/>
        <v>3.9157953108960752</v>
      </c>
      <c r="L51" t="str">
        <f>$A$13</f>
        <v>Caring, leisure and other service occupations</v>
      </c>
      <c r="M51" s="18">
        <f t="shared" si="43"/>
        <v>-0.31969031841925233</v>
      </c>
      <c r="N51" s="18">
        <f t="shared" si="44"/>
        <v>-2.4884680973540352</v>
      </c>
      <c r="O51" s="18">
        <f t="shared" si="45"/>
        <v>2.4263708301728082</v>
      </c>
      <c r="P51" s="18">
        <f t="shared" si="46"/>
        <v>1.0635592697572971</v>
      </c>
      <c r="Q51" s="18">
        <f t="shared" si="55"/>
        <v>1.515803050383302</v>
      </c>
      <c r="S51" s="18">
        <f t="shared" ref="S51:U51" si="63">IF($F$6-$D$6 &lt;&gt; 0,(EXP(LN(1+(S31/100))/($F$6-$D$6))-1)*100,0)</f>
        <v>1.515803050383302</v>
      </c>
      <c r="T51" s="18">
        <f t="shared" si="63"/>
        <v>2.7610015739073512</v>
      </c>
      <c r="U51" s="18">
        <f t="shared" si="63"/>
        <v>3.8318945214885103</v>
      </c>
      <c r="W51" t="str">
        <f>$A$13</f>
        <v>Caring, leisure and other service occupations</v>
      </c>
      <c r="X51" s="18">
        <f t="shared" si="47"/>
        <v>0.62273822028315884</v>
      </c>
      <c r="Y51" s="18">
        <f t="shared" si="48"/>
        <v>-4.234373608727104</v>
      </c>
      <c r="Z51" s="18">
        <f t="shared" si="49"/>
        <v>1.2547389714085755</v>
      </c>
      <c r="AA51" s="18">
        <f t="shared" si="50"/>
        <v>0.79408565091405592</v>
      </c>
      <c r="AB51" s="18">
        <f t="shared" si="57"/>
        <v>0.94740342799106703</v>
      </c>
      <c r="AD51" s="18">
        <f t="shared" ref="AD51:AF51" si="64">IF($F$6-$D$6 &lt;&gt; 0,(EXP(LN(1+(AD31/100))/($F$6-$D$6))-1)*100,0)</f>
        <v>0.94740342799106703</v>
      </c>
      <c r="AE51" s="18">
        <f t="shared" si="64"/>
        <v>3.3151107158165605</v>
      </c>
      <c r="AF51" s="18">
        <f t="shared" si="64"/>
        <v>3.9303918439911989</v>
      </c>
    </row>
    <row r="52" spans="1:32" x14ac:dyDescent="0.25">
      <c r="A52" t="str">
        <f>$A$14</f>
        <v>Sales and customer service occupations</v>
      </c>
      <c r="B52" s="18">
        <f t="shared" si="42"/>
        <v>-2.2251102304149395</v>
      </c>
      <c r="C52" s="18">
        <f t="shared" si="42"/>
        <v>-0.69375722537577955</v>
      </c>
      <c r="D52" s="18">
        <f t="shared" si="42"/>
        <v>0.10335346347654095</v>
      </c>
      <c r="E52" s="18">
        <f t="shared" si="42"/>
        <v>-2.5924236082830454E-2</v>
      </c>
      <c r="F52" s="18">
        <f t="shared" si="54"/>
        <v>1.7149769261126657E-2</v>
      </c>
      <c r="H52" s="18">
        <f t="shared" si="51"/>
        <v>1.7149769261126657E-2</v>
      </c>
      <c r="I52" s="18">
        <f t="shared" si="51"/>
        <v>2.5401155939603681</v>
      </c>
      <c r="J52" s="18">
        <f t="shared" si="51"/>
        <v>2.5521911860717728</v>
      </c>
      <c r="L52" t="str">
        <f>$A$14</f>
        <v>Sales and customer service occupations</v>
      </c>
      <c r="M52" s="18">
        <f t="shared" si="43"/>
        <v>-2.0866024142827344</v>
      </c>
      <c r="N52" s="18">
        <f t="shared" si="44"/>
        <v>2.4820217453159099</v>
      </c>
      <c r="O52" s="18">
        <f t="shared" si="45"/>
        <v>0.73769429923697949</v>
      </c>
      <c r="P52" s="18">
        <f t="shared" si="46"/>
        <v>0.16912470930465773</v>
      </c>
      <c r="Q52" s="18">
        <f t="shared" si="55"/>
        <v>0.35829044847501823</v>
      </c>
      <c r="S52" s="18">
        <f t="shared" ref="S52:U52" si="65">IF($F$6-$D$6 &lt;&gt; 0,(EXP(LN(1+(S32/100))/($F$6-$D$6))-1)*100,0)</f>
        <v>0.35829044847501823</v>
      </c>
      <c r="T52" s="18">
        <f t="shared" si="65"/>
        <v>1.995181207395591</v>
      </c>
      <c r="U52" s="18">
        <f t="shared" si="65"/>
        <v>2.2686300929027459</v>
      </c>
      <c r="W52" t="str">
        <f>$A$14</f>
        <v>Sales and customer service occupations</v>
      </c>
      <c r="X52" s="18">
        <f t="shared" si="47"/>
        <v>-2.3211658026281334</v>
      </c>
      <c r="Y52" s="18">
        <f t="shared" si="48"/>
        <v>-2.9094135736405846</v>
      </c>
      <c r="Z52" s="18">
        <f t="shared" si="49"/>
        <v>-0.37427897675704758</v>
      </c>
      <c r="AA52" s="18">
        <f t="shared" si="50"/>
        <v>-0.18016462522354448</v>
      </c>
      <c r="AB52" s="18">
        <f t="shared" si="57"/>
        <v>-0.24491139709637011</v>
      </c>
      <c r="AD52" s="18">
        <f t="shared" ref="AD52:AF52" si="66">IF($F$6-$D$6 &lt;&gt; 0,(EXP(LN(1+(AD32/100))/($F$6-$D$6))-1)*100,0)</f>
        <v>-0.24491139709637011</v>
      </c>
      <c r="AE52" s="18">
        <f t="shared" si="66"/>
        <v>2.9169720988283965</v>
      </c>
      <c r="AF52" s="18">
        <f t="shared" si="66"/>
        <v>2.754206601417164</v>
      </c>
    </row>
    <row r="53" spans="1:32" x14ac:dyDescent="0.25">
      <c r="A53" t="str">
        <f>$A$15</f>
        <v>Process, plant and machine operatives</v>
      </c>
      <c r="B53" s="18">
        <f t="shared" si="42"/>
        <v>-0.30271188587898124</v>
      </c>
      <c r="C53" s="18">
        <f t="shared" si="42"/>
        <v>-13.537426086006221</v>
      </c>
      <c r="D53" s="18">
        <f t="shared" si="42"/>
        <v>2.603610370397158</v>
      </c>
      <c r="E53" s="18">
        <f t="shared" si="42"/>
        <v>-7.0781526465701905E-2</v>
      </c>
      <c r="F53" s="18">
        <f t="shared" si="54"/>
        <v>0.81284590388843725</v>
      </c>
      <c r="H53" s="18">
        <f t="shared" si="51"/>
        <v>0.81284590388843725</v>
      </c>
      <c r="I53" s="18">
        <f t="shared" si="51"/>
        <v>2.86302703384822</v>
      </c>
      <c r="J53" s="18">
        <f t="shared" si="51"/>
        <v>3.4210952349732038</v>
      </c>
      <c r="L53" t="str">
        <f>$A$15</f>
        <v>Process, plant and machine operatives</v>
      </c>
      <c r="M53" s="18">
        <f t="shared" si="43"/>
        <v>-0.51136436889708259</v>
      </c>
      <c r="N53" s="18">
        <f t="shared" si="44"/>
        <v>-13.481506660429387</v>
      </c>
      <c r="O53" s="18">
        <f t="shared" si="45"/>
        <v>2.1404610310632455</v>
      </c>
      <c r="P53" s="18">
        <f t="shared" si="46"/>
        <v>-0.18132461230895291</v>
      </c>
      <c r="Q53" s="18">
        <f t="shared" si="55"/>
        <v>0.58667975916446569</v>
      </c>
      <c r="S53" s="18">
        <f t="shared" ref="S53:U53" si="67">IF($F$6-$D$6 &lt;&gt; 0,(EXP(LN(1+(S33/100))/($F$6-$D$6))-1)*100,0)</f>
        <v>0.58667975916446569</v>
      </c>
      <c r="T53" s="18">
        <f t="shared" si="67"/>
        <v>2.744029923721536</v>
      </c>
      <c r="U53" s="18">
        <f t="shared" si="67"/>
        <v>3.151079334964435</v>
      </c>
      <c r="W53" t="str">
        <f>$A$15</f>
        <v>Process, plant and machine operatives</v>
      </c>
      <c r="X53" s="18">
        <f t="shared" si="47"/>
        <v>1.2057544620176053</v>
      </c>
      <c r="Y53" s="18">
        <f t="shared" si="48"/>
        <v>-13.924822378435941</v>
      </c>
      <c r="Z53" s="18">
        <f t="shared" si="49"/>
        <v>5.6174101496974105</v>
      </c>
      <c r="AA53" s="18">
        <f t="shared" si="50"/>
        <v>0.55895387894913107</v>
      </c>
      <c r="AB53" s="18">
        <f t="shared" si="57"/>
        <v>2.2175974852008062</v>
      </c>
      <c r="AD53" s="18">
        <f t="shared" ref="AD53:AF53" si="68">IF($F$6-$D$6 &lt;&gt; 0,(EXP(LN(1+(AD33/100))/($F$6-$D$6))-1)*100,0)</f>
        <v>2.2175974852008062</v>
      </c>
      <c r="AE53" s="18">
        <f t="shared" si="68"/>
        <v>3.6422693951037477</v>
      </c>
      <c r="AF53" s="18">
        <f t="shared" si="68"/>
        <v>5.0699892814889402</v>
      </c>
    </row>
    <row r="54" spans="1:32" x14ac:dyDescent="0.25">
      <c r="A54" t="str">
        <f>$A$16</f>
        <v>Elementary occupations</v>
      </c>
      <c r="B54" s="18">
        <f t="shared" si="42"/>
        <v>-2.4408874684440196</v>
      </c>
      <c r="C54" s="18">
        <f t="shared" si="42"/>
        <v>-10.120743113351882</v>
      </c>
      <c r="D54" s="18">
        <f t="shared" si="42"/>
        <v>-0.39841777184828064</v>
      </c>
      <c r="E54" s="18">
        <f t="shared" si="42"/>
        <v>-0.76148895303371766</v>
      </c>
      <c r="F54" s="18">
        <f t="shared" si="54"/>
        <v>-0.64061251803311237</v>
      </c>
      <c r="H54" s="18">
        <f t="shared" si="51"/>
        <v>-0.64061251803311237</v>
      </c>
      <c r="I54" s="18">
        <f t="shared" si="51"/>
        <v>2.542823465493127</v>
      </c>
      <c r="J54" s="18">
        <f t="shared" si="51"/>
        <v>2.0985242067484533</v>
      </c>
      <c r="L54" t="str">
        <f>$A$16</f>
        <v>Elementary occupations</v>
      </c>
      <c r="M54" s="18">
        <f t="shared" si="43"/>
        <v>-4.0300328156448355</v>
      </c>
      <c r="N54" s="18">
        <f t="shared" si="44"/>
        <v>-6.5727716251290147</v>
      </c>
      <c r="O54" s="18">
        <f t="shared" si="45"/>
        <v>0.17451157823078489</v>
      </c>
      <c r="P54" s="18">
        <f t="shared" si="46"/>
        <v>-0.67108454233563153</v>
      </c>
      <c r="Q54" s="18">
        <f t="shared" si="55"/>
        <v>-0.39001525581773278</v>
      </c>
      <c r="S54" s="18">
        <f t="shared" ref="S54:U54" si="69">IF($F$6-$D$6 &lt;&gt; 0,(EXP(LN(1+(S34/100))/($F$6-$D$6))-1)*100,0)</f>
        <v>-0.39001525581773278</v>
      </c>
      <c r="T54" s="18">
        <f t="shared" si="69"/>
        <v>2.1917600921077529</v>
      </c>
      <c r="U54" s="18">
        <f t="shared" si="69"/>
        <v>1.9060531388117585</v>
      </c>
      <c r="W54" t="str">
        <f>$A$16</f>
        <v>Elementary occupations</v>
      </c>
      <c r="X54" s="18">
        <f t="shared" si="47"/>
        <v>-0.48148091217096178</v>
      </c>
      <c r="Y54" s="18">
        <f t="shared" si="48"/>
        <v>-14.116083433968818</v>
      </c>
      <c r="Z54" s="18">
        <f t="shared" si="49"/>
        <v>-1.1187188398449788</v>
      </c>
      <c r="AA54" s="18">
        <f t="shared" si="50"/>
        <v>-0.8807970874070925</v>
      </c>
      <c r="AB54" s="18">
        <f t="shared" si="57"/>
        <v>-0.96016787828799854</v>
      </c>
      <c r="AD54" s="18">
        <f t="shared" ref="AD54:AF54" si="70">IF($F$6-$D$6 &lt;&gt; 0,(EXP(LN(1+(AD34/100))/($F$6-$D$6))-1)*100,0)</f>
        <v>-0.96016787828799854</v>
      </c>
      <c r="AE54" s="18">
        <f t="shared" si="70"/>
        <v>2.9511404843640232</v>
      </c>
      <c r="AF54" s="18">
        <f t="shared" si="70"/>
        <v>2.3275823260869188</v>
      </c>
    </row>
    <row r="55" spans="1:32" x14ac:dyDescent="0.25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5">
      <c r="A56" s="24" t="str">
        <f>$A$18</f>
        <v>All occupations</v>
      </c>
      <c r="B56" s="26">
        <f>IF(C$6-B$6 &lt;&gt; 0,(EXP(LN(C18/B18)/(C$6-B$6))-1)*100,0)</f>
        <v>0.21535006256827582</v>
      </c>
      <c r="C56" s="26">
        <f>IF(D$6-C$6 &lt;&gt; 0,(EXP(LN(D18/C18)/(D$6-C$6))-1)*100,0)</f>
        <v>-2.6938938797601231</v>
      </c>
      <c r="D56" s="26">
        <f>IF(E$6-D$6 &lt;&gt; 0,(EXP(LN(E18/D18)/(E$6-D$6))-1)*100,0)</f>
        <v>0.47645957719999465</v>
      </c>
      <c r="E56" s="26">
        <f>IF(F$6-E$6 &lt;&gt; 0,(EXP(LN(F18/E18)/(F$6-E$6))-1)*100,0)</f>
        <v>0.26862934467044575</v>
      </c>
      <c r="F56" s="26">
        <f t="shared" si="54"/>
        <v>0.33785827979151417</v>
      </c>
      <c r="H56" s="26">
        <f t="shared" si="51"/>
        <v>0.33785827979151417</v>
      </c>
      <c r="I56" s="26">
        <f t="shared" ref="I56" si="71">IF($F$6-$D$6 &lt;&gt; 0,(EXP(LN(1+(I36/100))/($F$6-$D$6))-1)*100,0)</f>
        <v>2.7206440887196148</v>
      </c>
      <c r="J56" s="26">
        <f t="shared" ref="J56" si="72">IF($F$6-$D$6 &lt;&gt; 0,(EXP(LN(1+(J36/100))/($F$6-$D$6))-1)*100,0)</f>
        <v>2.95447015202146</v>
      </c>
      <c r="L56" s="24" t="str">
        <f>$A$18</f>
        <v>All occupations</v>
      </c>
      <c r="M56" s="26">
        <f>IF(N$6-M$6 &lt;&gt; 0,(EXP(LN(N18/M18)/(N$6-M$6))-1)*100,0)</f>
        <v>-0.23164018272505693</v>
      </c>
      <c r="N56" s="26">
        <f>IF(O$6-N$6 &lt;&gt; 0,(EXP(LN(O18/N18)/(O$6-N$6))-1)*100,0)</f>
        <v>-3.9152809582200687</v>
      </c>
      <c r="O56" s="26">
        <f>IF(P$6-O$6 &lt;&gt; 0,(EXP(LN(P18/O18)/(P$6-O$6))-1)*100,0)</f>
        <v>0.35771624245206635</v>
      </c>
      <c r="P56" s="26">
        <f>IF(Q$6-P$6 &lt;&gt; 0,(EXP(LN(Q18/P18)/(Q$6-P$6))-1)*100,0)</f>
        <v>0.13148431128386928</v>
      </c>
      <c r="Q56" s="26">
        <f t="shared" ref="Q56" si="73">IF(Q$6-O$6 &lt;&gt; 0,(EXP(LN(Q18/O18)/(Q$6-O$6))-1)*100,0)</f>
        <v>0.20683823320757355</v>
      </c>
      <c r="S56" s="26">
        <f t="shared" ref="S56:U56" si="74">IF($F$6-$D$6 &lt;&gt; 0,(EXP(LN(1+(S36/100))/($F$6-$D$6))-1)*100,0)</f>
        <v>0.20683823320757355</v>
      </c>
      <c r="T56" s="26">
        <f t="shared" si="74"/>
        <v>2.3240125499824904</v>
      </c>
      <c r="U56" s="26">
        <f t="shared" si="74"/>
        <v>2.4745916043956262</v>
      </c>
      <c r="W56" s="24" t="str">
        <f>$A$18</f>
        <v>All occupations</v>
      </c>
      <c r="X56" s="26">
        <f>IF(Y$6-X$6 &lt;&gt; 0,(EXP(LN(Y18/X18)/(Y$6-X$6))-1)*100,0)</f>
        <v>0.75544374979883422</v>
      </c>
      <c r="Y56" s="26">
        <f>IF(Z$6-Y$6 &lt;&gt; 0,(EXP(LN(Z18/Y18)/(Z$6-Y$6))-1)*100,0)</f>
        <v>-1.2539764953952037</v>
      </c>
      <c r="Z56" s="26">
        <f>IF(AA$6-Z$6 &lt;&gt; 0,(EXP(LN(AA18/Z18)/(AA$6-Z$6))-1)*100,0)</f>
        <v>0.61198791197387692</v>
      </c>
      <c r="AA56" s="26">
        <f>IF(AB$6-AA$6 &lt;&gt; 0,(EXP(LN(AB18/AA18)/(AB$6-AA$6))-1)*100,0)</f>
        <v>0.42196464628847519</v>
      </c>
      <c r="AB56" s="26">
        <f t="shared" ref="AB56" si="75">IF(AB$6-Z$6 &lt;&gt; 0,(EXP(LN(AB18/Z18)/(AB$6-Z$6))-1)*100,0)</f>
        <v>0.48526582444703426</v>
      </c>
      <c r="AD56" s="26">
        <f t="shared" ref="AD56:AF56" si="76">IF($F$6-$D$6 &lt;&gt; 0,(EXP(LN(1+(AD36/100))/($F$6-$D$6))-1)*100,0)</f>
        <v>0.48526582444701205</v>
      </c>
      <c r="AE56" s="26">
        <f t="shared" si="76"/>
        <v>3.1507085431570436</v>
      </c>
      <c r="AF56" s="26">
        <f t="shared" si="76"/>
        <v>3.4689646124975937</v>
      </c>
    </row>
    <row r="57" spans="1:32" x14ac:dyDescent="0.25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5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5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5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ht="13" x14ac:dyDescent="0.3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ht="13" x14ac:dyDescent="0.3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5">
      <c r="A64" t="str">
        <f>$A$8</f>
        <v>Managers, directors and senior officials</v>
      </c>
      <c r="B64" s="27">
        <f t="shared" ref="B64:E72" si="77">C8-B8</f>
        <v>3.9524273935769401</v>
      </c>
      <c r="C64" s="27">
        <f t="shared" si="77"/>
        <v>1.3170852621070495</v>
      </c>
      <c r="D64" s="27">
        <f t="shared" si="77"/>
        <v>0.96261409573038748</v>
      </c>
      <c r="E64" s="27">
        <f t="shared" si="77"/>
        <v>5.7150429319910785</v>
      </c>
      <c r="F64" s="27">
        <f>F8-D8</f>
        <v>6.677657027721466</v>
      </c>
      <c r="L64" t="str">
        <f>$A$8</f>
        <v>Managers, directors and senior officials</v>
      </c>
      <c r="M64" s="27">
        <f t="shared" ref="M64:M72" si="78">N8-M8</f>
        <v>2.0138790251700769</v>
      </c>
      <c r="N64" s="27">
        <f t="shared" ref="N64:N72" si="79">O8-N8</f>
        <v>-0.10632204811773249</v>
      </c>
      <c r="O64" s="27">
        <f t="shared" ref="O64:O72" si="80">P8-O8</f>
        <v>-0.13484188739708713</v>
      </c>
      <c r="P64" s="27">
        <f t="shared" ref="P64:P72" si="81">Q8-P8</f>
        <v>2.455636067695103</v>
      </c>
      <c r="Q64" s="27">
        <f>Q8-O8</f>
        <v>2.3207941802980159</v>
      </c>
      <c r="W64" t="str">
        <f>$A$8</f>
        <v>Managers, directors and senior officials</v>
      </c>
      <c r="X64" s="27">
        <f t="shared" ref="X64:X72" si="82">Y8-X8</f>
        <v>1.9385483684068525</v>
      </c>
      <c r="Y64" s="27">
        <f t="shared" ref="Y64:Y72" si="83">Z8-Y8</f>
        <v>1.4234073102247784</v>
      </c>
      <c r="Z64" s="27">
        <f t="shared" ref="Z64:Z72" si="84">AA8-Z8</f>
        <v>1.0974559831274213</v>
      </c>
      <c r="AA64" s="27">
        <f t="shared" ref="AA64:AA72" si="85">AB8-AA8</f>
        <v>3.259406864296011</v>
      </c>
      <c r="AB64" s="27">
        <f>AB8-Z8</f>
        <v>4.3568628474234323</v>
      </c>
    </row>
    <row r="65" spans="1:31" x14ac:dyDescent="0.25">
      <c r="A65" t="str">
        <f>$A$9</f>
        <v>Professional occupations</v>
      </c>
      <c r="B65" s="27">
        <f t="shared" si="77"/>
        <v>11.346268904764415</v>
      </c>
      <c r="C65" s="27">
        <f t="shared" si="77"/>
        <v>4.3236761746944126</v>
      </c>
      <c r="D65" s="27">
        <f t="shared" si="77"/>
        <v>7.9925078870434021</v>
      </c>
      <c r="E65" s="27">
        <f t="shared" si="77"/>
        <v>12.307642558680783</v>
      </c>
      <c r="F65" s="27">
        <f t="shared" ref="F65:F72" si="86">F9-D9</f>
        <v>20.300150445724185</v>
      </c>
      <c r="L65" t="str">
        <f>$A$9</f>
        <v>Professional occupations</v>
      </c>
      <c r="M65" s="27">
        <f t="shared" si="78"/>
        <v>3.9261602850740616</v>
      </c>
      <c r="N65" s="27">
        <f t="shared" si="79"/>
        <v>2.4599752797896315</v>
      </c>
      <c r="O65" s="27">
        <f t="shared" si="80"/>
        <v>3.1329660613870018</v>
      </c>
      <c r="P65" s="27">
        <f t="shared" si="81"/>
        <v>4.2048178463029515</v>
      </c>
      <c r="Q65" s="27">
        <f t="shared" ref="Q65:Q72" si="87">Q9-O9</f>
        <v>7.3377839076899534</v>
      </c>
      <c r="W65" t="str">
        <f>$A$9</f>
        <v>Professional occupations</v>
      </c>
      <c r="X65" s="27">
        <f t="shared" si="82"/>
        <v>7.4201086196904953</v>
      </c>
      <c r="Y65" s="27">
        <f t="shared" si="83"/>
        <v>1.8637008949047456</v>
      </c>
      <c r="Z65" s="27">
        <f t="shared" si="84"/>
        <v>4.8595418256563647</v>
      </c>
      <c r="AA65" s="27">
        <f t="shared" si="85"/>
        <v>8.1028247123778172</v>
      </c>
      <c r="AB65" s="27">
        <f t="shared" ref="AB65:AB72" si="88">AB9-Z9</f>
        <v>12.962366538034182</v>
      </c>
    </row>
    <row r="66" spans="1:31" x14ac:dyDescent="0.25">
      <c r="A66" t="str">
        <f>$A$10</f>
        <v>Associate professional occupations</v>
      </c>
      <c r="B66" s="27">
        <f t="shared" si="77"/>
        <v>2.5889966680571774</v>
      </c>
      <c r="C66" s="27">
        <f t="shared" si="77"/>
        <v>2.1541810981989045</v>
      </c>
      <c r="D66" s="27">
        <f t="shared" si="77"/>
        <v>-1.6256660343568328</v>
      </c>
      <c r="E66" s="27">
        <f t="shared" si="77"/>
        <v>4.4689759511989919</v>
      </c>
      <c r="F66" s="27">
        <f t="shared" si="86"/>
        <v>2.8433099168421592</v>
      </c>
      <c r="L66" t="str">
        <f>$A$10</f>
        <v>Associate professional occupations</v>
      </c>
      <c r="M66" s="27">
        <f t="shared" si="78"/>
        <v>0.19246555130101939</v>
      </c>
      <c r="N66" s="27">
        <f t="shared" si="79"/>
        <v>1.2085088250750999</v>
      </c>
      <c r="O66" s="27">
        <f t="shared" si="80"/>
        <v>-2.2557613577225659</v>
      </c>
      <c r="P66" s="27">
        <f t="shared" si="81"/>
        <v>0.69418027224107703</v>
      </c>
      <c r="Q66" s="27">
        <f t="shared" si="87"/>
        <v>-1.5615810854814889</v>
      </c>
      <c r="W66" t="str">
        <f>$A$10</f>
        <v>Associate professional occupations</v>
      </c>
      <c r="X66" s="27">
        <f t="shared" si="82"/>
        <v>2.3965311167561794</v>
      </c>
      <c r="Y66" s="27">
        <f t="shared" si="83"/>
        <v>0.9456722731237619</v>
      </c>
      <c r="Z66" s="27">
        <f t="shared" si="84"/>
        <v>0.63009532336578644</v>
      </c>
      <c r="AA66" s="27">
        <f t="shared" si="85"/>
        <v>3.774795678957922</v>
      </c>
      <c r="AB66" s="27">
        <f t="shared" si="88"/>
        <v>4.4048910023237084</v>
      </c>
    </row>
    <row r="67" spans="1:31" x14ac:dyDescent="0.25">
      <c r="A67" t="str">
        <f>$A$11</f>
        <v>Administrative and secretarial occupations</v>
      </c>
      <c r="B67" s="27">
        <f t="shared" si="77"/>
        <v>-5.4779378206173064</v>
      </c>
      <c r="C67" s="27">
        <f t="shared" si="77"/>
        <v>1.9459140492691702</v>
      </c>
      <c r="D67" s="27">
        <f t="shared" si="77"/>
        <v>-3.0024080736903755</v>
      </c>
      <c r="E67" s="27">
        <f t="shared" si="77"/>
        <v>-5.4546771362162261</v>
      </c>
      <c r="F67" s="27">
        <f t="shared" si="86"/>
        <v>-8.4570852099066016</v>
      </c>
      <c r="L67" t="str">
        <f>$A$11</f>
        <v>Administrative and secretarial occupations</v>
      </c>
      <c r="M67" s="27">
        <f t="shared" si="78"/>
        <v>-2.2968446377197473</v>
      </c>
      <c r="N67" s="27">
        <f t="shared" si="79"/>
        <v>2.6984469399006699</v>
      </c>
      <c r="O67" s="27">
        <f t="shared" si="80"/>
        <v>-0.32038856613047884</v>
      </c>
      <c r="P67" s="27">
        <f t="shared" si="81"/>
        <v>1.7153008030389962</v>
      </c>
      <c r="Q67" s="27">
        <f t="shared" si="87"/>
        <v>1.3949122369085174</v>
      </c>
      <c r="W67" t="str">
        <f>$A$11</f>
        <v>Administrative and secretarial occupations</v>
      </c>
      <c r="X67" s="27">
        <f t="shared" si="82"/>
        <v>-3.1810931828976692</v>
      </c>
      <c r="Y67" s="27">
        <f t="shared" si="83"/>
        <v>-0.75253289063149253</v>
      </c>
      <c r="Z67" s="27">
        <f t="shared" si="84"/>
        <v>-2.6820195075598718</v>
      </c>
      <c r="AA67" s="27">
        <f t="shared" si="85"/>
        <v>-7.169977939255304</v>
      </c>
      <c r="AB67" s="27">
        <f t="shared" si="88"/>
        <v>-9.8519974468151759</v>
      </c>
    </row>
    <row r="68" spans="1:31" x14ac:dyDescent="0.25">
      <c r="A68" t="str">
        <f>$A$12</f>
        <v>Skilled trades occupations</v>
      </c>
      <c r="B68" s="27">
        <f t="shared" si="77"/>
        <v>0.63716290273829657</v>
      </c>
      <c r="C68" s="27">
        <f t="shared" si="77"/>
        <v>-9.6292600271178372</v>
      </c>
      <c r="D68" s="27">
        <f t="shared" si="77"/>
        <v>-0.84501979230404345</v>
      </c>
      <c r="E68" s="27">
        <f t="shared" si="77"/>
        <v>-4.0598761615294663</v>
      </c>
      <c r="F68" s="27">
        <f t="shared" si="86"/>
        <v>-4.9048959538335097</v>
      </c>
      <c r="L68" t="str">
        <f>$A$12</f>
        <v>Skilled trades occupations</v>
      </c>
      <c r="M68" s="27">
        <f t="shared" si="78"/>
        <v>0.85316555516028814</v>
      </c>
      <c r="N68" s="27">
        <f t="shared" si="79"/>
        <v>-9.9957849207567477</v>
      </c>
      <c r="O68" s="27">
        <f t="shared" si="80"/>
        <v>-1.3650314985277063</v>
      </c>
      <c r="P68" s="27">
        <f t="shared" si="81"/>
        <v>-4.3403218843653661</v>
      </c>
      <c r="Q68" s="27">
        <f t="shared" si="87"/>
        <v>-5.7053533828930725</v>
      </c>
      <c r="W68" t="str">
        <f>$A$12</f>
        <v>Skilled trades occupations</v>
      </c>
      <c r="X68" s="27">
        <f t="shared" si="82"/>
        <v>-0.21600265242193206</v>
      </c>
      <c r="Y68" s="27">
        <f t="shared" si="83"/>
        <v>0.36652489363888385</v>
      </c>
      <c r="Z68" s="27">
        <f t="shared" si="84"/>
        <v>0.52001170622366022</v>
      </c>
      <c r="AA68" s="27">
        <f t="shared" si="85"/>
        <v>0.28044572283589808</v>
      </c>
      <c r="AB68" s="27">
        <f t="shared" si="88"/>
        <v>0.8004574290595583</v>
      </c>
    </row>
    <row r="69" spans="1:31" x14ac:dyDescent="0.25">
      <c r="A69" t="str">
        <f>$A$13</f>
        <v>Caring, leisure and other service occupations</v>
      </c>
      <c r="B69" s="27">
        <f t="shared" si="77"/>
        <v>0.97951788275139506</v>
      </c>
      <c r="C69" s="27">
        <f t="shared" si="77"/>
        <v>-2.0470670652282621</v>
      </c>
      <c r="D69" s="27">
        <f t="shared" si="77"/>
        <v>3.6427021564212652</v>
      </c>
      <c r="E69" s="27">
        <f t="shared" si="77"/>
        <v>4.6097845052998352</v>
      </c>
      <c r="F69" s="27">
        <f t="shared" si="86"/>
        <v>8.2524866617211003</v>
      </c>
      <c r="L69" t="str">
        <f>$A$13</f>
        <v>Caring, leisure and other service occupations</v>
      </c>
      <c r="M69" s="27">
        <f t="shared" si="78"/>
        <v>-9.7344312518429454E-2</v>
      </c>
      <c r="N69" s="27">
        <f t="shared" si="79"/>
        <v>-0.18792036511826193</v>
      </c>
      <c r="O69" s="27">
        <f t="shared" si="80"/>
        <v>0.93777377067582623</v>
      </c>
      <c r="P69" s="27">
        <f t="shared" si="81"/>
        <v>0.9263913966923969</v>
      </c>
      <c r="Q69" s="27">
        <f t="shared" si="87"/>
        <v>1.8641651673682231</v>
      </c>
      <c r="W69" t="str">
        <f>$A$13</f>
        <v>Caring, leisure and other service occupations</v>
      </c>
      <c r="X69" s="27">
        <f t="shared" si="82"/>
        <v>1.0768621952698396</v>
      </c>
      <c r="Y69" s="27">
        <f t="shared" si="83"/>
        <v>-1.8591467001100312</v>
      </c>
      <c r="Z69" s="27">
        <f t="shared" si="84"/>
        <v>2.7049283857454469</v>
      </c>
      <c r="AA69" s="27">
        <f t="shared" si="85"/>
        <v>3.6833931086074614</v>
      </c>
      <c r="AB69" s="27">
        <f t="shared" si="88"/>
        <v>6.3883214943529083</v>
      </c>
    </row>
    <row r="70" spans="1:31" x14ac:dyDescent="0.25">
      <c r="A70" t="str">
        <f>$A$14</f>
        <v>Sales and customer service occupations</v>
      </c>
      <c r="B70" s="27">
        <f t="shared" si="77"/>
        <v>-3.7282336102032474</v>
      </c>
      <c r="C70" s="27">
        <f t="shared" si="77"/>
        <v>-0.2746186446575507</v>
      </c>
      <c r="D70" s="27">
        <f t="shared" si="77"/>
        <v>0.20355970214721708</v>
      </c>
      <c r="E70" s="27">
        <f t="shared" si="77"/>
        <v>-0.1023155310083439</v>
      </c>
      <c r="F70" s="27">
        <f t="shared" si="86"/>
        <v>0.10124417113887318</v>
      </c>
      <c r="L70" t="str">
        <f>$A$14</f>
        <v>Sales and customer service occupations</v>
      </c>
      <c r="M70" s="27">
        <f t="shared" si="78"/>
        <v>-1.4316458000776429</v>
      </c>
      <c r="N70" s="27">
        <f t="shared" si="79"/>
        <v>0.4037625963590834</v>
      </c>
      <c r="O70" s="27">
        <f t="shared" si="80"/>
        <v>0.62405388601380096</v>
      </c>
      <c r="P70" s="27">
        <f t="shared" si="81"/>
        <v>0.29474256084715478</v>
      </c>
      <c r="Q70" s="27">
        <f t="shared" si="87"/>
        <v>0.91879644686095574</v>
      </c>
      <c r="W70" t="str">
        <f>$A$14</f>
        <v>Sales and customer service occupations</v>
      </c>
      <c r="X70" s="27">
        <f t="shared" si="82"/>
        <v>-2.2965878101256401</v>
      </c>
      <c r="Y70" s="27">
        <f t="shared" si="83"/>
        <v>-0.67838124101664476</v>
      </c>
      <c r="Z70" s="27">
        <f t="shared" si="84"/>
        <v>-0.42049418386656612</v>
      </c>
      <c r="AA70" s="27">
        <f t="shared" si="85"/>
        <v>-0.39705809185548802</v>
      </c>
      <c r="AB70" s="27">
        <f t="shared" si="88"/>
        <v>-0.81755227572205413</v>
      </c>
    </row>
    <row r="71" spans="1:31" x14ac:dyDescent="0.25">
      <c r="A71" t="str">
        <f>$A$15</f>
        <v>Process, plant and machine operatives</v>
      </c>
      <c r="B71" s="27">
        <f t="shared" si="77"/>
        <v>-0.56821521408121356</v>
      </c>
      <c r="C71" s="27">
        <f t="shared" si="77"/>
        <v>-6.3047135464143622</v>
      </c>
      <c r="D71" s="27">
        <f t="shared" si="77"/>
        <v>5.5222437849245409</v>
      </c>
      <c r="E71" s="27">
        <f t="shared" si="77"/>
        <v>-0.32307820876781079</v>
      </c>
      <c r="F71" s="27">
        <f t="shared" si="86"/>
        <v>5.1991655761567301</v>
      </c>
      <c r="L71" t="str">
        <f>$A$15</f>
        <v>Process, plant and machine operatives</v>
      </c>
      <c r="M71" s="27">
        <f t="shared" si="78"/>
        <v>-0.84320950374982573</v>
      </c>
      <c r="N71" s="27">
        <f t="shared" si="79"/>
        <v>-5.4866849294268647</v>
      </c>
      <c r="O71" s="27">
        <f t="shared" si="80"/>
        <v>3.9332203342881797</v>
      </c>
      <c r="P71" s="27">
        <f t="shared" si="81"/>
        <v>-0.7040206164347893</v>
      </c>
      <c r="Q71" s="27">
        <f t="shared" si="87"/>
        <v>3.2291997178533904</v>
      </c>
      <c r="W71" t="str">
        <f>$A$15</f>
        <v>Process, plant and machine operatives</v>
      </c>
      <c r="X71" s="27">
        <f t="shared" si="82"/>
        <v>0.27499428966864059</v>
      </c>
      <c r="Y71" s="27">
        <f t="shared" si="83"/>
        <v>-0.81802861698756946</v>
      </c>
      <c r="Z71" s="27">
        <f t="shared" si="84"/>
        <v>1.5890234506363692</v>
      </c>
      <c r="AA71" s="27">
        <f t="shared" si="85"/>
        <v>0.38094240766698917</v>
      </c>
      <c r="AB71" s="27">
        <f t="shared" si="88"/>
        <v>1.9699658583033584</v>
      </c>
    </row>
    <row r="72" spans="1:31" x14ac:dyDescent="0.25">
      <c r="A72" t="str">
        <f>$A$16</f>
        <v>Elementary occupations</v>
      </c>
      <c r="B72" s="27">
        <f t="shared" si="77"/>
        <v>-5.360987106986812</v>
      </c>
      <c r="C72" s="27">
        <f t="shared" si="77"/>
        <v>-5.2221973008511426</v>
      </c>
      <c r="D72" s="27">
        <f t="shared" si="77"/>
        <v>-0.91653372591594007</v>
      </c>
      <c r="E72" s="27">
        <f t="shared" si="77"/>
        <v>-3.3454989096488035</v>
      </c>
      <c r="F72" s="27">
        <f t="shared" si="86"/>
        <v>-4.2620326355647435</v>
      </c>
      <c r="L72" t="str">
        <f>$A$16</f>
        <v>Elementary occupations</v>
      </c>
      <c r="M72" s="27">
        <f t="shared" si="78"/>
        <v>-4.8878962418043521</v>
      </c>
      <c r="N72" s="27">
        <f t="shared" si="79"/>
        <v>-1.7963093696052113</v>
      </c>
      <c r="O72" s="27">
        <f t="shared" si="80"/>
        <v>0.22357132244450995</v>
      </c>
      <c r="P72" s="27">
        <f t="shared" si="81"/>
        <v>-1.6772249079606603</v>
      </c>
      <c r="Q72" s="27">
        <f t="shared" si="87"/>
        <v>-1.4536535855161503</v>
      </c>
      <c r="W72" t="str">
        <f>$A$16</f>
        <v>Elementary occupations</v>
      </c>
      <c r="X72" s="27">
        <f t="shared" si="82"/>
        <v>-0.47309086518243504</v>
      </c>
      <c r="Y72" s="27">
        <f t="shared" si="83"/>
        <v>-3.4258879312459598</v>
      </c>
      <c r="Z72" s="27">
        <f t="shared" si="84"/>
        <v>-1.140105048360418</v>
      </c>
      <c r="AA72" s="27">
        <f t="shared" si="85"/>
        <v>-1.6682740016881112</v>
      </c>
      <c r="AB72" s="27">
        <f t="shared" si="88"/>
        <v>-2.8083790500485293</v>
      </c>
    </row>
    <row r="73" spans="1:31" x14ac:dyDescent="0.25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5">
      <c r="A74" s="24" t="str">
        <f>$A$18</f>
        <v>All occupations</v>
      </c>
      <c r="B74" s="29">
        <f>C18-B18</f>
        <v>4.3689999999995734</v>
      </c>
      <c r="C74" s="29">
        <f t="shared" ref="C74" si="89">D18-C18</f>
        <v>-13.736999999999568</v>
      </c>
      <c r="D74" s="29">
        <f>E18-D18</f>
        <v>11.933999999999628</v>
      </c>
      <c r="E74" s="29">
        <f>F18-E18</f>
        <v>13.816000000000088</v>
      </c>
      <c r="F74" s="29">
        <f>F18-D18</f>
        <v>25.749999999999716</v>
      </c>
      <c r="L74" s="24" t="str">
        <f>$A$18</f>
        <v>All occupations</v>
      </c>
      <c r="M74" s="29">
        <f>N18-M18</f>
        <v>-2.5712700791645489</v>
      </c>
      <c r="N74" s="29">
        <f t="shared" ref="N74" si="90">O18-N18</f>
        <v>-10.802327991900313</v>
      </c>
      <c r="O74" s="29">
        <f>P18-O18</f>
        <v>4.7755620650314654</v>
      </c>
      <c r="P74" s="29">
        <f>Q18-P18</f>
        <v>3.5695015380568407</v>
      </c>
      <c r="Q74" s="29">
        <f>Q18-O18</f>
        <v>8.3450636030883061</v>
      </c>
      <c r="W74" s="24" t="str">
        <f>$A$18</f>
        <v>All occupations</v>
      </c>
      <c r="X74" s="29">
        <f>Y18-X18</f>
        <v>6.9402700791643497</v>
      </c>
      <c r="Y74" s="29">
        <f t="shared" ref="Y74" si="91">Z18-Y18</f>
        <v>-2.9346720080995681</v>
      </c>
      <c r="Z74" s="29">
        <f>AA18-Z18</f>
        <v>7.158437934968191</v>
      </c>
      <c r="AA74" s="29">
        <f>AB18-AA18</f>
        <v>10.246498461943219</v>
      </c>
      <c r="AB74" s="29">
        <f>AB18-Z18</f>
        <v>17.40493639691141</v>
      </c>
    </row>
    <row r="78" spans="1:31" ht="13" x14ac:dyDescent="0.3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ht="13" x14ac:dyDescent="0.3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42.392720616000339</v>
      </c>
      <c r="C80" s="11">
        <f t="shared" si="92"/>
        <v>46.345148009577279</v>
      </c>
      <c r="D80" s="11">
        <f t="shared" si="92"/>
        <v>47.662233271684329</v>
      </c>
      <c r="E80" s="11">
        <f t="shared" si="92"/>
        <v>48.624847367414716</v>
      </c>
      <c r="F80" s="11">
        <f t="shared" si="92"/>
        <v>54.339890299405795</v>
      </c>
      <c r="H80" s="40">
        <f>IF(D$6-B$6 &lt;&gt; 0,(EXP(LN(D8/B8)/(D$6-B$6))-1)*100,0)</f>
        <v>2.3709231839532441</v>
      </c>
      <c r="I80" s="40">
        <f t="shared" ref="I80:I88" si="93">F46</f>
        <v>0.87796003337696771</v>
      </c>
      <c r="L80" t="str">
        <f t="shared" ref="L80:Q88" si="94">L8</f>
        <v>Managers, directors and senior officials</v>
      </c>
      <c r="M80" s="11">
        <f t="shared" si="94"/>
        <v>29.034224818589166</v>
      </c>
      <c r="N80" s="11">
        <f t="shared" si="94"/>
        <v>31.048103843759243</v>
      </c>
      <c r="O80" s="11">
        <f t="shared" si="94"/>
        <v>30.941781795641511</v>
      </c>
      <c r="P80" s="11">
        <f t="shared" si="94"/>
        <v>30.806939908244424</v>
      </c>
      <c r="Q80" s="11">
        <f t="shared" si="94"/>
        <v>33.262575975939527</v>
      </c>
      <c r="S80" s="40">
        <f t="shared" ref="S80:S88" si="95">IF(O$6-M$6 &lt;&gt; 0,(EXP(LN(O8/M8)/(O$6-M$6))-1)*100,0)</f>
        <v>1.2807751979122095</v>
      </c>
      <c r="T80" s="40">
        <f t="shared" ref="T80:T88" si="96">Q46</f>
        <v>0.48333423110082929</v>
      </c>
      <c r="W80" t="str">
        <f t="shared" ref="W80:AB88" si="97">W8</f>
        <v>Managers, directors and senior officials</v>
      </c>
      <c r="X80" s="11">
        <f t="shared" si="97"/>
        <v>13.358495797411184</v>
      </c>
      <c r="Y80" s="11">
        <f t="shared" si="97"/>
        <v>15.297044165818036</v>
      </c>
      <c r="Z80" s="11">
        <f t="shared" si="97"/>
        <v>16.720451476042815</v>
      </c>
      <c r="AA80" s="11">
        <f t="shared" si="97"/>
        <v>17.817907459170236</v>
      </c>
      <c r="AB80" s="11">
        <f t="shared" si="97"/>
        <v>21.077314323466247</v>
      </c>
      <c r="AD80" s="40">
        <f t="shared" ref="AD80:AD88" si="98">IF(Z$6-X$6 &lt;&gt; 0,(EXP(LN(Z8/X8)/(Z$6-X$6))-1)*100,0)</f>
        <v>4.5919086552573596</v>
      </c>
      <c r="AE80" s="40">
        <f t="shared" ref="AE80:AE88" si="99">AB46</f>
        <v>1.5557422835655643</v>
      </c>
    </row>
    <row r="81" spans="1:31" x14ac:dyDescent="0.25">
      <c r="A81" t="str">
        <f t="shared" si="92"/>
        <v>Professional occupations</v>
      </c>
      <c r="B81" s="11">
        <f t="shared" si="92"/>
        <v>87.713907644760397</v>
      </c>
      <c r="C81" s="11">
        <f t="shared" si="92"/>
        <v>99.060176549524812</v>
      </c>
      <c r="D81" s="11">
        <f t="shared" si="92"/>
        <v>103.38385272421922</v>
      </c>
      <c r="E81" s="11">
        <f t="shared" si="92"/>
        <v>111.37636061126263</v>
      </c>
      <c r="F81" s="11">
        <f t="shared" si="92"/>
        <v>123.68400316994341</v>
      </c>
      <c r="H81" s="40">
        <f t="shared" ref="H81:H88" si="100">IF(D$6-B$6 &lt;&gt; 0,(EXP(LN(D9/B9)/(D$6-B$6))-1)*100,0)</f>
        <v>3.341997239909289</v>
      </c>
      <c r="I81" s="40">
        <f t="shared" si="93"/>
        <v>1.2023789149196329</v>
      </c>
      <c r="L81" t="str">
        <f t="shared" si="94"/>
        <v>Professional occupations</v>
      </c>
      <c r="M81" s="11">
        <f t="shared" si="94"/>
        <v>45.534461167396969</v>
      </c>
      <c r="N81" s="11">
        <f t="shared" si="94"/>
        <v>49.460621452471031</v>
      </c>
      <c r="O81" s="11">
        <f t="shared" si="94"/>
        <v>51.920596732260663</v>
      </c>
      <c r="P81" s="11">
        <f t="shared" si="94"/>
        <v>55.053562793647664</v>
      </c>
      <c r="Q81" s="11">
        <f t="shared" si="94"/>
        <v>59.258380639950616</v>
      </c>
      <c r="S81" s="40">
        <f t="shared" si="95"/>
        <v>2.6596772853948902</v>
      </c>
      <c r="T81" s="40">
        <f t="shared" si="96"/>
        <v>0.88517234940679312</v>
      </c>
      <c r="W81" t="str">
        <f t="shared" si="97"/>
        <v>Professional occupations</v>
      </c>
      <c r="X81" s="11">
        <f t="shared" si="97"/>
        <v>42.179446477363356</v>
      </c>
      <c r="Y81" s="11">
        <f t="shared" si="97"/>
        <v>49.599555097053852</v>
      </c>
      <c r="Z81" s="11">
        <f t="shared" si="97"/>
        <v>51.463255991958597</v>
      </c>
      <c r="AA81" s="11">
        <f t="shared" si="97"/>
        <v>56.322797817614962</v>
      </c>
      <c r="AB81" s="11">
        <f t="shared" si="97"/>
        <v>64.425622529992779</v>
      </c>
      <c r="AD81" s="40">
        <f t="shared" si="98"/>
        <v>4.0589110318464128</v>
      </c>
      <c r="AE81" s="40">
        <f t="shared" si="99"/>
        <v>1.5088928370861732</v>
      </c>
    </row>
    <row r="82" spans="1:31" x14ac:dyDescent="0.25">
      <c r="A82" t="str">
        <f t="shared" si="92"/>
        <v>Associate professional occupations</v>
      </c>
      <c r="B82" s="11">
        <f t="shared" si="92"/>
        <v>56.127385363836453</v>
      </c>
      <c r="C82" s="11">
        <f t="shared" si="92"/>
        <v>58.71638203189363</v>
      </c>
      <c r="D82" s="11">
        <f t="shared" si="92"/>
        <v>60.870563130092535</v>
      </c>
      <c r="E82" s="11">
        <f t="shared" si="92"/>
        <v>59.244897095735702</v>
      </c>
      <c r="F82" s="11">
        <f t="shared" si="92"/>
        <v>63.713873046934694</v>
      </c>
      <c r="H82" s="40">
        <f t="shared" si="100"/>
        <v>1.6357512405575259</v>
      </c>
      <c r="I82" s="40">
        <f t="shared" si="93"/>
        <v>0.30481449939876448</v>
      </c>
      <c r="L82" t="str">
        <f t="shared" si="94"/>
        <v>Associate professional occupations</v>
      </c>
      <c r="M82" s="11">
        <f t="shared" si="94"/>
        <v>31.445207367233628</v>
      </c>
      <c r="N82" s="11">
        <f t="shared" si="94"/>
        <v>31.637672918534648</v>
      </c>
      <c r="O82" s="11">
        <f t="shared" si="94"/>
        <v>32.846181743609748</v>
      </c>
      <c r="P82" s="11">
        <f t="shared" si="94"/>
        <v>30.590420385887182</v>
      </c>
      <c r="Q82" s="11">
        <f t="shared" si="94"/>
        <v>31.284600658128259</v>
      </c>
      <c r="S82" s="40">
        <f t="shared" si="95"/>
        <v>0.87558950551422932</v>
      </c>
      <c r="T82" s="40">
        <f t="shared" si="96"/>
        <v>-0.32420345779888837</v>
      </c>
      <c r="W82" t="str">
        <f t="shared" si="97"/>
        <v>Associate professional occupations</v>
      </c>
      <c r="X82" s="11">
        <f t="shared" si="97"/>
        <v>24.682177996602796</v>
      </c>
      <c r="Y82" s="11">
        <f t="shared" si="97"/>
        <v>27.078709113358975</v>
      </c>
      <c r="Z82" s="11">
        <f t="shared" si="97"/>
        <v>28.024381386482737</v>
      </c>
      <c r="AA82" s="11">
        <f t="shared" si="97"/>
        <v>28.654476709848524</v>
      </c>
      <c r="AB82" s="11">
        <f t="shared" si="97"/>
        <v>32.429272388806446</v>
      </c>
      <c r="AD82" s="40">
        <f t="shared" si="98"/>
        <v>2.5723985008508699</v>
      </c>
      <c r="AE82" s="40">
        <f t="shared" si="99"/>
        <v>0.97799534462712501</v>
      </c>
    </row>
    <row r="83" spans="1:31" x14ac:dyDescent="0.25">
      <c r="A83" t="str">
        <f t="shared" si="92"/>
        <v>Administrative and secretarial occupations</v>
      </c>
      <c r="B83" s="11">
        <f t="shared" si="92"/>
        <v>60.137952735863834</v>
      </c>
      <c r="C83" s="11">
        <f t="shared" si="92"/>
        <v>54.660014915246528</v>
      </c>
      <c r="D83" s="11">
        <f t="shared" si="92"/>
        <v>56.605928964515698</v>
      </c>
      <c r="E83" s="11">
        <f t="shared" si="92"/>
        <v>53.603520890825322</v>
      </c>
      <c r="F83" s="11">
        <f t="shared" si="92"/>
        <v>48.148843754609096</v>
      </c>
      <c r="H83" s="40">
        <f t="shared" si="100"/>
        <v>-1.2032504156469948</v>
      </c>
      <c r="I83" s="40">
        <f t="shared" si="93"/>
        <v>-1.0729794457711606</v>
      </c>
      <c r="L83" t="str">
        <f t="shared" si="94"/>
        <v>Administrative and secretarial occupations</v>
      </c>
      <c r="M83" s="11">
        <f t="shared" si="94"/>
        <v>16.597948530106507</v>
      </c>
      <c r="N83" s="11">
        <f t="shared" si="94"/>
        <v>14.301103892386759</v>
      </c>
      <c r="O83" s="11">
        <f t="shared" si="94"/>
        <v>16.999550832287429</v>
      </c>
      <c r="P83" s="11">
        <f t="shared" si="94"/>
        <v>16.679162266156951</v>
      </c>
      <c r="Q83" s="11">
        <f t="shared" si="94"/>
        <v>18.394463069195947</v>
      </c>
      <c r="S83" s="40">
        <f t="shared" si="95"/>
        <v>0.47930132914135726</v>
      </c>
      <c r="T83" s="40">
        <f t="shared" si="96"/>
        <v>0.52713634763998929</v>
      </c>
      <c r="W83" t="str">
        <f t="shared" si="97"/>
        <v>Administrative and secretarial occupations</v>
      </c>
      <c r="X83" s="11">
        <f t="shared" si="97"/>
        <v>43.54000420575742</v>
      </c>
      <c r="Y83" s="11">
        <f t="shared" si="97"/>
        <v>40.358911022859751</v>
      </c>
      <c r="Z83" s="11">
        <f t="shared" si="97"/>
        <v>39.606378132228258</v>
      </c>
      <c r="AA83" s="11">
        <f t="shared" si="97"/>
        <v>36.924358624668386</v>
      </c>
      <c r="AB83" s="11">
        <f t="shared" si="97"/>
        <v>29.754380685413082</v>
      </c>
      <c r="AD83" s="40">
        <f t="shared" si="98"/>
        <v>-1.875979944712447</v>
      </c>
      <c r="AE83" s="40">
        <f t="shared" si="99"/>
        <v>-1.888695003806462</v>
      </c>
    </row>
    <row r="84" spans="1:31" x14ac:dyDescent="0.25">
      <c r="A84" t="str">
        <f t="shared" si="92"/>
        <v>Skilled trades occupations</v>
      </c>
      <c r="B84" s="11">
        <f t="shared" si="92"/>
        <v>61.298727794930358</v>
      </c>
      <c r="C84" s="11">
        <f t="shared" si="92"/>
        <v>61.935890697668654</v>
      </c>
      <c r="D84" s="11">
        <f t="shared" si="92"/>
        <v>52.306630670550817</v>
      </c>
      <c r="E84" s="11">
        <f t="shared" si="92"/>
        <v>51.461610878246773</v>
      </c>
      <c r="F84" s="11">
        <f t="shared" si="92"/>
        <v>47.401734716717307</v>
      </c>
      <c r="H84" s="40">
        <f t="shared" si="100"/>
        <v>-3.1229162525711396</v>
      </c>
      <c r="I84" s="40">
        <f t="shared" si="93"/>
        <v>-0.65427900649316362</v>
      </c>
      <c r="L84" t="str">
        <f t="shared" si="94"/>
        <v>Skilled trades occupations</v>
      </c>
      <c r="M84" s="11">
        <f t="shared" si="94"/>
        <v>56.754509224207411</v>
      </c>
      <c r="N84" s="11">
        <f t="shared" si="94"/>
        <v>57.607674779367699</v>
      </c>
      <c r="O84" s="11">
        <f t="shared" si="94"/>
        <v>47.611889858610951</v>
      </c>
      <c r="P84" s="11">
        <f t="shared" si="94"/>
        <v>46.246858360083245</v>
      </c>
      <c r="Q84" s="11">
        <f t="shared" si="94"/>
        <v>41.906536475717878</v>
      </c>
      <c r="S84" s="40">
        <f t="shared" si="95"/>
        <v>-3.4520605160761275</v>
      </c>
      <c r="T84" s="40">
        <f t="shared" si="96"/>
        <v>-0.84732777292845229</v>
      </c>
      <c r="W84" t="str">
        <f t="shared" si="97"/>
        <v>Skilled trades occupations</v>
      </c>
      <c r="X84" s="11">
        <f t="shared" si="97"/>
        <v>4.5442185707229328</v>
      </c>
      <c r="Y84" s="11">
        <f t="shared" si="97"/>
        <v>4.3282159183010007</v>
      </c>
      <c r="Z84" s="11">
        <f t="shared" si="97"/>
        <v>4.6947408119398846</v>
      </c>
      <c r="AA84" s="11">
        <f t="shared" si="97"/>
        <v>5.2147525181635448</v>
      </c>
      <c r="AB84" s="11">
        <f t="shared" si="97"/>
        <v>5.4951982409994429</v>
      </c>
      <c r="AD84" s="40">
        <f t="shared" si="98"/>
        <v>0.65387095889233304</v>
      </c>
      <c r="AE84" s="40">
        <f t="shared" si="99"/>
        <v>1.0550720954820125</v>
      </c>
    </row>
    <row r="85" spans="1:31" x14ac:dyDescent="0.25">
      <c r="A85" t="str">
        <f t="shared" si="92"/>
        <v>Caring, leisure and other service occupations</v>
      </c>
      <c r="B85" s="11">
        <f t="shared" si="92"/>
        <v>50.478192628686529</v>
      </c>
      <c r="C85" s="11">
        <f t="shared" si="92"/>
        <v>51.457710511437924</v>
      </c>
      <c r="D85" s="11">
        <f t="shared" si="92"/>
        <v>49.410643446209662</v>
      </c>
      <c r="E85" s="11">
        <f t="shared" si="92"/>
        <v>53.053345602630927</v>
      </c>
      <c r="F85" s="11">
        <f t="shared" si="92"/>
        <v>57.663130107930762</v>
      </c>
      <c r="H85" s="40">
        <f t="shared" si="100"/>
        <v>-0.42659864220010446</v>
      </c>
      <c r="I85" s="40">
        <f t="shared" si="93"/>
        <v>1.0350002614567977</v>
      </c>
      <c r="L85" t="str">
        <f t="shared" si="94"/>
        <v>Caring, leisure and other service occupations</v>
      </c>
      <c r="M85" s="11">
        <f t="shared" si="94"/>
        <v>7.6489928676305317</v>
      </c>
      <c r="N85" s="11">
        <f t="shared" si="94"/>
        <v>7.5516485551121022</v>
      </c>
      <c r="O85" s="11">
        <f t="shared" si="94"/>
        <v>7.3637281899938403</v>
      </c>
      <c r="P85" s="11">
        <f t="shared" si="94"/>
        <v>8.3015019606696665</v>
      </c>
      <c r="Q85" s="11">
        <f t="shared" si="94"/>
        <v>9.2278933573620634</v>
      </c>
      <c r="S85" s="40">
        <f t="shared" si="95"/>
        <v>-0.75727086280557021</v>
      </c>
      <c r="T85" s="40">
        <f t="shared" si="96"/>
        <v>1.515803050383302</v>
      </c>
      <c r="W85" t="str">
        <f t="shared" si="97"/>
        <v>Caring, leisure and other service occupations</v>
      </c>
      <c r="X85" s="11">
        <f t="shared" si="97"/>
        <v>42.829199761056003</v>
      </c>
      <c r="Y85" s="11">
        <f t="shared" si="97"/>
        <v>43.906061956325843</v>
      </c>
      <c r="Z85" s="11">
        <f t="shared" si="97"/>
        <v>42.046915256215811</v>
      </c>
      <c r="AA85" s="11">
        <f t="shared" si="97"/>
        <v>44.751843641961258</v>
      </c>
      <c r="AB85" s="11">
        <f t="shared" si="97"/>
        <v>48.43523675056872</v>
      </c>
      <c r="AD85" s="40">
        <f>IF(Z$6-X$6 &lt;&gt; 0,(EXP(LN(Z13/X13)/(Z$6-X$6))-1)*100,0)</f>
        <v>-0.36800285561082724</v>
      </c>
      <c r="AE85" s="40">
        <f t="shared" si="99"/>
        <v>0.94740342799106703</v>
      </c>
    </row>
    <row r="86" spans="1:31" x14ac:dyDescent="0.25">
      <c r="A86" t="str">
        <f t="shared" si="92"/>
        <v>Sales and customer service occupations</v>
      </c>
      <c r="B86" s="11">
        <f t="shared" si="92"/>
        <v>43.312490842090227</v>
      </c>
      <c r="C86" s="11">
        <f t="shared" si="92"/>
        <v>39.58425723188698</v>
      </c>
      <c r="D86" s="11">
        <f t="shared" si="92"/>
        <v>39.309638587229429</v>
      </c>
      <c r="E86" s="11">
        <f t="shared" si="92"/>
        <v>39.513198289376646</v>
      </c>
      <c r="F86" s="11">
        <f t="shared" si="92"/>
        <v>39.410882758368302</v>
      </c>
      <c r="H86" s="40">
        <f t="shared" si="100"/>
        <v>-1.9207405214853979</v>
      </c>
      <c r="I86" s="40">
        <f t="shared" si="93"/>
        <v>1.7149769261126657E-2</v>
      </c>
      <c r="L86" t="str">
        <f t="shared" si="94"/>
        <v>Sales and customer service occupations</v>
      </c>
      <c r="M86" s="11">
        <f t="shared" si="94"/>
        <v>17.699134073339788</v>
      </c>
      <c r="N86" s="11">
        <f t="shared" si="94"/>
        <v>16.267488273262146</v>
      </c>
      <c r="O86" s="11">
        <f t="shared" si="94"/>
        <v>16.671250869621229</v>
      </c>
      <c r="P86" s="11">
        <f t="shared" si="94"/>
        <v>17.29530475563503</v>
      </c>
      <c r="Q86" s="11">
        <f t="shared" si="94"/>
        <v>17.590047316482185</v>
      </c>
      <c r="S86" s="40">
        <f t="shared" si="95"/>
        <v>-1.1894689135841574</v>
      </c>
      <c r="T86" s="40">
        <f t="shared" si="96"/>
        <v>0.35829044847501823</v>
      </c>
      <c r="W86" t="str">
        <f t="shared" si="97"/>
        <v>Sales and customer service occupations</v>
      </c>
      <c r="X86" s="11">
        <f t="shared" si="97"/>
        <v>25.61335676875046</v>
      </c>
      <c r="Y86" s="11">
        <f t="shared" si="97"/>
        <v>23.31676895862482</v>
      </c>
      <c r="Z86" s="11">
        <f t="shared" si="97"/>
        <v>22.638387717608175</v>
      </c>
      <c r="AA86" s="11">
        <f t="shared" si="97"/>
        <v>22.217893533741609</v>
      </c>
      <c r="AB86" s="11">
        <f t="shared" si="97"/>
        <v>21.820835441886121</v>
      </c>
      <c r="AD86" s="40">
        <f t="shared" si="98"/>
        <v>-2.4390997919087498</v>
      </c>
      <c r="AE86" s="40">
        <f t="shared" si="99"/>
        <v>-0.24491139709637011</v>
      </c>
    </row>
    <row r="87" spans="1:31" x14ac:dyDescent="0.25">
      <c r="A87" t="str">
        <f t="shared" si="92"/>
        <v>Process, plant and machine operatives</v>
      </c>
      <c r="B87" s="11">
        <f t="shared" si="92"/>
        <v>47.140684059777136</v>
      </c>
      <c r="C87" s="11">
        <f t="shared" si="92"/>
        <v>46.572468845695923</v>
      </c>
      <c r="D87" s="11">
        <f t="shared" si="92"/>
        <v>40.267755299281561</v>
      </c>
      <c r="E87" s="11">
        <f t="shared" si="92"/>
        <v>45.789999084206102</v>
      </c>
      <c r="F87" s="11">
        <f t="shared" si="92"/>
        <v>45.466920875438291</v>
      </c>
      <c r="H87" s="40">
        <f t="shared" si="100"/>
        <v>-3.1025589234831674</v>
      </c>
      <c r="I87" s="40">
        <f t="shared" si="93"/>
        <v>0.81284590388843725</v>
      </c>
      <c r="L87" t="str">
        <f t="shared" si="94"/>
        <v>Process, plant and machine operatives</v>
      </c>
      <c r="M87" s="11">
        <f t="shared" si="94"/>
        <v>41.541071156937733</v>
      </c>
      <c r="N87" s="11">
        <f t="shared" si="94"/>
        <v>40.697861653187907</v>
      </c>
      <c r="O87" s="11">
        <f t="shared" si="94"/>
        <v>35.211176723761042</v>
      </c>
      <c r="P87" s="11">
        <f t="shared" si="94"/>
        <v>39.144397058049222</v>
      </c>
      <c r="Q87" s="11">
        <f t="shared" si="94"/>
        <v>38.440376441614433</v>
      </c>
      <c r="S87" s="40">
        <f t="shared" si="95"/>
        <v>-3.2523177368027678</v>
      </c>
      <c r="T87" s="40">
        <f t="shared" si="96"/>
        <v>0.58667975916446569</v>
      </c>
      <c r="W87" t="str">
        <f t="shared" si="97"/>
        <v>Process, plant and machine operatives</v>
      </c>
      <c r="X87" s="11">
        <f t="shared" si="97"/>
        <v>5.5996129028394179</v>
      </c>
      <c r="Y87" s="11">
        <f t="shared" si="97"/>
        <v>5.8746071925080585</v>
      </c>
      <c r="Z87" s="11">
        <f t="shared" si="97"/>
        <v>5.0565785755204891</v>
      </c>
      <c r="AA87" s="11">
        <f t="shared" si="97"/>
        <v>6.6456020261568582</v>
      </c>
      <c r="AB87" s="11">
        <f t="shared" si="97"/>
        <v>7.0265444338238474</v>
      </c>
      <c r="AD87" s="40">
        <f t="shared" si="98"/>
        <v>-2.0194775344368643</v>
      </c>
      <c r="AE87" s="40">
        <f t="shared" si="99"/>
        <v>2.2175974852008062</v>
      </c>
    </row>
    <row r="88" spans="1:31" x14ac:dyDescent="0.25">
      <c r="A88" t="str">
        <f t="shared" si="92"/>
        <v>Elementary occupations</v>
      </c>
      <c r="B88" s="11">
        <f t="shared" si="92"/>
        <v>56.959938314054902</v>
      </c>
      <c r="C88" s="11">
        <f t="shared" si="92"/>
        <v>51.59895120706809</v>
      </c>
      <c r="D88" s="11">
        <f t="shared" si="92"/>
        <v>46.376753906216948</v>
      </c>
      <c r="E88" s="11">
        <f t="shared" si="92"/>
        <v>45.460220180301008</v>
      </c>
      <c r="F88" s="11">
        <f t="shared" si="92"/>
        <v>42.114721270652204</v>
      </c>
      <c r="H88" s="40">
        <f t="shared" si="100"/>
        <v>-4.0276415475848264</v>
      </c>
      <c r="I88" s="40">
        <f t="shared" si="93"/>
        <v>-0.64061251803311237</v>
      </c>
      <c r="L88" t="str">
        <f t="shared" si="94"/>
        <v>Elementary occupations</v>
      </c>
      <c r="M88" s="11">
        <f t="shared" si="94"/>
        <v>32.217453269733966</v>
      </c>
      <c r="N88" s="11">
        <f t="shared" si="94"/>
        <v>27.329557027929614</v>
      </c>
      <c r="O88" s="11">
        <f t="shared" si="94"/>
        <v>25.533247658324402</v>
      </c>
      <c r="P88" s="11">
        <f t="shared" si="94"/>
        <v>25.756818980768912</v>
      </c>
      <c r="Q88" s="11">
        <f t="shared" si="94"/>
        <v>24.079594072808252</v>
      </c>
      <c r="S88" s="40">
        <f t="shared" si="95"/>
        <v>-4.544057498547371</v>
      </c>
      <c r="T88" s="40">
        <f t="shared" si="96"/>
        <v>-0.39001525581773278</v>
      </c>
      <c r="W88" t="str">
        <f t="shared" si="97"/>
        <v>Elementary occupations</v>
      </c>
      <c r="X88" s="11">
        <f t="shared" si="97"/>
        <v>24.742485044320908</v>
      </c>
      <c r="Y88" s="11">
        <f t="shared" si="97"/>
        <v>24.269394179138473</v>
      </c>
      <c r="Z88" s="11">
        <f t="shared" si="97"/>
        <v>20.843506247892513</v>
      </c>
      <c r="AA88" s="11">
        <f t="shared" si="97"/>
        <v>19.703401199532095</v>
      </c>
      <c r="AB88" s="11">
        <f t="shared" si="97"/>
        <v>18.035127197843984</v>
      </c>
      <c r="AD88" s="40">
        <f t="shared" si="98"/>
        <v>-3.3714434415424877</v>
      </c>
      <c r="AE88" s="40">
        <f t="shared" si="99"/>
        <v>-0.96016787828799854</v>
      </c>
    </row>
    <row r="89" spans="1:31" x14ac:dyDescent="0.25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5">
      <c r="A90" s="24" t="str">
        <f t="shared" ref="A90:F90" si="101">A18</f>
        <v>All occupations</v>
      </c>
      <c r="B90" s="34">
        <f t="shared" si="101"/>
        <v>505.56200000000024</v>
      </c>
      <c r="C90" s="34">
        <f t="shared" si="101"/>
        <v>509.93099999999981</v>
      </c>
      <c r="D90" s="34">
        <f t="shared" si="101"/>
        <v>496.19400000000024</v>
      </c>
      <c r="E90" s="34">
        <f t="shared" si="101"/>
        <v>508.12799999999987</v>
      </c>
      <c r="F90" s="34">
        <f t="shared" si="101"/>
        <v>521.94399999999996</v>
      </c>
      <c r="H90" s="43">
        <f>IF(D$6-B$6 &lt;&gt; 0,(EXP(LN(D18/B18)/(D$6-B$6))-1)*100,0)</f>
        <v>-0.37337526450476055</v>
      </c>
      <c r="I90" s="43">
        <f>F56</f>
        <v>0.33785827979151417</v>
      </c>
      <c r="L90" s="24" t="str">
        <f t="shared" ref="L90:Q90" si="102">L18</f>
        <v>All occupations</v>
      </c>
      <c r="M90" s="34">
        <f t="shared" si="102"/>
        <v>278.47300247517569</v>
      </c>
      <c r="N90" s="34">
        <f t="shared" si="102"/>
        <v>275.90173239601114</v>
      </c>
      <c r="O90" s="34">
        <f t="shared" si="102"/>
        <v>265.09940440411083</v>
      </c>
      <c r="P90" s="34">
        <f t="shared" si="102"/>
        <v>269.87496646914229</v>
      </c>
      <c r="Q90" s="34">
        <f t="shared" si="102"/>
        <v>273.44446800719913</v>
      </c>
      <c r="S90" s="43">
        <f>IF(O$6-M$6 &lt;&gt; 0,(EXP(LN(O18/M18)/(O$6-M$6))-1)*100,0)</f>
        <v>-0.97949635800507195</v>
      </c>
      <c r="T90" s="43">
        <f>Q56</f>
        <v>0.20683823320757355</v>
      </c>
      <c r="W90" s="24" t="str">
        <f t="shared" ref="W90:AB90" si="103">W18</f>
        <v>All occupations</v>
      </c>
      <c r="X90" s="34">
        <f t="shared" si="103"/>
        <v>227.08899752482449</v>
      </c>
      <c r="Y90" s="34">
        <f t="shared" si="103"/>
        <v>234.02926760398884</v>
      </c>
      <c r="Z90" s="34">
        <f t="shared" si="103"/>
        <v>231.09459559588927</v>
      </c>
      <c r="AA90" s="34">
        <f t="shared" si="103"/>
        <v>238.25303353085746</v>
      </c>
      <c r="AB90" s="34">
        <f t="shared" si="103"/>
        <v>248.49953199280068</v>
      </c>
      <c r="AD90" s="43">
        <f>IF(Z$6-X$6 &lt;&gt; 0,(EXP(LN(Z18/X18)/(Z$6-X$6))-1)*100,0)</f>
        <v>0.35031479731155724</v>
      </c>
      <c r="AE90" s="43">
        <f>AB56</f>
        <v>0.48526582444703426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topLeftCell="A155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Black Country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Black Country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Black Country</v>
      </c>
    </row>
    <row r="2" spans="1:32" ht="12.75" customHeight="1" x14ac:dyDescent="0.3">
      <c r="A2" s="182" t="s">
        <v>522</v>
      </c>
      <c r="D2" s="340"/>
      <c r="G2" s="86"/>
      <c r="J2" s="86"/>
      <c r="M2" s="86"/>
      <c r="P2" s="86"/>
      <c r="S2" s="86"/>
      <c r="V2" s="86"/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5">
      <c r="A8" s="10" t="str">
        <f>name!D4</f>
        <v>11 Corporate managers and directors</v>
      </c>
      <c r="B8" s="11">
        <v>29.880785800881412</v>
      </c>
      <c r="C8" s="11">
        <v>33.670781149647787</v>
      </c>
      <c r="D8" s="11">
        <v>34.458283214558655</v>
      </c>
      <c r="E8" s="11">
        <v>32.22615843098864</v>
      </c>
      <c r="F8" s="11">
        <v>35.408151196311948</v>
      </c>
      <c r="G8" s="10"/>
      <c r="H8" s="11">
        <f>F8-D8</f>
        <v>0.94986798175329312</v>
      </c>
      <c r="I8" s="11">
        <f>'RD T1'!E7</f>
        <v>17.048172646379665</v>
      </c>
      <c r="J8" s="11">
        <f>SUM(H8:I8)</f>
        <v>17.998040628132959</v>
      </c>
      <c r="L8" s="10" t="str">
        <f>name!D4</f>
        <v>11 Corporate managers and directors</v>
      </c>
      <c r="M8" s="11">
        <v>21.454658057601161</v>
      </c>
      <c r="N8" s="11">
        <v>23.253971641556284</v>
      </c>
      <c r="O8" s="11">
        <v>23.541090375319467</v>
      </c>
      <c r="P8" s="11">
        <v>21.302033120243895</v>
      </c>
      <c r="Q8" s="11">
        <v>22.470989594333808</v>
      </c>
      <c r="R8" s="10"/>
      <c r="S8" s="11">
        <f>Q8-O8</f>
        <v>-1.0701007809856584</v>
      </c>
      <c r="T8" s="11">
        <f>'RD T1'!T7</f>
        <v>10.20275445953774</v>
      </c>
      <c r="U8" s="11">
        <f>SUM(S8:T8)</f>
        <v>9.1326536785520815</v>
      </c>
      <c r="W8" s="10" t="str">
        <f>name!D4</f>
        <v>11 Corporate managers and directors</v>
      </c>
      <c r="X8" s="11">
        <v>8.4261277432802597</v>
      </c>
      <c r="Y8" s="11">
        <v>10.416809508091498</v>
      </c>
      <c r="Z8" s="11">
        <v>10.917192839239181</v>
      </c>
      <c r="AA8" s="11">
        <v>10.92412531074471</v>
      </c>
      <c r="AB8" s="11">
        <v>12.937161601978143</v>
      </c>
      <c r="AC8" s="10"/>
      <c r="AD8" s="11">
        <f>AB8-Z8</f>
        <v>2.0199687627389622</v>
      </c>
      <c r="AE8" s="11">
        <f>'RD T1'!T36</f>
        <v>6.8454181868419237</v>
      </c>
      <c r="AF8" s="11">
        <f>SUM(AD8:AE8)</f>
        <v>8.8653869495808859</v>
      </c>
    </row>
    <row r="9" spans="1:32" x14ac:dyDescent="0.25">
      <c r="A9" s="10" t="str">
        <f>name!D5</f>
        <v>12 Other managers and proprietors</v>
      </c>
      <c r="B9" s="11">
        <v>12.511934815118927</v>
      </c>
      <c r="C9" s="11">
        <v>12.674366859929494</v>
      </c>
      <c r="D9" s="11">
        <v>13.203950057125674</v>
      </c>
      <c r="E9" s="11">
        <v>16.398688936426073</v>
      </c>
      <c r="F9" s="11">
        <v>18.931739103093843</v>
      </c>
      <c r="H9" s="11">
        <f t="shared" ref="H9:H32" si="2">F9-D9</f>
        <v>5.7277890459681693</v>
      </c>
      <c r="I9" s="11">
        <f>'RD T1'!E8</f>
        <v>9.7535732402126207</v>
      </c>
      <c r="J9" s="11">
        <f>SUM(H9:I9)</f>
        <v>15.48136228618079</v>
      </c>
      <c r="L9" s="10" t="str">
        <f>name!D5</f>
        <v>12 Other managers and proprietors</v>
      </c>
      <c r="M9" s="11">
        <v>7.5795667609880066</v>
      </c>
      <c r="N9" s="11">
        <v>7.7941322022029595</v>
      </c>
      <c r="O9" s="11">
        <v>7.4006914203220431</v>
      </c>
      <c r="P9" s="11">
        <v>9.5049067880005289</v>
      </c>
      <c r="Q9" s="11">
        <v>10.791586381605722</v>
      </c>
      <c r="S9" s="11">
        <f t="shared" ref="S9:S32" si="3">Q9-O9</f>
        <v>3.3908949612836787</v>
      </c>
      <c r="T9" s="11">
        <f>'RD T1'!T8</f>
        <v>4.982811949024966</v>
      </c>
      <c r="U9" s="11">
        <f>SUM(S9:T9)</f>
        <v>8.3737069103086448</v>
      </c>
      <c r="W9" s="10" t="str">
        <f>name!D5</f>
        <v>12 Other managers and proprietors</v>
      </c>
      <c r="X9" s="11">
        <v>4.9323680541309232</v>
      </c>
      <c r="Y9" s="11">
        <v>4.8802346577265379</v>
      </c>
      <c r="Z9" s="11">
        <v>5.8032586368036325</v>
      </c>
      <c r="AA9" s="11">
        <v>6.8937821484255268</v>
      </c>
      <c r="AB9" s="11">
        <v>8.1401527214881035</v>
      </c>
      <c r="AD9" s="11">
        <f t="shared" ref="AD9:AD32" si="4">AB9-Z9</f>
        <v>2.336894084684471</v>
      </c>
      <c r="AE9" s="11">
        <f>'RD T1'!T37</f>
        <v>4.7707612911876529</v>
      </c>
      <c r="AF9" s="11">
        <f>SUM(AD9:AE9)</f>
        <v>7.1076553758721239</v>
      </c>
    </row>
    <row r="10" spans="1:32" x14ac:dyDescent="0.25">
      <c r="A10" s="10" t="str">
        <f>name!D6</f>
        <v>21 Science, research, engineering and technology professionals</v>
      </c>
      <c r="B10" s="11">
        <v>23.692567314037618</v>
      </c>
      <c r="C10" s="11">
        <v>25.522442469208741</v>
      </c>
      <c r="D10" s="11">
        <v>26.685661715036868</v>
      </c>
      <c r="E10" s="11">
        <v>27.673922841497888</v>
      </c>
      <c r="F10" s="11">
        <v>30.275163891514985</v>
      </c>
      <c r="G10" s="11"/>
      <c r="H10" s="11">
        <f t="shared" si="2"/>
        <v>3.589502176478117</v>
      </c>
      <c r="I10" s="11">
        <f>'RD T1'!E9</f>
        <v>10.313304730852556</v>
      </c>
      <c r="J10" s="11">
        <f t="shared" ref="J10:J32" si="5">SUM(H10:I10)</f>
        <v>13.902806907330673</v>
      </c>
      <c r="L10" s="10" t="str">
        <f>name!D6</f>
        <v>21 Science, research, engineering and technology professionals</v>
      </c>
      <c r="M10" s="11">
        <v>19.986025304537044</v>
      </c>
      <c r="N10" s="11">
        <v>21.615322305784467</v>
      </c>
      <c r="O10" s="11">
        <v>21.818472432371127</v>
      </c>
      <c r="P10" s="11">
        <v>21.991818483000788</v>
      </c>
      <c r="Q10" s="11">
        <v>23.341384241157424</v>
      </c>
      <c r="R10" s="11"/>
      <c r="S10" s="11">
        <f t="shared" si="3"/>
        <v>1.5229118087862972</v>
      </c>
      <c r="T10" s="11">
        <f>'RD T1'!T9</f>
        <v>7.2662991519043132</v>
      </c>
      <c r="U10" s="11">
        <f t="shared" ref="U10:U32" si="6">SUM(S10:T10)</f>
        <v>8.7892109606906104</v>
      </c>
      <c r="W10" s="10" t="str">
        <f>name!D6</f>
        <v>21 Science, research, engineering and technology professionals</v>
      </c>
      <c r="X10" s="11">
        <v>3.7065420095005166</v>
      </c>
      <c r="Y10" s="11">
        <v>3.9071201634243025</v>
      </c>
      <c r="Z10" s="11">
        <v>4.8671892826657777</v>
      </c>
      <c r="AA10" s="11">
        <v>5.6821043584970905</v>
      </c>
      <c r="AB10" s="11">
        <v>6.9337796503575548</v>
      </c>
      <c r="AC10" s="11"/>
      <c r="AD10" s="11">
        <f t="shared" si="4"/>
        <v>2.0665903676917772</v>
      </c>
      <c r="AE10" s="11">
        <f>'RD T1'!T38</f>
        <v>3.0470055789482431</v>
      </c>
      <c r="AF10" s="11">
        <f t="shared" ref="AF10:AF32" si="7">SUM(AD10:AE10)</f>
        <v>5.1135959466400198</v>
      </c>
    </row>
    <row r="11" spans="1:32" x14ac:dyDescent="0.25">
      <c r="A11" s="10" t="str">
        <f>name!D7</f>
        <v>22 Health professionals</v>
      </c>
      <c r="B11" s="11">
        <v>21.674771905892207</v>
      </c>
      <c r="C11" s="11">
        <v>27.315802663195473</v>
      </c>
      <c r="D11" s="11">
        <v>26.829030859021046</v>
      </c>
      <c r="E11" s="11">
        <v>29.254758568518618</v>
      </c>
      <c r="F11" s="11">
        <v>32.15203505660476</v>
      </c>
      <c r="G11" s="11"/>
      <c r="H11" s="11">
        <f t="shared" si="2"/>
        <v>5.3230041975837139</v>
      </c>
      <c r="I11" s="11">
        <f>'RD T1'!E10</f>
        <v>15.876709301282569</v>
      </c>
      <c r="J11" s="11">
        <f t="shared" si="5"/>
        <v>21.199713498866281</v>
      </c>
      <c r="L11" s="10" t="str">
        <f>name!D7</f>
        <v>22 Health professionals</v>
      </c>
      <c r="M11" s="11">
        <v>5.0825544000815421</v>
      </c>
      <c r="N11" s="11">
        <v>6.4601621724174212</v>
      </c>
      <c r="O11" s="11">
        <v>6.7901368676653817</v>
      </c>
      <c r="P11" s="11">
        <v>7.2811556799546642</v>
      </c>
      <c r="Q11" s="11">
        <v>7.8635435431675589</v>
      </c>
      <c r="R11" s="11"/>
      <c r="S11" s="11">
        <f t="shared" si="3"/>
        <v>1.0734066755021772</v>
      </c>
      <c r="T11" s="11">
        <f>'RD T1'!T10</f>
        <v>2.8413973104385644</v>
      </c>
      <c r="U11" s="11">
        <f t="shared" si="6"/>
        <v>3.9148039859407415</v>
      </c>
      <c r="W11" s="10" t="str">
        <f>name!D7</f>
        <v>22 Health professionals</v>
      </c>
      <c r="X11" s="11">
        <v>16.592217505810645</v>
      </c>
      <c r="Y11" s="11">
        <v>20.85564049077805</v>
      </c>
      <c r="Z11" s="11">
        <v>20.038893991355664</v>
      </c>
      <c r="AA11" s="11">
        <v>21.973602888563928</v>
      </c>
      <c r="AB11" s="11">
        <v>24.288491513437172</v>
      </c>
      <c r="AC11" s="11"/>
      <c r="AD11" s="11">
        <f t="shared" si="4"/>
        <v>4.2495975220815083</v>
      </c>
      <c r="AE11" s="11">
        <f>'RD T1'!T39</f>
        <v>13.035311990844002</v>
      </c>
      <c r="AF11" s="11">
        <f t="shared" si="7"/>
        <v>17.284909512925509</v>
      </c>
    </row>
    <row r="12" spans="1:32" x14ac:dyDescent="0.25">
      <c r="A12" s="10" t="str">
        <f>name!D8</f>
        <v>23 Teaching and other educational professionals</v>
      </c>
      <c r="B12" s="11">
        <v>19.540374765671238</v>
      </c>
      <c r="C12" s="11">
        <v>20.765597855160525</v>
      </c>
      <c r="D12" s="11">
        <v>21.982938940498279</v>
      </c>
      <c r="E12" s="11">
        <v>23.36668850989928</v>
      </c>
      <c r="F12" s="11">
        <v>26.048744205571939</v>
      </c>
      <c r="G12" s="11"/>
      <c r="H12" s="11">
        <f t="shared" si="2"/>
        <v>4.06580526507366</v>
      </c>
      <c r="I12" s="11">
        <f>'RD T1'!E11</f>
        <v>12.214918035015762</v>
      </c>
      <c r="J12" s="11">
        <f t="shared" si="5"/>
        <v>16.28072330008942</v>
      </c>
      <c r="L12" s="10" t="str">
        <f>name!D8</f>
        <v>23 Teaching and other educational professionals</v>
      </c>
      <c r="M12" s="11">
        <v>6.572340056959777</v>
      </c>
      <c r="N12" s="11">
        <v>6.6366702822230037</v>
      </c>
      <c r="O12" s="11">
        <v>7.1657801652128423</v>
      </c>
      <c r="P12" s="11">
        <v>7.7131226646131825</v>
      </c>
      <c r="Q12" s="11">
        <v>8.3118035521619635</v>
      </c>
      <c r="R12" s="11"/>
      <c r="S12" s="11">
        <f t="shared" si="3"/>
        <v>1.1460233869491212</v>
      </c>
      <c r="T12" s="11">
        <f>'RD T1'!T11</f>
        <v>3.3613858583212401</v>
      </c>
      <c r="U12" s="11">
        <f t="shared" si="6"/>
        <v>4.5074092452703614</v>
      </c>
      <c r="W12" s="10" t="str">
        <f>name!D8</f>
        <v>23 Teaching and other educational professionals</v>
      </c>
      <c r="X12" s="11">
        <v>12.968034708711484</v>
      </c>
      <c r="Y12" s="11">
        <v>14.128927572937537</v>
      </c>
      <c r="Z12" s="11">
        <v>14.817158775285453</v>
      </c>
      <c r="AA12" s="11">
        <v>15.653565845286101</v>
      </c>
      <c r="AB12" s="11">
        <v>17.736940653409981</v>
      </c>
      <c r="AC12" s="11"/>
      <c r="AD12" s="11">
        <f t="shared" si="4"/>
        <v>2.9197818781245282</v>
      </c>
      <c r="AE12" s="11">
        <f>'RD T1'!T40</f>
        <v>8.8535321766945199</v>
      </c>
      <c r="AF12" s="11">
        <f t="shared" si="7"/>
        <v>11.773314054819048</v>
      </c>
    </row>
    <row r="13" spans="1:32" x14ac:dyDescent="0.25">
      <c r="A13" s="10" t="str">
        <f>name!D9</f>
        <v>24 Business, media and public service professionals</v>
      </c>
      <c r="B13" s="11">
        <v>22.80619365915933</v>
      </c>
      <c r="C13" s="11">
        <v>25.456333561960083</v>
      </c>
      <c r="D13" s="11">
        <v>27.886221209663034</v>
      </c>
      <c r="E13" s="11">
        <v>31.080990691346837</v>
      </c>
      <c r="F13" s="11">
        <v>35.208060016251721</v>
      </c>
      <c r="G13" s="11"/>
      <c r="H13" s="11">
        <f t="shared" si="2"/>
        <v>7.321838806588687</v>
      </c>
      <c r="I13" s="11">
        <f>'RD T1'!E12</f>
        <v>15.224120450490423</v>
      </c>
      <c r="J13" s="11">
        <f t="shared" si="5"/>
        <v>22.545959257079112</v>
      </c>
      <c r="L13" s="10" t="str">
        <f>name!D9</f>
        <v>24 Business, media and public service professionals</v>
      </c>
      <c r="M13" s="11">
        <v>13.893541405818603</v>
      </c>
      <c r="N13" s="11">
        <v>14.748466692046147</v>
      </c>
      <c r="O13" s="11">
        <v>16.146207267011317</v>
      </c>
      <c r="P13" s="11">
        <v>18.067465966079027</v>
      </c>
      <c r="Q13" s="11">
        <v>19.741649303463671</v>
      </c>
      <c r="R13" s="11"/>
      <c r="S13" s="11">
        <f t="shared" si="3"/>
        <v>3.5954420364523543</v>
      </c>
      <c r="T13" s="11">
        <f>'RD T1'!T12</f>
        <v>7.7493173771787145</v>
      </c>
      <c r="U13" s="11">
        <f t="shared" si="6"/>
        <v>11.344759413631069</v>
      </c>
      <c r="W13" s="10" t="str">
        <f>name!D9</f>
        <v>24 Business, media and public service professionals</v>
      </c>
      <c r="X13" s="11">
        <v>8.9126522533407133</v>
      </c>
      <c r="Y13" s="11">
        <v>10.707866869913961</v>
      </c>
      <c r="Z13" s="11">
        <v>11.740013942651709</v>
      </c>
      <c r="AA13" s="11">
        <v>13.013524725267844</v>
      </c>
      <c r="AB13" s="11">
        <v>15.466410712788081</v>
      </c>
      <c r="AC13" s="11"/>
      <c r="AD13" s="11">
        <f t="shared" si="4"/>
        <v>3.7263967701363718</v>
      </c>
      <c r="AE13" s="11">
        <f>'RD T1'!T41</f>
        <v>7.4748030733117057</v>
      </c>
      <c r="AF13" s="11">
        <f t="shared" si="7"/>
        <v>11.201199843448077</v>
      </c>
    </row>
    <row r="14" spans="1:32" x14ac:dyDescent="0.25">
      <c r="A14" s="10" t="str">
        <f>name!D10</f>
        <v>31 Science, engineering and technology associate professionals</v>
      </c>
      <c r="B14" s="11">
        <v>7.6396337675645318</v>
      </c>
      <c r="C14" s="11">
        <v>8.0778177441015497</v>
      </c>
      <c r="D14" s="11">
        <v>8.7583830870047237</v>
      </c>
      <c r="E14" s="11">
        <v>7.5158864549179052</v>
      </c>
      <c r="F14" s="11">
        <v>7.7929826577159558</v>
      </c>
      <c r="G14" s="11"/>
      <c r="H14" s="11">
        <f t="shared" si="2"/>
        <v>-0.9654004292887679</v>
      </c>
      <c r="I14" s="11">
        <f>'RD T1'!E13</f>
        <v>3.0653345470108286</v>
      </c>
      <c r="J14" s="11">
        <f t="shared" si="5"/>
        <v>2.0999341177220607</v>
      </c>
      <c r="L14" s="10" t="str">
        <f>name!D10</f>
        <v>31 Science, engineering and technology associate professionals</v>
      </c>
      <c r="M14" s="11">
        <v>5.9852648662886372</v>
      </c>
      <c r="N14" s="11">
        <v>6.4562749389300169</v>
      </c>
      <c r="O14" s="11">
        <v>6.7520478139256888</v>
      </c>
      <c r="P14" s="11">
        <v>5.4743781135919312</v>
      </c>
      <c r="Q14" s="11">
        <v>5.4201932230587637</v>
      </c>
      <c r="R14" s="11"/>
      <c r="S14" s="11">
        <f t="shared" si="3"/>
        <v>-1.331854590866925</v>
      </c>
      <c r="T14" s="11">
        <f>'RD T1'!T13</f>
        <v>1.9873010340181028</v>
      </c>
      <c r="U14" s="11">
        <f t="shared" si="6"/>
        <v>0.65544644315117773</v>
      </c>
      <c r="W14" s="10" t="str">
        <f>name!D10</f>
        <v>31 Science, engineering and technology associate professionals</v>
      </c>
      <c r="X14" s="11">
        <v>1.6543689012758924</v>
      </c>
      <c r="Y14" s="11">
        <v>1.6215428051715401</v>
      </c>
      <c r="Z14" s="11">
        <v>2.0063352730790425</v>
      </c>
      <c r="AA14" s="11">
        <v>2.0415083413259714</v>
      </c>
      <c r="AB14" s="11">
        <v>2.3727894346571912</v>
      </c>
      <c r="AC14" s="11"/>
      <c r="AD14" s="11">
        <f t="shared" si="4"/>
        <v>0.3664541615781487</v>
      </c>
      <c r="AE14" s="11">
        <f>'RD T1'!T42</f>
        <v>1.0780335129927259</v>
      </c>
      <c r="AF14" s="11">
        <f t="shared" si="7"/>
        <v>1.4444876745708746</v>
      </c>
    </row>
    <row r="15" spans="1:32" x14ac:dyDescent="0.25">
      <c r="A15" s="10" t="str">
        <f>name!D11</f>
        <v>32 Health and social care associate professionals</v>
      </c>
      <c r="B15" s="11">
        <v>9.0328897579836394</v>
      </c>
      <c r="C15" s="11">
        <v>10.956729770428341</v>
      </c>
      <c r="D15" s="11">
        <v>11.033633555444206</v>
      </c>
      <c r="E15" s="11">
        <v>11.362405938440382</v>
      </c>
      <c r="F15" s="11">
        <v>12.588267509691507</v>
      </c>
      <c r="G15" s="11"/>
      <c r="H15" s="11">
        <f t="shared" si="2"/>
        <v>1.5546339542473007</v>
      </c>
      <c r="I15" s="11">
        <f>'RD T1'!E14</f>
        <v>6.6936695426944146</v>
      </c>
      <c r="J15" s="11">
        <f t="shared" si="5"/>
        <v>8.2483034969417162</v>
      </c>
      <c r="L15" s="10" t="str">
        <f>name!D11</f>
        <v>32 Health and social care associate professionals</v>
      </c>
      <c r="M15" s="11">
        <v>2.0898092470984437</v>
      </c>
      <c r="N15" s="11">
        <v>2.3358003727577183</v>
      </c>
      <c r="O15" s="11">
        <v>2.4664319309430569</v>
      </c>
      <c r="P15" s="11">
        <v>2.3229064601194973</v>
      </c>
      <c r="Q15" s="11">
        <v>2.4461537245581995</v>
      </c>
      <c r="R15" s="11"/>
      <c r="S15" s="11">
        <f t="shared" si="3"/>
        <v>-2.0278206384857445E-2</v>
      </c>
      <c r="T15" s="11">
        <f>'RD T1'!T14</f>
        <v>1.1381357536644265</v>
      </c>
      <c r="U15" s="11">
        <f t="shared" si="6"/>
        <v>1.1178575472795691</v>
      </c>
      <c r="W15" s="10" t="str">
        <f>name!D11</f>
        <v>32 Health and social care associate professionals</v>
      </c>
      <c r="X15" s="11">
        <v>6.9430805108852152</v>
      </c>
      <c r="Y15" s="11">
        <v>8.6209293976706043</v>
      </c>
      <c r="Z15" s="11">
        <v>8.567201624501152</v>
      </c>
      <c r="AA15" s="11">
        <v>9.0394994783208862</v>
      </c>
      <c r="AB15" s="11">
        <v>10.142113785133306</v>
      </c>
      <c r="AC15" s="11"/>
      <c r="AD15" s="11">
        <f t="shared" si="4"/>
        <v>1.5749121606321541</v>
      </c>
      <c r="AE15" s="11">
        <f>'RD T1'!T43</f>
        <v>5.5555337890299894</v>
      </c>
      <c r="AF15" s="11">
        <f t="shared" si="7"/>
        <v>7.1304459496621435</v>
      </c>
    </row>
    <row r="16" spans="1:32" x14ac:dyDescent="0.25">
      <c r="A16" s="10" t="str">
        <f>name!D12</f>
        <v>33 Protective service occupations</v>
      </c>
      <c r="B16" s="11">
        <v>4.4444232941510675</v>
      </c>
      <c r="C16" s="11">
        <v>4.4270085893151148</v>
      </c>
      <c r="D16" s="11">
        <v>4.7001992247175384</v>
      </c>
      <c r="E16" s="11">
        <v>5.69735112555668</v>
      </c>
      <c r="F16" s="11">
        <v>6.7057443147351909</v>
      </c>
      <c r="G16" s="11"/>
      <c r="H16" s="11">
        <f t="shared" si="2"/>
        <v>2.0055450900176526</v>
      </c>
      <c r="I16" s="11">
        <f>'RD T1'!E15</f>
        <v>2.0642343570892101</v>
      </c>
      <c r="J16" s="11">
        <f t="shared" si="5"/>
        <v>4.0697794471068622</v>
      </c>
      <c r="L16" s="10" t="str">
        <f>name!D12</f>
        <v>33 Protective service occupations</v>
      </c>
      <c r="M16" s="11">
        <v>3.429150197042715</v>
      </c>
      <c r="N16" s="11">
        <v>3.2746787311090451</v>
      </c>
      <c r="O16" s="11">
        <v>3.4192040474433307</v>
      </c>
      <c r="P16" s="11">
        <v>3.9954565233706778</v>
      </c>
      <c r="Q16" s="11">
        <v>4.3844965160471778</v>
      </c>
      <c r="R16" s="11"/>
      <c r="S16" s="11">
        <f t="shared" si="3"/>
        <v>0.9652924686038471</v>
      </c>
      <c r="T16" s="11">
        <f>'RD T1'!T15</f>
        <v>1.146554881386878</v>
      </c>
      <c r="U16" s="11">
        <f t="shared" si="6"/>
        <v>2.1118473499907253</v>
      </c>
      <c r="W16" s="10" t="str">
        <f>name!D12</f>
        <v>33 Protective service occupations</v>
      </c>
      <c r="X16" s="11">
        <v>1.0152730971083521</v>
      </c>
      <c r="Y16" s="11">
        <v>1.1523298582060686</v>
      </c>
      <c r="Z16" s="11">
        <v>1.2809951772741999</v>
      </c>
      <c r="AA16" s="11">
        <v>1.7018946021860075</v>
      </c>
      <c r="AB16" s="11">
        <v>2.3212477986880211</v>
      </c>
      <c r="AC16" s="11"/>
      <c r="AD16" s="11">
        <f t="shared" si="4"/>
        <v>1.0402526214138212</v>
      </c>
      <c r="AE16" s="11">
        <f>'RD T1'!T44</f>
        <v>0.91767947570233266</v>
      </c>
      <c r="AF16" s="11">
        <f t="shared" si="7"/>
        <v>1.9579320971161538</v>
      </c>
    </row>
    <row r="17" spans="1:32" x14ac:dyDescent="0.25">
      <c r="A17" s="10" t="str">
        <f>name!D13</f>
        <v>34 Culture, media and sports occupations</v>
      </c>
      <c r="B17" s="11">
        <v>7.5269975158661104</v>
      </c>
      <c r="C17" s="11">
        <v>7.4707121265529315</v>
      </c>
      <c r="D17" s="11">
        <v>7.6662439139121092</v>
      </c>
      <c r="E17" s="11">
        <v>7.2223067456246826</v>
      </c>
      <c r="F17" s="11">
        <v>8.0255058830183881</v>
      </c>
      <c r="G17" s="11"/>
      <c r="H17" s="11">
        <f t="shared" si="2"/>
        <v>0.35926196910627883</v>
      </c>
      <c r="I17" s="11">
        <f>'RD T1'!E16</f>
        <v>3.4663871952510545</v>
      </c>
      <c r="J17" s="11">
        <f t="shared" si="5"/>
        <v>3.8256491643573334</v>
      </c>
      <c r="L17" s="10" t="str">
        <f>name!D13</f>
        <v>34 Culture, media and sports occupations</v>
      </c>
      <c r="M17" s="11">
        <v>4.5169862879842979</v>
      </c>
      <c r="N17" s="11">
        <v>4.4974358578884148</v>
      </c>
      <c r="O17" s="11">
        <v>4.5266562824420671</v>
      </c>
      <c r="P17" s="11">
        <v>4.2764120162529515</v>
      </c>
      <c r="Q17" s="11">
        <v>4.6667567601410695</v>
      </c>
      <c r="R17" s="11"/>
      <c r="S17" s="11">
        <f t="shared" si="3"/>
        <v>0.14010047769900247</v>
      </c>
      <c r="T17" s="11">
        <f>'RD T1'!T16</f>
        <v>1.7794214074744488</v>
      </c>
      <c r="U17" s="11">
        <f t="shared" si="6"/>
        <v>1.9195218851734512</v>
      </c>
      <c r="W17" s="10" t="str">
        <f>name!D13</f>
        <v>34 Culture, media and sports occupations</v>
      </c>
      <c r="X17" s="11">
        <v>3.0100112278818059</v>
      </c>
      <c r="Y17" s="11">
        <v>2.9732762686645255</v>
      </c>
      <c r="Z17" s="11">
        <v>3.1395876314700399</v>
      </c>
      <c r="AA17" s="11">
        <v>2.9458947293717328</v>
      </c>
      <c r="AB17" s="11">
        <v>3.3587491228773114</v>
      </c>
      <c r="AC17" s="11"/>
      <c r="AD17" s="11">
        <f t="shared" si="4"/>
        <v>0.21916149140727148</v>
      </c>
      <c r="AE17" s="11">
        <f>'RD T1'!T45</f>
        <v>1.6869657877766053</v>
      </c>
      <c r="AF17" s="11">
        <f t="shared" si="7"/>
        <v>1.9061272791838768</v>
      </c>
    </row>
    <row r="18" spans="1:32" x14ac:dyDescent="0.25">
      <c r="A18" s="10" t="str">
        <f>name!D14</f>
        <v>35 Business and public service associate professionals</v>
      </c>
      <c r="B18" s="11">
        <v>27.483441028271102</v>
      </c>
      <c r="C18" s="11">
        <v>27.784113801495693</v>
      </c>
      <c r="D18" s="11">
        <v>28.712103349013955</v>
      </c>
      <c r="E18" s="11">
        <v>27.446946831196055</v>
      </c>
      <c r="F18" s="11">
        <v>28.60137268177365</v>
      </c>
      <c r="G18" s="11"/>
      <c r="H18" s="11">
        <f t="shared" si="2"/>
        <v>-0.11073066724030411</v>
      </c>
      <c r="I18" s="11">
        <f>'RD T1'!E17</f>
        <v>12.796146361730347</v>
      </c>
      <c r="J18" s="11">
        <f t="shared" si="5"/>
        <v>12.685415694490043</v>
      </c>
      <c r="L18" s="10" t="str">
        <f>name!D14</f>
        <v>35 Business and public service associate professionals</v>
      </c>
      <c r="M18" s="11">
        <v>15.423996768819533</v>
      </c>
      <c r="N18" s="11">
        <v>15.073483017849453</v>
      </c>
      <c r="O18" s="11">
        <v>15.681841668855601</v>
      </c>
      <c r="P18" s="11">
        <v>14.521267272552127</v>
      </c>
      <c r="Q18" s="11">
        <v>14.36700043432305</v>
      </c>
      <c r="R18" s="11"/>
      <c r="S18" s="11">
        <f t="shared" si="3"/>
        <v>-1.3148412345325511</v>
      </c>
      <c r="T18" s="11">
        <f>'RD T1'!T17</f>
        <v>5.5829686119788713</v>
      </c>
      <c r="U18" s="11">
        <f t="shared" si="6"/>
        <v>4.2681273774463202</v>
      </c>
      <c r="W18" s="10" t="str">
        <f>name!D14</f>
        <v>35 Business and public service associate professionals</v>
      </c>
      <c r="X18" s="11">
        <v>12.059444259451528</v>
      </c>
      <c r="Y18" s="11">
        <v>12.71063078364624</v>
      </c>
      <c r="Z18" s="11">
        <v>13.030261680158304</v>
      </c>
      <c r="AA18" s="11">
        <v>12.925679558643926</v>
      </c>
      <c r="AB18" s="11">
        <v>14.234372247450615</v>
      </c>
      <c r="AC18" s="11"/>
      <c r="AD18" s="11">
        <f t="shared" si="4"/>
        <v>1.2041105672923109</v>
      </c>
      <c r="AE18" s="11">
        <f>'RD T1'!T46</f>
        <v>7.2131777497514742</v>
      </c>
      <c r="AF18" s="11">
        <f t="shared" si="7"/>
        <v>8.4172883170437842</v>
      </c>
    </row>
    <row r="19" spans="1:32" x14ac:dyDescent="0.25">
      <c r="A19" s="10" t="str">
        <f>name!D15</f>
        <v>41 Administrative occupations</v>
      </c>
      <c r="B19" s="11">
        <v>49.138399456658071</v>
      </c>
      <c r="C19" s="11">
        <v>45.16515184624641</v>
      </c>
      <c r="D19" s="11">
        <v>47.317539575288471</v>
      </c>
      <c r="E19" s="11">
        <v>43.850294522272151</v>
      </c>
      <c r="F19" s="11">
        <v>41.608672087451644</v>
      </c>
      <c r="G19" s="11"/>
      <c r="H19" s="11">
        <f t="shared" si="2"/>
        <v>-5.7088674878368266</v>
      </c>
      <c r="I19" s="11">
        <f>'RD T1'!E18</f>
        <v>21.612891822284254</v>
      </c>
      <c r="J19" s="11">
        <f t="shared" si="5"/>
        <v>15.904024334447428</v>
      </c>
      <c r="L19" s="10" t="str">
        <f>name!D15</f>
        <v>41 Administrative occupations</v>
      </c>
      <c r="M19" s="11">
        <v>15.614024343375871</v>
      </c>
      <c r="N19" s="11">
        <v>13.602661795013351</v>
      </c>
      <c r="O19" s="11">
        <v>16.30028080571164</v>
      </c>
      <c r="P19" s="11">
        <v>15.784324607551035</v>
      </c>
      <c r="Q19" s="11">
        <v>17.329207429920501</v>
      </c>
      <c r="R19" s="11"/>
      <c r="S19" s="11">
        <f t="shared" si="3"/>
        <v>1.0289266242088608</v>
      </c>
      <c r="T19" s="11">
        <f>'RD T1'!T18</f>
        <v>6.2193023036870123</v>
      </c>
      <c r="U19" s="11">
        <f t="shared" si="6"/>
        <v>7.2482289278958731</v>
      </c>
      <c r="W19" s="10" t="str">
        <f>name!D15</f>
        <v>41 Administrative occupations</v>
      </c>
      <c r="X19" s="11">
        <v>33.524375113282296</v>
      </c>
      <c r="Y19" s="11">
        <v>31.562490051233034</v>
      </c>
      <c r="Z19" s="11">
        <v>31.017258769576816</v>
      </c>
      <c r="AA19" s="11">
        <v>28.06596991472113</v>
      </c>
      <c r="AB19" s="11">
        <v>24.279464657531076</v>
      </c>
      <c r="AC19" s="11"/>
      <c r="AD19" s="11">
        <f t="shared" si="4"/>
        <v>-6.7377941120457407</v>
      </c>
      <c r="AE19" s="11">
        <f>'RD T1'!T47</f>
        <v>15.39358951859724</v>
      </c>
      <c r="AF19" s="11">
        <f t="shared" si="7"/>
        <v>8.6557954065514995</v>
      </c>
    </row>
    <row r="20" spans="1:32" x14ac:dyDescent="0.25">
      <c r="A20" s="10" t="str">
        <f>name!D16</f>
        <v>42 Secretarial and related occupations</v>
      </c>
      <c r="B20" s="11">
        <v>10.999553279205763</v>
      </c>
      <c r="C20" s="11">
        <v>9.4948630690001199</v>
      </c>
      <c r="D20" s="11">
        <v>9.2883893892272287</v>
      </c>
      <c r="E20" s="11">
        <v>9.7532263685531753</v>
      </c>
      <c r="F20" s="11">
        <v>6.5401716671574537</v>
      </c>
      <c r="G20" s="11"/>
      <c r="H20" s="11">
        <f t="shared" si="2"/>
        <v>-2.748217722069775</v>
      </c>
      <c r="I20" s="11">
        <f>'RD T1'!E19</f>
        <v>4.542490938926667</v>
      </c>
      <c r="J20" s="11">
        <f t="shared" si="5"/>
        <v>1.794273216856892</v>
      </c>
      <c r="L20" s="10" t="str">
        <f>name!D16</f>
        <v>42 Secretarial and related occupations</v>
      </c>
      <c r="M20" s="11">
        <v>0.98392418673063786</v>
      </c>
      <c r="N20" s="11">
        <v>0.69844209737340945</v>
      </c>
      <c r="O20" s="11">
        <v>0.69927002657578796</v>
      </c>
      <c r="P20" s="11">
        <v>0.89483765860591624</v>
      </c>
      <c r="Q20" s="11">
        <v>1.0652556392754455</v>
      </c>
      <c r="R20" s="11"/>
      <c r="S20" s="11">
        <f t="shared" si="3"/>
        <v>0.36598561269965757</v>
      </c>
      <c r="T20" s="11">
        <f>'RD T1'!T19</f>
        <v>0.31033253098752311</v>
      </c>
      <c r="U20" s="11">
        <f t="shared" si="6"/>
        <v>0.67631814368718068</v>
      </c>
      <c r="W20" s="10" t="str">
        <f>name!D16</f>
        <v>42 Secretarial and related occupations</v>
      </c>
      <c r="X20" s="11">
        <v>10.015629092475123</v>
      </c>
      <c r="Y20" s="11">
        <v>8.7964209716267181</v>
      </c>
      <c r="Z20" s="11">
        <v>8.5891193626514415</v>
      </c>
      <c r="AA20" s="11">
        <v>8.858388709947258</v>
      </c>
      <c r="AB20" s="11">
        <v>5.4749160278820082</v>
      </c>
      <c r="AC20" s="11"/>
      <c r="AD20" s="11">
        <f t="shared" si="4"/>
        <v>-3.1142033347694333</v>
      </c>
      <c r="AE20" s="11">
        <f>'RD T1'!T48</f>
        <v>4.232158407939143</v>
      </c>
      <c r="AF20" s="11">
        <f t="shared" si="7"/>
        <v>1.1179550731697097</v>
      </c>
    </row>
    <row r="21" spans="1:32" x14ac:dyDescent="0.25">
      <c r="A21" s="10" t="str">
        <f>name!D17</f>
        <v>51 Skilled agricultural and related trades</v>
      </c>
      <c r="B21" s="11">
        <v>4.3313158907234133</v>
      </c>
      <c r="C21" s="11">
        <v>3.8065912759839788</v>
      </c>
      <c r="D21" s="11">
        <v>3.1859142674106149</v>
      </c>
      <c r="E21" s="11">
        <v>3.3169662328551017</v>
      </c>
      <c r="F21" s="11">
        <v>3.713963148852669</v>
      </c>
      <c r="G21" s="11"/>
      <c r="H21" s="11">
        <f t="shared" si="2"/>
        <v>0.52804888144205409</v>
      </c>
      <c r="I21" s="11">
        <f>'RD T1'!E20</f>
        <v>1.8714766757540804</v>
      </c>
      <c r="J21" s="11">
        <f t="shared" si="5"/>
        <v>2.3995255571961343</v>
      </c>
      <c r="L21" s="10" t="str">
        <f>name!D17</f>
        <v>51 Skilled agricultural and related trades</v>
      </c>
      <c r="M21" s="11">
        <v>3.720569195128824</v>
      </c>
      <c r="N21" s="11">
        <v>3.234923637625847</v>
      </c>
      <c r="O21" s="11">
        <v>2.6169442046855278</v>
      </c>
      <c r="P21" s="11">
        <v>2.6623008231296343</v>
      </c>
      <c r="Q21" s="11">
        <v>2.9386848333331872</v>
      </c>
      <c r="R21" s="11"/>
      <c r="S21" s="11">
        <f t="shared" si="3"/>
        <v>0.3217406286476594</v>
      </c>
      <c r="T21" s="11">
        <f>'RD T1'!T20</f>
        <v>1.40160300361368</v>
      </c>
      <c r="U21" s="11">
        <f t="shared" si="6"/>
        <v>1.7233436322613394</v>
      </c>
      <c r="W21" s="10" t="str">
        <f>name!D17</f>
        <v>51 Skilled agricultural and related trades</v>
      </c>
      <c r="X21" s="11">
        <v>0.61074669559458628</v>
      </c>
      <c r="Y21" s="11">
        <v>0.57166763835812828</v>
      </c>
      <c r="Z21" s="11">
        <v>0.56897006272508988</v>
      </c>
      <c r="AA21" s="11">
        <v>0.65466540972547316</v>
      </c>
      <c r="AB21" s="11">
        <v>0.77527831551948567</v>
      </c>
      <c r="AC21" s="11"/>
      <c r="AD21" s="11">
        <f t="shared" si="4"/>
        <v>0.2063082527943958</v>
      </c>
      <c r="AE21" s="11">
        <f>'RD T1'!T49</f>
        <v>0.46987367214040049</v>
      </c>
      <c r="AF21" s="11">
        <f t="shared" si="7"/>
        <v>0.67618192493479623</v>
      </c>
    </row>
    <row r="22" spans="1:32" x14ac:dyDescent="0.25">
      <c r="A22" s="10" t="str">
        <f>name!D18</f>
        <v>52 Skilled metal, electrical and electronic trades</v>
      </c>
      <c r="B22" s="11">
        <v>28.622677836919472</v>
      </c>
      <c r="C22" s="11">
        <v>28.343637186861049</v>
      </c>
      <c r="D22" s="11">
        <v>23.336997409184566</v>
      </c>
      <c r="E22" s="11">
        <v>22.590240240806626</v>
      </c>
      <c r="F22" s="11">
        <v>20.844900637900004</v>
      </c>
      <c r="G22" s="11"/>
      <c r="H22" s="11">
        <f t="shared" si="2"/>
        <v>-2.4920967712845616</v>
      </c>
      <c r="I22" s="11">
        <f>'RD T1'!E21</f>
        <v>8.338256863704288</v>
      </c>
      <c r="J22" s="11">
        <f t="shared" si="5"/>
        <v>5.8461600924197263</v>
      </c>
      <c r="L22" s="10" t="str">
        <f>name!D18</f>
        <v>52 Skilled metal, electrical and electronic trades</v>
      </c>
      <c r="M22" s="11">
        <v>28.257827507545219</v>
      </c>
      <c r="N22" s="11">
        <v>27.75667596510165</v>
      </c>
      <c r="O22" s="11">
        <v>22.875815286022011</v>
      </c>
      <c r="P22" s="11">
        <v>21.621463524156919</v>
      </c>
      <c r="Q22" s="11">
        <v>19.682681549916762</v>
      </c>
      <c r="R22" s="11"/>
      <c r="S22" s="11">
        <f t="shared" si="3"/>
        <v>-3.1931337361052492</v>
      </c>
      <c r="T22" s="11">
        <f>'RD T1'!T21</f>
        <v>7.7832913854122499</v>
      </c>
      <c r="U22" s="11">
        <f t="shared" si="6"/>
        <v>4.5901576493070007</v>
      </c>
      <c r="W22" s="10" t="str">
        <f>name!D18</f>
        <v>52 Skilled metal, electrical and electronic trades</v>
      </c>
      <c r="X22" s="11">
        <v>0.3648503293742551</v>
      </c>
      <c r="Y22" s="11">
        <v>0.58696122175943077</v>
      </c>
      <c r="Z22" s="11">
        <v>0.4611821231625623</v>
      </c>
      <c r="AA22" s="11">
        <v>0.96877671664971643</v>
      </c>
      <c r="AB22" s="11">
        <v>1.1622190879832661</v>
      </c>
      <c r="AC22" s="11"/>
      <c r="AD22" s="11">
        <f t="shared" si="4"/>
        <v>0.70103696482070377</v>
      </c>
      <c r="AE22" s="11">
        <f>'RD T1'!T50</f>
        <v>0.55496547829203935</v>
      </c>
      <c r="AF22" s="11">
        <f t="shared" si="7"/>
        <v>1.256002443112743</v>
      </c>
    </row>
    <row r="23" spans="1:32" x14ac:dyDescent="0.25">
      <c r="A23" s="10" t="str">
        <f>name!D19</f>
        <v>53 Skilled construction and building trades</v>
      </c>
      <c r="B23" s="11">
        <v>18.67563056886091</v>
      </c>
      <c r="C23" s="11">
        <v>21.339556958033437</v>
      </c>
      <c r="D23" s="11">
        <v>17.433599719002551</v>
      </c>
      <c r="E23" s="11">
        <v>17.553314521586643</v>
      </c>
      <c r="F23" s="11">
        <v>15.357819560659681</v>
      </c>
      <c r="G23" s="11"/>
      <c r="H23" s="11">
        <f t="shared" si="2"/>
        <v>-2.0757801583428694</v>
      </c>
      <c r="I23" s="11">
        <f>'RD T1'!E22</f>
        <v>7.1060875783042627</v>
      </c>
      <c r="J23" s="11">
        <f t="shared" si="5"/>
        <v>5.0303074199613933</v>
      </c>
      <c r="L23" s="10" t="str">
        <f>name!D19</f>
        <v>53 Skilled construction and building trades</v>
      </c>
      <c r="M23" s="11">
        <v>18.431515324301849</v>
      </c>
      <c r="N23" s="11">
        <v>21.107864999136247</v>
      </c>
      <c r="O23" s="11">
        <v>17.154190392596323</v>
      </c>
      <c r="P23" s="11">
        <v>17.263106284483882</v>
      </c>
      <c r="Q23" s="11">
        <v>15.033360244624994</v>
      </c>
      <c r="R23" s="11"/>
      <c r="S23" s="11">
        <f t="shared" si="3"/>
        <v>-2.1208301479713292</v>
      </c>
      <c r="T23" s="11">
        <f>'RD T1'!T22</f>
        <v>6.9468456199543267</v>
      </c>
      <c r="U23" s="11">
        <f t="shared" si="6"/>
        <v>4.8260154719829975</v>
      </c>
      <c r="W23" s="10" t="str">
        <f>name!D19</f>
        <v>53 Skilled construction and building trades</v>
      </c>
      <c r="X23" s="11">
        <v>0.24411524455905589</v>
      </c>
      <c r="Y23" s="11">
        <v>0.23169195889720964</v>
      </c>
      <c r="Z23" s="11">
        <v>0.27940932640622779</v>
      </c>
      <c r="AA23" s="11">
        <v>0.29020823710276711</v>
      </c>
      <c r="AB23" s="11">
        <v>0.32445931603468431</v>
      </c>
      <c r="AC23" s="11"/>
      <c r="AD23" s="11">
        <f t="shared" si="4"/>
        <v>4.5049989628456522E-2</v>
      </c>
      <c r="AE23" s="11">
        <f>'RD T1'!T51</f>
        <v>0.15924195834993865</v>
      </c>
      <c r="AF23" s="11">
        <f t="shared" si="7"/>
        <v>0.20429194797839517</v>
      </c>
    </row>
    <row r="24" spans="1:32" x14ac:dyDescent="0.25">
      <c r="A24" s="10" t="str">
        <f>name!D20</f>
        <v>54 Textiles, printing and other skilled trades</v>
      </c>
      <c r="B24" s="11">
        <v>9.669103498426562</v>
      </c>
      <c r="C24" s="11">
        <v>8.4461052767901936</v>
      </c>
      <c r="D24" s="11">
        <v>8.3501192749530908</v>
      </c>
      <c r="E24" s="11">
        <v>8.0010898829984018</v>
      </c>
      <c r="F24" s="11">
        <v>7.4850513693049479</v>
      </c>
      <c r="G24" s="11"/>
      <c r="H24" s="11">
        <f t="shared" si="2"/>
        <v>-0.86506790564814295</v>
      </c>
      <c r="I24" s="11">
        <f>'RD T1'!E23</f>
        <v>3.3657233152412753</v>
      </c>
      <c r="J24" s="11">
        <f t="shared" si="5"/>
        <v>2.5006554095931324</v>
      </c>
      <c r="L24" s="10" t="str">
        <f>name!D20</f>
        <v>54 Textiles, printing and other skilled trades</v>
      </c>
      <c r="M24" s="11">
        <v>6.3445971972315238</v>
      </c>
      <c r="N24" s="11">
        <v>5.5082101775039565</v>
      </c>
      <c r="O24" s="11">
        <v>4.9649399753070922</v>
      </c>
      <c r="P24" s="11">
        <v>4.6999877283128138</v>
      </c>
      <c r="Q24" s="11">
        <v>4.2518098478429378</v>
      </c>
      <c r="R24" s="11"/>
      <c r="S24" s="11">
        <f t="shared" si="3"/>
        <v>-0.71313012746415438</v>
      </c>
      <c r="T24" s="11">
        <f>'RD T1'!T23</f>
        <v>1.4576390606796472</v>
      </c>
      <c r="U24" s="11">
        <f t="shared" si="6"/>
        <v>0.74450893321549283</v>
      </c>
      <c r="W24" s="10" t="str">
        <f>name!D20</f>
        <v>54 Textiles, printing and other skilled trades</v>
      </c>
      <c r="X24" s="11">
        <v>3.324506301195036</v>
      </c>
      <c r="Y24" s="11">
        <v>2.9378950992862318</v>
      </c>
      <c r="Z24" s="11">
        <v>3.3851792996460044</v>
      </c>
      <c r="AA24" s="11">
        <v>3.3011021546855881</v>
      </c>
      <c r="AB24" s="11">
        <v>3.2332415214620065</v>
      </c>
      <c r="AC24" s="11"/>
      <c r="AD24" s="11">
        <f t="shared" si="4"/>
        <v>-0.1519377781839979</v>
      </c>
      <c r="AE24" s="11">
        <f>'RD T1'!T52</f>
        <v>1.9080842545616281</v>
      </c>
      <c r="AF24" s="11">
        <f t="shared" si="7"/>
        <v>1.7561464763776302</v>
      </c>
    </row>
    <row r="25" spans="1:32" x14ac:dyDescent="0.25">
      <c r="A25" s="10" t="str">
        <f>name!D21</f>
        <v>61 Caring personal service occupations</v>
      </c>
      <c r="B25" s="11">
        <v>38.549226321705412</v>
      </c>
      <c r="C25" s="11">
        <v>41.061869374214055</v>
      </c>
      <c r="D25" s="11">
        <v>39.805845710644</v>
      </c>
      <c r="E25" s="11">
        <v>43.392777484738282</v>
      </c>
      <c r="F25" s="11">
        <v>47.806525479323881</v>
      </c>
      <c r="G25" s="11"/>
      <c r="H25" s="11">
        <f t="shared" si="2"/>
        <v>8.0006797686798805</v>
      </c>
      <c r="I25" s="11">
        <f>'RD T1'!E24</f>
        <v>25.2710172937939</v>
      </c>
      <c r="J25" s="11">
        <f t="shared" si="5"/>
        <v>33.271697062473777</v>
      </c>
      <c r="L25" s="10" t="str">
        <f>name!D21</f>
        <v>61 Caring personal service occupations</v>
      </c>
      <c r="M25" s="11">
        <v>4.2430476204005654</v>
      </c>
      <c r="N25" s="11">
        <v>4.4399736716267908</v>
      </c>
      <c r="O25" s="11">
        <v>4.2720139761381004</v>
      </c>
      <c r="P25" s="11">
        <v>5.2570515083138076</v>
      </c>
      <c r="Q25" s="11">
        <v>6.0233816531853872</v>
      </c>
      <c r="R25" s="11"/>
      <c r="S25" s="11">
        <f t="shared" si="3"/>
        <v>1.7513676770472868</v>
      </c>
      <c r="T25" s="11">
        <f>'RD T1'!T24</f>
        <v>2.3765215198211238</v>
      </c>
      <c r="U25" s="11">
        <f t="shared" si="6"/>
        <v>4.127889196868411</v>
      </c>
      <c r="W25" s="10" t="str">
        <f>name!D21</f>
        <v>61 Caring personal service occupations</v>
      </c>
      <c r="X25" s="11">
        <v>34.306178701304852</v>
      </c>
      <c r="Y25" s="11">
        <v>36.621895702587267</v>
      </c>
      <c r="Z25" s="11">
        <v>35.533831734505888</v>
      </c>
      <c r="AA25" s="11">
        <v>38.135725976424474</v>
      </c>
      <c r="AB25" s="11">
        <v>41.783143826138506</v>
      </c>
      <c r="AC25" s="11"/>
      <c r="AD25" s="11">
        <f t="shared" si="4"/>
        <v>6.2493120916326177</v>
      </c>
      <c r="AE25" s="11">
        <f>'RD T1'!T53</f>
        <v>22.894495773972768</v>
      </c>
      <c r="AF25" s="11">
        <f t="shared" si="7"/>
        <v>29.143807865605385</v>
      </c>
    </row>
    <row r="26" spans="1:32" x14ac:dyDescent="0.25">
      <c r="A26" s="10" t="str">
        <f>name!D22</f>
        <v>62 Leisure, travel and related personal service occupations</v>
      </c>
      <c r="B26" s="11">
        <v>11.482295485656088</v>
      </c>
      <c r="C26" s="11">
        <v>10.028377892597494</v>
      </c>
      <c r="D26" s="11">
        <v>9.1467848880288667</v>
      </c>
      <c r="E26" s="11">
        <v>9.2777953908540791</v>
      </c>
      <c r="F26" s="11">
        <v>9.4378645671143033</v>
      </c>
      <c r="G26" s="11"/>
      <c r="H26" s="11">
        <f t="shared" si="2"/>
        <v>0.29107967908543664</v>
      </c>
      <c r="I26" s="11">
        <f>'RD T1'!E25</f>
        <v>4.7791302351719134</v>
      </c>
      <c r="J26" s="11">
        <f t="shared" si="5"/>
        <v>5.07020991425735</v>
      </c>
      <c r="L26" s="10" t="str">
        <f>name!D22</f>
        <v>62 Leisure, travel and related personal service occupations</v>
      </c>
      <c r="M26" s="11">
        <v>3.058491608492754</v>
      </c>
      <c r="N26" s="11">
        <v>2.8665436273098526</v>
      </c>
      <c r="O26" s="11">
        <v>2.7402654170114906</v>
      </c>
      <c r="P26" s="11">
        <v>2.8021767672007876</v>
      </c>
      <c r="Q26" s="11">
        <v>2.9280944168669421</v>
      </c>
      <c r="R26" s="11"/>
      <c r="S26" s="11">
        <f t="shared" si="3"/>
        <v>0.18782899985545143</v>
      </c>
      <c r="T26" s="11">
        <f>'RD T1'!T25</f>
        <v>1.2322327009250122</v>
      </c>
      <c r="U26" s="11">
        <f t="shared" si="6"/>
        <v>1.4200617007804637</v>
      </c>
      <c r="W26" s="10" t="str">
        <f>name!D22</f>
        <v>62 Leisure, travel and related personal service occupations</v>
      </c>
      <c r="X26" s="11">
        <v>8.4238038771633335</v>
      </c>
      <c r="Y26" s="11">
        <v>7.1618342652876512</v>
      </c>
      <c r="Z26" s="11">
        <v>6.4065194710173774</v>
      </c>
      <c r="AA26" s="11">
        <v>6.4756186236532978</v>
      </c>
      <c r="AB26" s="11">
        <v>6.5097701502473697</v>
      </c>
      <c r="AC26" s="11"/>
      <c r="AD26" s="11">
        <f t="shared" si="4"/>
        <v>0.10325067922999231</v>
      </c>
      <c r="AE26" s="11">
        <f>'RD T1'!T54</f>
        <v>3.5468975342469009</v>
      </c>
      <c r="AF26" s="11">
        <f t="shared" si="7"/>
        <v>3.6501482134768932</v>
      </c>
    </row>
    <row r="27" spans="1:32" x14ac:dyDescent="0.25">
      <c r="A27" s="10" t="str">
        <f>name!D23</f>
        <v>63 Community and civil enforcement occupations</v>
      </c>
      <c r="B27" s="11">
        <v>0.44667082132503055</v>
      </c>
      <c r="C27" s="11">
        <v>0.3674632446263803</v>
      </c>
      <c r="D27" s="11">
        <v>0.45801284753679466</v>
      </c>
      <c r="E27" s="11">
        <v>0.38277272703856241</v>
      </c>
      <c r="F27" s="11">
        <v>0.41874006149257798</v>
      </c>
      <c r="G27" s="11"/>
      <c r="H27" s="11">
        <f t="shared" si="2"/>
        <v>-3.927278604421669E-2</v>
      </c>
      <c r="I27" s="11">
        <f>'RD T1'!E26</f>
        <v>0.197879480501295</v>
      </c>
      <c r="J27" s="11">
        <f t="shared" si="5"/>
        <v>0.15860669445707831</v>
      </c>
      <c r="L27" s="10" t="str">
        <f>name!D23</f>
        <v>63 Community and civil enforcement occupations</v>
      </c>
      <c r="M27" s="11">
        <v>0.3474536387372123</v>
      </c>
      <c r="N27" s="11">
        <v>0.24513125617545808</v>
      </c>
      <c r="O27" s="11">
        <v>0.35144879684425001</v>
      </c>
      <c r="P27" s="11">
        <v>0.24227368515507217</v>
      </c>
      <c r="Q27" s="11">
        <v>0.27641728730973392</v>
      </c>
      <c r="R27" s="11"/>
      <c r="S27" s="11">
        <f t="shared" si="3"/>
        <v>-7.5031509534516094E-2</v>
      </c>
      <c r="T27" s="11">
        <f>'RD T1'!T26</f>
        <v>0.10708176331486299</v>
      </c>
      <c r="U27" s="11">
        <f t="shared" si="6"/>
        <v>3.2050253780346899E-2</v>
      </c>
      <c r="W27" s="10" t="str">
        <f>name!D23</f>
        <v>63 Community and civil enforcement occupations</v>
      </c>
      <c r="X27" s="11">
        <v>9.9217182587818226E-2</v>
      </c>
      <c r="Y27" s="11">
        <v>0.12233198845092201</v>
      </c>
      <c r="Z27" s="11">
        <v>0.10656405069254467</v>
      </c>
      <c r="AA27" s="11">
        <v>0.14049904188349038</v>
      </c>
      <c r="AB27" s="11">
        <v>0.14232277418284373</v>
      </c>
      <c r="AC27" s="11"/>
      <c r="AD27" s="11">
        <f t="shared" si="4"/>
        <v>3.5758723490299058E-2</v>
      </c>
      <c r="AE27" s="11">
        <f>'RD T1'!T55</f>
        <v>9.0797717186431967E-2</v>
      </c>
      <c r="AF27" s="11">
        <f t="shared" si="7"/>
        <v>0.12655644067673102</v>
      </c>
    </row>
    <row r="28" spans="1:32" x14ac:dyDescent="0.25">
      <c r="A28" s="10" t="str">
        <f>name!D24</f>
        <v>71 Sales occupations</v>
      </c>
      <c r="B28" s="11">
        <v>34.223800198352485</v>
      </c>
      <c r="C28" s="11">
        <v>30.736255514037822</v>
      </c>
      <c r="D28" s="11">
        <v>30.191807825248862</v>
      </c>
      <c r="E28" s="11">
        <v>27.72715045001522</v>
      </c>
      <c r="F28" s="11">
        <v>25.969905791596378</v>
      </c>
      <c r="G28" s="11"/>
      <c r="H28" s="11">
        <f t="shared" si="2"/>
        <v>-4.2219020336524835</v>
      </c>
      <c r="I28" s="11">
        <f>'RD T1'!E27</f>
        <v>12.464489272924162</v>
      </c>
      <c r="J28" s="11">
        <f t="shared" si="5"/>
        <v>8.2425872392716784</v>
      </c>
      <c r="L28" s="10" t="str">
        <f>name!D24</f>
        <v>71 Sales occupations</v>
      </c>
      <c r="M28" s="11">
        <v>13.780219937698439</v>
      </c>
      <c r="N28" s="11">
        <v>13.056615185235627</v>
      </c>
      <c r="O28" s="11">
        <v>12.938657545094458</v>
      </c>
      <c r="P28" s="11">
        <v>12.063699795752783</v>
      </c>
      <c r="Q28" s="11">
        <v>11.50387541225362</v>
      </c>
      <c r="R28" s="11"/>
      <c r="S28" s="11">
        <f t="shared" si="3"/>
        <v>-1.4347821328408372</v>
      </c>
      <c r="T28" s="11">
        <f>'RD T1'!T27</f>
        <v>3.9017012139859149</v>
      </c>
      <c r="U28" s="11">
        <f t="shared" si="6"/>
        <v>2.4669190811450776</v>
      </c>
      <c r="W28" s="10" t="str">
        <f>name!D24</f>
        <v>71 Sales occupations</v>
      </c>
      <c r="X28" s="11">
        <v>20.443580260654084</v>
      </c>
      <c r="Y28" s="11">
        <v>17.679640328802183</v>
      </c>
      <c r="Z28" s="11">
        <v>17.253150280154376</v>
      </c>
      <c r="AA28" s="11">
        <v>15.663450654262409</v>
      </c>
      <c r="AB28" s="11">
        <v>14.466030379342753</v>
      </c>
      <c r="AC28" s="11"/>
      <c r="AD28" s="11">
        <f t="shared" si="4"/>
        <v>-2.7871199008116232</v>
      </c>
      <c r="AE28" s="11">
        <f>'RD T1'!T56</f>
        <v>8.5627880589382475</v>
      </c>
      <c r="AF28" s="11">
        <f t="shared" si="7"/>
        <v>5.7756681581266243</v>
      </c>
    </row>
    <row r="29" spans="1:32" x14ac:dyDescent="0.25">
      <c r="A29" s="10" t="str">
        <f>name!D25</f>
        <v>72 Customer service occupations</v>
      </c>
      <c r="B29" s="11">
        <v>9.0886906437377402</v>
      </c>
      <c r="C29" s="11">
        <v>8.8480017178491579</v>
      </c>
      <c r="D29" s="11">
        <v>9.1178307619805707</v>
      </c>
      <c r="E29" s="11">
        <v>11.78604783936143</v>
      </c>
      <c r="F29" s="11">
        <v>13.440976966771922</v>
      </c>
      <c r="G29" s="11"/>
      <c r="H29" s="11">
        <f t="shared" si="2"/>
        <v>4.3231462047913514</v>
      </c>
      <c r="I29" s="11">
        <f>'RD T1'!E28</f>
        <v>5.4930908419760724</v>
      </c>
      <c r="J29" s="11">
        <f t="shared" si="5"/>
        <v>9.8162370467674229</v>
      </c>
      <c r="L29" s="10" t="str">
        <f>name!D25</f>
        <v>72 Customer service occupations</v>
      </c>
      <c r="M29" s="11">
        <v>3.9189141356413502</v>
      </c>
      <c r="N29" s="11">
        <v>3.2108730880265197</v>
      </c>
      <c r="O29" s="11">
        <v>3.7325933245267708</v>
      </c>
      <c r="P29" s="11">
        <v>5.2316049598822483</v>
      </c>
      <c r="Q29" s="11">
        <v>6.0861719042285651</v>
      </c>
      <c r="R29" s="11"/>
      <c r="S29" s="11">
        <f t="shared" si="3"/>
        <v>2.3535785797017943</v>
      </c>
      <c r="T29" s="11">
        <f>'RD T1'!T28</f>
        <v>1.8484617707676598</v>
      </c>
      <c r="U29" s="11">
        <f t="shared" si="6"/>
        <v>4.2020403504694546</v>
      </c>
      <c r="W29" s="10" t="str">
        <f>name!D25</f>
        <v>72 Customer service occupations</v>
      </c>
      <c r="X29" s="11">
        <v>5.1697765080963771</v>
      </c>
      <c r="Y29" s="11">
        <v>5.6371286298226382</v>
      </c>
      <c r="Z29" s="11">
        <v>5.3852374374537986</v>
      </c>
      <c r="AA29" s="11">
        <v>6.5544428794792013</v>
      </c>
      <c r="AB29" s="11">
        <v>7.3548050625433694</v>
      </c>
      <c r="AC29" s="11"/>
      <c r="AD29" s="11">
        <f t="shared" si="4"/>
        <v>1.9695676250895708</v>
      </c>
      <c r="AE29" s="11">
        <f>'RD T1'!T57</f>
        <v>3.6446290712084131</v>
      </c>
      <c r="AF29" s="11">
        <f t="shared" si="7"/>
        <v>5.6141966962979843</v>
      </c>
    </row>
    <row r="30" spans="1:32" x14ac:dyDescent="0.25">
      <c r="A30" s="10" t="str">
        <f>name!D26</f>
        <v>81 Process, plant and machine operatives</v>
      </c>
      <c r="B30" s="11">
        <v>23.017676946693587</v>
      </c>
      <c r="C30" s="11">
        <v>21.73705414319814</v>
      </c>
      <c r="D30" s="11">
        <v>18.31625402877377</v>
      </c>
      <c r="E30" s="11">
        <v>21.943097050143233</v>
      </c>
      <c r="F30" s="11">
        <v>21.313020528914095</v>
      </c>
      <c r="G30" s="11"/>
      <c r="H30" s="11">
        <f t="shared" si="2"/>
        <v>2.9967665001403248</v>
      </c>
      <c r="I30" s="11">
        <f>'RD T1'!E29</f>
        <v>8.5869227295539954</v>
      </c>
      <c r="J30" s="11">
        <f t="shared" si="5"/>
        <v>11.58368922969432</v>
      </c>
      <c r="L30" s="10" t="str">
        <f>name!D26</f>
        <v>81 Process, plant and machine operatives</v>
      </c>
      <c r="M30" s="11">
        <v>18.516053173598376</v>
      </c>
      <c r="N30" s="11">
        <v>17.022290606392605</v>
      </c>
      <c r="O30" s="11">
        <v>14.240849462931685</v>
      </c>
      <c r="P30" s="11">
        <v>16.799006313139607</v>
      </c>
      <c r="Q30" s="11">
        <v>16.01928453256275</v>
      </c>
      <c r="R30" s="11"/>
      <c r="S30" s="11">
        <f t="shared" si="3"/>
        <v>1.7784350696310653</v>
      </c>
      <c r="T30" s="11">
        <f>'RD T1'!T29</f>
        <v>5.9728153254484555</v>
      </c>
      <c r="U30" s="11">
        <f t="shared" si="6"/>
        <v>7.7512503950795208</v>
      </c>
      <c r="W30" s="10" t="str">
        <f>name!D26</f>
        <v>81 Process, plant and machine operatives</v>
      </c>
      <c r="X30" s="11">
        <v>4.5016237730952104</v>
      </c>
      <c r="Y30" s="11">
        <v>4.714763536805548</v>
      </c>
      <c r="Z30" s="11">
        <v>4.0754045658420548</v>
      </c>
      <c r="AA30" s="11">
        <v>5.1440907370036157</v>
      </c>
      <c r="AB30" s="11">
        <v>5.2937359963513479</v>
      </c>
      <c r="AC30" s="11"/>
      <c r="AD30" s="11">
        <f t="shared" si="4"/>
        <v>1.2183314305092932</v>
      </c>
      <c r="AE30" s="11">
        <f>'RD T1'!T58</f>
        <v>2.6141074041055399</v>
      </c>
      <c r="AF30" s="11">
        <f t="shared" si="7"/>
        <v>3.832438834614833</v>
      </c>
    </row>
    <row r="31" spans="1:32" x14ac:dyDescent="0.25">
      <c r="A31" s="10" t="str">
        <f>name!D27</f>
        <v>82 Transport and mobile machine drivers and operatives</v>
      </c>
      <c r="B31" s="11">
        <v>24.123007113083549</v>
      </c>
      <c r="C31" s="11">
        <v>24.835414702497786</v>
      </c>
      <c r="D31" s="11">
        <v>21.951501270507791</v>
      </c>
      <c r="E31" s="11">
        <v>23.846902034062865</v>
      </c>
      <c r="F31" s="11">
        <v>24.153900346524193</v>
      </c>
      <c r="G31" s="11"/>
      <c r="H31" s="11">
        <f t="shared" si="2"/>
        <v>2.2023990760164018</v>
      </c>
      <c r="I31" s="11">
        <f>'RD T1'!E30</f>
        <v>12.641330522657963</v>
      </c>
      <c r="J31" s="11">
        <f t="shared" si="5"/>
        <v>14.843729598674365</v>
      </c>
      <c r="L31" s="10" t="str">
        <f>name!D27</f>
        <v>82 Transport and mobile machine drivers and operatives</v>
      </c>
      <c r="M31" s="11">
        <v>23.025017983339353</v>
      </c>
      <c r="N31" s="11">
        <v>23.675571046795302</v>
      </c>
      <c r="O31" s="11">
        <v>20.970327260829357</v>
      </c>
      <c r="P31" s="11">
        <v>22.345390744909619</v>
      </c>
      <c r="Q31" s="11">
        <v>22.421091909051682</v>
      </c>
      <c r="R31" s="11"/>
      <c r="S31" s="11">
        <f t="shared" si="3"/>
        <v>1.4507646482223251</v>
      </c>
      <c r="T31" s="11">
        <f>'RD T1'!T30</f>
        <v>11.66412028667688</v>
      </c>
      <c r="U31" s="11">
        <f t="shared" si="6"/>
        <v>13.114884934899205</v>
      </c>
      <c r="W31" s="10" t="str">
        <f>name!D27</f>
        <v>82 Transport and mobile machine drivers and operatives</v>
      </c>
      <c r="X31" s="11">
        <v>1.0979891297442075</v>
      </c>
      <c r="Y31" s="11">
        <v>1.1598436557025107</v>
      </c>
      <c r="Z31" s="11">
        <v>0.98117400967843427</v>
      </c>
      <c r="AA31" s="11">
        <v>1.5015112891532423</v>
      </c>
      <c r="AB31" s="11">
        <v>1.7328084374724997</v>
      </c>
      <c r="AC31" s="11"/>
      <c r="AD31" s="11">
        <f t="shared" si="4"/>
        <v>0.75163442779406542</v>
      </c>
      <c r="AE31" s="11">
        <f>'RD T1'!T59</f>
        <v>0.97721023598108014</v>
      </c>
      <c r="AF31" s="11">
        <f t="shared" si="7"/>
        <v>1.7288446637751456</v>
      </c>
    </row>
    <row r="32" spans="1:32" x14ac:dyDescent="0.25">
      <c r="A32" s="10" t="str">
        <f>name!D28</f>
        <v>91 Elementary trades and related occupations</v>
      </c>
      <c r="B32" s="11">
        <v>11.487443580203083</v>
      </c>
      <c r="C32" s="11">
        <v>9.8320405541299731</v>
      </c>
      <c r="D32" s="11">
        <v>8.6428835980951746</v>
      </c>
      <c r="E32" s="11">
        <v>7.3188128388141793</v>
      </c>
      <c r="F32" s="11">
        <v>6.864739167432238</v>
      </c>
      <c r="G32" s="11"/>
      <c r="H32" s="11">
        <f t="shared" si="2"/>
        <v>-1.7781444306629366</v>
      </c>
      <c r="I32" s="11">
        <f>'RD T1'!E31</f>
        <v>2.9576920072013015</v>
      </c>
      <c r="J32" s="11">
        <f t="shared" si="5"/>
        <v>1.179547576538365</v>
      </c>
      <c r="L32" s="10" t="str">
        <f>name!D28</f>
        <v>91 Elementary trades and related occupations</v>
      </c>
      <c r="M32" s="11">
        <v>8.64406650366473</v>
      </c>
      <c r="N32" s="11">
        <v>7.4127368380211713</v>
      </c>
      <c r="O32" s="11">
        <v>6.714685612172139</v>
      </c>
      <c r="P32" s="11">
        <v>5.6505287092764451</v>
      </c>
      <c r="Q32" s="11">
        <v>5.2825902579145962</v>
      </c>
      <c r="R32" s="11"/>
      <c r="S32" s="11">
        <f t="shared" si="3"/>
        <v>-1.4320953542575428</v>
      </c>
      <c r="T32" s="11">
        <f>'RD T1'!T31</f>
        <v>1.9007400359716879</v>
      </c>
      <c r="U32" s="11">
        <f t="shared" si="6"/>
        <v>0.46864468171414519</v>
      </c>
      <c r="W32" s="10" t="str">
        <f>name!D28</f>
        <v>91 Elementary trades and related occupations</v>
      </c>
      <c r="X32" s="11">
        <v>2.8433770765383439</v>
      </c>
      <c r="Y32" s="11">
        <v>2.4193037161087934</v>
      </c>
      <c r="Z32" s="11">
        <v>1.9281979859230163</v>
      </c>
      <c r="AA32" s="11">
        <v>1.6682841295377395</v>
      </c>
      <c r="AB32" s="11">
        <v>1.5821489095176442</v>
      </c>
      <c r="AC32" s="11"/>
      <c r="AD32" s="11">
        <f t="shared" si="4"/>
        <v>-0.34604907640537208</v>
      </c>
      <c r="AE32" s="11">
        <f>'RD T1'!T60</f>
        <v>1.0569519712296145</v>
      </c>
      <c r="AF32" s="11">
        <f t="shared" si="7"/>
        <v>0.7109028948242424</v>
      </c>
    </row>
    <row r="33" spans="1:32" x14ac:dyDescent="0.25">
      <c r="A33" s="10" t="str">
        <f>name!D29</f>
        <v>92 Elementary administration and service occupations</v>
      </c>
      <c r="B33" s="11">
        <v>45.472494733851818</v>
      </c>
      <c r="C33" s="11">
        <v>41.766910652938115</v>
      </c>
      <c r="D33" s="11">
        <v>37.733870308121773</v>
      </c>
      <c r="E33" s="11">
        <v>38.141407341486826</v>
      </c>
      <c r="F33" s="11">
        <v>35.249982103219963</v>
      </c>
      <c r="G33" s="11"/>
      <c r="H33" s="11">
        <f t="shared" ref="H33" si="8">F33-D33</f>
        <v>-2.4838882049018096</v>
      </c>
      <c r="I33" s="11">
        <f>'RD T1'!E32</f>
        <v>18.255082708543434</v>
      </c>
      <c r="J33" s="11">
        <f>SUM(H33:I33)</f>
        <v>15.771194503641624</v>
      </c>
      <c r="L33" s="10" t="str">
        <f>name!D29</f>
        <v>92 Elementary administration and service occupations</v>
      </c>
      <c r="M33" s="11">
        <v>23.573386766069238</v>
      </c>
      <c r="N33" s="11">
        <v>19.916820189908442</v>
      </c>
      <c r="O33" s="11">
        <v>18.818562046152262</v>
      </c>
      <c r="P33" s="11">
        <v>20.106290271492465</v>
      </c>
      <c r="Q33" s="11">
        <v>18.797003814893657</v>
      </c>
      <c r="R33" s="11"/>
      <c r="S33" s="11">
        <f t="shared" ref="S33" si="9">Q33-O33</f>
        <v>-2.1558231258605787E-2</v>
      </c>
      <c r="T33" s="11">
        <f>'RD T1'!T32</f>
        <v>7.9123356886639762</v>
      </c>
      <c r="U33" s="11">
        <f t="shared" ref="U33" si="10">SUM(S33:T33)</f>
        <v>7.8907774574053704</v>
      </c>
      <c r="W33" s="10" t="str">
        <f>name!D29</f>
        <v>92 Elementary administration and service occupations</v>
      </c>
      <c r="X33" s="11">
        <v>21.899107967782566</v>
      </c>
      <c r="Y33" s="11">
        <v>21.85009046302968</v>
      </c>
      <c r="Z33" s="11">
        <v>18.915308261969496</v>
      </c>
      <c r="AA33" s="11">
        <v>18.035117069994357</v>
      </c>
      <c r="AB33" s="11">
        <v>16.452978288326339</v>
      </c>
      <c r="AC33" s="11"/>
      <c r="AD33" s="11">
        <f t="shared" ref="AD33" si="11">AB33-Z33</f>
        <v>-2.4623299736431576</v>
      </c>
      <c r="AE33" s="11">
        <f>'RD T1'!T61</f>
        <v>10.342747019879454</v>
      </c>
      <c r="AF33" s="11">
        <f t="shared" ref="AF33" si="12">SUM(AD33:AE33)</f>
        <v>7.8804170462362961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31" t="str">
        <f>name!D3</f>
        <v>All occupations</v>
      </c>
      <c r="B35" s="34">
        <f>SUM(B8:B33)</f>
        <v>505.56200000000018</v>
      </c>
      <c r="C35" s="34">
        <f>SUM(C8:C33)</f>
        <v>509.93099999999987</v>
      </c>
      <c r="D35" s="34">
        <f>SUM(D8:D33)</f>
        <v>496.19400000000019</v>
      </c>
      <c r="E35" s="34">
        <f>SUM(E8:E33)</f>
        <v>508.12799999999982</v>
      </c>
      <c r="F35" s="34">
        <f>SUM(F8:F33)</f>
        <v>521.94399999999973</v>
      </c>
      <c r="G35" s="11"/>
      <c r="H35" s="34">
        <f>F35-D35</f>
        <v>25.749999999999545</v>
      </c>
      <c r="I35" s="34">
        <f>SUM(I8:I33)</f>
        <v>246.00013269454834</v>
      </c>
      <c r="J35" s="34">
        <f>SUM(J8:J33)</f>
        <v>271.75013269454791</v>
      </c>
      <c r="L35" s="231" t="str">
        <f>name!D3</f>
        <v>All occupations</v>
      </c>
      <c r="M35" s="34">
        <f>SUM(M8:M33)</f>
        <v>278.47300247517569</v>
      </c>
      <c r="N35" s="34">
        <f>SUM(N8:N33)</f>
        <v>275.9017323960112</v>
      </c>
      <c r="O35" s="34">
        <f>SUM(O8:O33)</f>
        <v>265.09940440411077</v>
      </c>
      <c r="P35" s="34">
        <f>SUM(P8:P33)</f>
        <v>269.87496646914229</v>
      </c>
      <c r="Q35" s="34">
        <f>SUM(Q8:Q33)</f>
        <v>273.44446800719913</v>
      </c>
      <c r="R35" s="11"/>
      <c r="S35" s="34">
        <f>Q35-O35</f>
        <v>8.3450636030883629</v>
      </c>
      <c r="T35" s="34">
        <f>SUM(T8:T33)</f>
        <v>109.07337200483829</v>
      </c>
      <c r="U35" s="34">
        <f>SUM(U8:U33)</f>
        <v>117.41843560792663</v>
      </c>
      <c r="W35" s="231" t="str">
        <f>name!D3</f>
        <v>All occupations</v>
      </c>
      <c r="X35" s="34">
        <f>SUM(X8:X33)</f>
        <v>227.08899752482441</v>
      </c>
      <c r="Y35" s="34">
        <f>SUM(Y8:Y33)</f>
        <v>234.02926760398881</v>
      </c>
      <c r="Z35" s="34">
        <f>SUM(Z8:Z33)</f>
        <v>231.09459559588936</v>
      </c>
      <c r="AA35" s="34">
        <f>SUM(AA8:AA33)</f>
        <v>238.25303353085752</v>
      </c>
      <c r="AB35" s="34">
        <f>SUM(AB8:AB33)</f>
        <v>248.49953199280068</v>
      </c>
      <c r="AC35" s="11"/>
      <c r="AD35" s="34">
        <f t="shared" ref="AD35" si="13">AB35-Z35</f>
        <v>17.404936396911324</v>
      </c>
      <c r="AE35" s="34">
        <f>SUM(AE8:AE33)</f>
        <v>136.92676068970997</v>
      </c>
      <c r="AF35" s="34">
        <f>SUM(AF8:AF33)</f>
        <v>154.33169708662138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9" t="str">
        <f>CONCATENATE(A$1," (Continued)")</f>
        <v>Occupation Table 2  Employment Change by Occupation (SOC 2020) and Replacement Demand, 2015-2035, Black Country (Continued)</v>
      </c>
      <c r="L38" s="19" t="str">
        <f>CONCATENATE(L$1," (Continued)")</f>
        <v>Occupation Table 2.1  Males: Employment Change by Occupation (SOC 2020) and Replacement Demand, 2015-2035, Black Country (Continued)</v>
      </c>
      <c r="W38" s="19" t="str">
        <f>CONCATENATE(W$1," (Continued)")</f>
        <v>Occupation Table 2.2  Females: Employment Change by Occupation (SOC 2020) and Replacement Demand, 2015-2035, Black Country (Continued)</v>
      </c>
    </row>
    <row r="40" spans="1:32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ht="13" x14ac:dyDescent="0.3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173">
        <f t="shared" ref="B45:F54" si="20">B8/B$35*100</f>
        <v>5.9104097619839706</v>
      </c>
      <c r="C45" s="173">
        <f t="shared" si="20"/>
        <v>6.603007298957662</v>
      </c>
      <c r="D45" s="173">
        <f t="shared" si="20"/>
        <v>6.9445183163356754</v>
      </c>
      <c r="E45" s="173">
        <f t="shared" si="20"/>
        <v>6.3421339565992527</v>
      </c>
      <c r="F45" s="173">
        <f t="shared" si="20"/>
        <v>6.7838985018147477</v>
      </c>
      <c r="H45" s="68">
        <f t="shared" ref="H45:H70" si="21">IF(D8&gt;0,(H8/D8)*100,0)</f>
        <v>2.7565737266677668</v>
      </c>
      <c r="I45" s="69">
        <f t="shared" ref="I45:I70" si="22">IF(D8&gt;0,I8/D8*100,0)</f>
        <v>49.474817245615988</v>
      </c>
      <c r="J45" s="69">
        <f t="shared" ref="J45:J70" si="23">IF(D8&gt;0,(J8/D8)*100,0)</f>
        <v>52.231390972283755</v>
      </c>
      <c r="L45" t="str">
        <f t="shared" ref="L45:L70" si="24">L8</f>
        <v>11 Corporate managers and directors</v>
      </c>
      <c r="M45" s="173">
        <f t="shared" ref="M45:Q45" si="25">M8/M$35*100</f>
        <v>7.7043942740961837</v>
      </c>
      <c r="N45" s="173">
        <f t="shared" si="25"/>
        <v>8.4283528920286237</v>
      </c>
      <c r="O45" s="173">
        <f t="shared" si="25"/>
        <v>8.880099307742702</v>
      </c>
      <c r="P45" s="173">
        <f t="shared" si="25"/>
        <v>7.8932971808926871</v>
      </c>
      <c r="Q45" s="173">
        <f t="shared" si="25"/>
        <v>8.2177524958165193</v>
      </c>
      <c r="S45" s="68">
        <f t="shared" ref="S45:S70" si="26">IF(O8&gt;0,(S8/O8)*100,0)</f>
        <v>-4.5456721159677231</v>
      </c>
      <c r="T45" s="69">
        <f t="shared" ref="T45:T70" si="27">IF(O8&gt;0,T8/O8*100,0)</f>
        <v>43.340194939459266</v>
      </c>
      <c r="U45" s="69">
        <f t="shared" ref="U45:U70" si="28">IF(O8&gt;0,(U8/O8)*100,0)</f>
        <v>38.794522823491548</v>
      </c>
      <c r="W45" t="str">
        <f t="shared" ref="W45:W70" si="29">W8</f>
        <v>11 Corporate managers and directors</v>
      </c>
      <c r="X45" s="173">
        <f t="shared" ref="X45:AB45" si="30">X8/X$35*100</f>
        <v>3.710495812268118</v>
      </c>
      <c r="Y45" s="173">
        <f t="shared" si="30"/>
        <v>4.4510712761440763</v>
      </c>
      <c r="Z45" s="173">
        <f t="shared" si="30"/>
        <v>4.7241229554021524</v>
      </c>
      <c r="AA45" s="173">
        <f t="shared" si="30"/>
        <v>4.5850939015766459</v>
      </c>
      <c r="AB45" s="173">
        <f t="shared" si="30"/>
        <v>5.2061110530996686</v>
      </c>
      <c r="AD45" s="68">
        <f t="shared" ref="AD45:AD70" si="31">IF(Z8&gt;0,(AD8/Z8)*100,0)</f>
        <v>18.502638842090231</v>
      </c>
      <c r="AE45" s="69">
        <f t="shared" ref="AE45:AE70" si="32">IF(Z8&gt;0,AE8/Z8*100,0)</f>
        <v>62.703098567955507</v>
      </c>
      <c r="AF45" s="69">
        <f t="shared" ref="AF45:AF70" si="33">IF(Z8&gt;0,(AF8/Z8)*100,0)</f>
        <v>81.205737410045728</v>
      </c>
    </row>
    <row r="46" spans="1:32" x14ac:dyDescent="0.25">
      <c r="A46" t="str">
        <f t="shared" si="19"/>
        <v>12 Other managers and proprietors</v>
      </c>
      <c r="B46" s="173">
        <f t="shared" si="20"/>
        <v>2.4748566575650313</v>
      </c>
      <c r="C46" s="173">
        <f t="shared" si="20"/>
        <v>2.4855062469097775</v>
      </c>
      <c r="D46" s="173">
        <f t="shared" si="20"/>
        <v>2.6610458927608294</v>
      </c>
      <c r="E46" s="173">
        <f t="shared" si="20"/>
        <v>3.2272752016078781</v>
      </c>
      <c r="F46" s="173">
        <f t="shared" si="20"/>
        <v>3.6271590636340014</v>
      </c>
      <c r="H46" s="68">
        <f t="shared" si="21"/>
        <v>43.379360124715845</v>
      </c>
      <c r="I46" s="69">
        <f t="shared" si="22"/>
        <v>73.868601426199618</v>
      </c>
      <c r="J46" s="69">
        <f t="shared" si="23"/>
        <v>117.24796155091546</v>
      </c>
      <c r="L46" t="str">
        <f t="shared" si="24"/>
        <v>12 Other managers and proprietors</v>
      </c>
      <c r="M46" s="173">
        <f t="shared" ref="M46:Q46" si="34">M9/M$35*100</f>
        <v>2.7218318090507472</v>
      </c>
      <c r="N46" s="173">
        <f t="shared" si="34"/>
        <v>2.824966749761388</v>
      </c>
      <c r="O46" s="173">
        <f t="shared" si="34"/>
        <v>2.7916665587979281</v>
      </c>
      <c r="P46" s="173">
        <f t="shared" si="34"/>
        <v>3.5219668249916491</v>
      </c>
      <c r="Q46" s="173">
        <f t="shared" si="34"/>
        <v>3.9465367356861667</v>
      </c>
      <c r="S46" s="68">
        <f t="shared" si="26"/>
        <v>45.818623810910402</v>
      </c>
      <c r="T46" s="69">
        <f t="shared" si="27"/>
        <v>67.329005710768271</v>
      </c>
      <c r="U46" s="69">
        <f t="shared" si="28"/>
        <v>113.14762952167867</v>
      </c>
      <c r="W46" t="str">
        <f t="shared" si="29"/>
        <v>12 Other managers and proprietors</v>
      </c>
      <c r="X46" s="173">
        <f t="shared" ref="X46:AB46" si="35">X9/X$35*100</f>
        <v>2.1719978105023503</v>
      </c>
      <c r="Y46" s="173">
        <f t="shared" si="35"/>
        <v>2.0853095459772137</v>
      </c>
      <c r="Z46" s="173">
        <f t="shared" si="35"/>
        <v>2.5112048258158657</v>
      </c>
      <c r="AA46" s="173">
        <f t="shared" si="35"/>
        <v>2.8934708810465883</v>
      </c>
      <c r="AB46" s="173">
        <f t="shared" si="35"/>
        <v>3.2757215501411618</v>
      </c>
      <c r="AD46" s="68">
        <f t="shared" si="31"/>
        <v>40.268653026493496</v>
      </c>
      <c r="AE46" s="69">
        <f t="shared" si="32"/>
        <v>82.20831759818536</v>
      </c>
      <c r="AF46" s="69">
        <f t="shared" si="33"/>
        <v>122.47697062467886</v>
      </c>
    </row>
    <row r="47" spans="1:32" x14ac:dyDescent="0.25">
      <c r="A47" t="str">
        <f t="shared" si="19"/>
        <v>21 Science, research, engineering and technology professionals</v>
      </c>
      <c r="B47" s="173">
        <f t="shared" si="20"/>
        <v>4.6863821477954453</v>
      </c>
      <c r="C47" s="173">
        <f t="shared" si="20"/>
        <v>5.0050776417218694</v>
      </c>
      <c r="D47" s="173">
        <f t="shared" si="20"/>
        <v>5.3780702134723235</v>
      </c>
      <c r="E47" s="173">
        <f t="shared" si="20"/>
        <v>5.4462503230481092</v>
      </c>
      <c r="F47" s="173">
        <f t="shared" si="20"/>
        <v>5.8004620977566566</v>
      </c>
      <c r="H47" s="68">
        <f t="shared" si="21"/>
        <v>13.451051785069659</v>
      </c>
      <c r="I47" s="69">
        <f t="shared" si="22"/>
        <v>38.647363670360861</v>
      </c>
      <c r="J47" s="69">
        <f t="shared" si="23"/>
        <v>52.098415455430526</v>
      </c>
      <c r="L47" t="str">
        <f t="shared" si="24"/>
        <v>21 Science, research, engineering and technology professionals</v>
      </c>
      <c r="M47" s="173">
        <f t="shared" ref="M47:Q47" si="36">M10/M$35*100</f>
        <v>7.1770064339787067</v>
      </c>
      <c r="N47" s="173">
        <f t="shared" si="36"/>
        <v>7.8344279023080778</v>
      </c>
      <c r="O47" s="173">
        <f t="shared" si="36"/>
        <v>8.2302985483556963</v>
      </c>
      <c r="P47" s="173">
        <f t="shared" si="36"/>
        <v>8.1488916036661561</v>
      </c>
      <c r="Q47" s="173">
        <f t="shared" si="36"/>
        <v>8.536060140936149</v>
      </c>
      <c r="S47" s="68">
        <f t="shared" si="26"/>
        <v>6.9799194856869011</v>
      </c>
      <c r="T47" s="69">
        <f t="shared" si="27"/>
        <v>33.303427517334434</v>
      </c>
      <c r="U47" s="69">
        <f t="shared" si="28"/>
        <v>40.283347003021333</v>
      </c>
      <c r="W47" t="str">
        <f t="shared" si="29"/>
        <v>21 Science, research, engineering and technology professionals</v>
      </c>
      <c r="X47" s="173">
        <f t="shared" ref="X47:AB47" si="37">X10/X$35*100</f>
        <v>1.6321979707957155</v>
      </c>
      <c r="Y47" s="173">
        <f t="shared" si="37"/>
        <v>1.6695006583688121</v>
      </c>
      <c r="Z47" s="173">
        <f t="shared" si="37"/>
        <v>2.1061458707485037</v>
      </c>
      <c r="AA47" s="173">
        <f t="shared" si="37"/>
        <v>2.3849032578051808</v>
      </c>
      <c r="AB47" s="173">
        <f t="shared" si="37"/>
        <v>2.790258635399939</v>
      </c>
      <c r="AD47" s="68">
        <f t="shared" si="31"/>
        <v>42.459626032047346</v>
      </c>
      <c r="AE47" s="69">
        <f t="shared" si="32"/>
        <v>62.60298094014923</v>
      </c>
      <c r="AF47" s="69">
        <f t="shared" si="33"/>
        <v>105.06260697219658</v>
      </c>
    </row>
    <row r="48" spans="1:32" x14ac:dyDescent="0.25">
      <c r="A48" t="str">
        <f t="shared" si="19"/>
        <v>22 Health professionals</v>
      </c>
      <c r="B48" s="173">
        <f t="shared" si="20"/>
        <v>4.2872628690234231</v>
      </c>
      <c r="C48" s="173">
        <f t="shared" si="20"/>
        <v>5.3567644766047726</v>
      </c>
      <c r="D48" s="173">
        <f t="shared" si="20"/>
        <v>5.4069639816323924</v>
      </c>
      <c r="E48" s="173">
        <f t="shared" si="20"/>
        <v>5.7573600684313071</v>
      </c>
      <c r="F48" s="173">
        <f t="shared" si="20"/>
        <v>6.1600545377674187</v>
      </c>
      <c r="H48" s="68">
        <f t="shared" si="21"/>
        <v>19.840463956952423</v>
      </c>
      <c r="I48" s="69">
        <f t="shared" si="22"/>
        <v>59.177349285220835</v>
      </c>
      <c r="J48" s="69">
        <f t="shared" si="23"/>
        <v>79.017813242173247</v>
      </c>
      <c r="L48" t="str">
        <f t="shared" si="24"/>
        <v>22 Health professionals</v>
      </c>
      <c r="M48" s="173">
        <f t="shared" ref="M48:Q48" si="38">M11/M$35*100</f>
        <v>1.8251515783956915</v>
      </c>
      <c r="N48" s="173">
        <f t="shared" si="38"/>
        <v>2.3414721307892803</v>
      </c>
      <c r="O48" s="173">
        <f t="shared" si="38"/>
        <v>2.5613550067863109</v>
      </c>
      <c r="P48" s="173">
        <f t="shared" si="38"/>
        <v>2.6979737228748104</v>
      </c>
      <c r="Q48" s="173">
        <f t="shared" si="38"/>
        <v>2.87573692767503</v>
      </c>
      <c r="S48" s="68">
        <f t="shared" si="26"/>
        <v>15.808321635072447</v>
      </c>
      <c r="T48" s="69">
        <f t="shared" si="27"/>
        <v>41.845950469265098</v>
      </c>
      <c r="U48" s="69">
        <f t="shared" si="28"/>
        <v>57.654272104337544</v>
      </c>
      <c r="W48" t="str">
        <f t="shared" si="29"/>
        <v>22 Health professionals</v>
      </c>
      <c r="X48" s="173">
        <f t="shared" ref="X48:AB48" si="39">X11/X$35*100</f>
        <v>7.3064823424555625</v>
      </c>
      <c r="Y48" s="173">
        <f t="shared" si="39"/>
        <v>8.9115522619456264</v>
      </c>
      <c r="Z48" s="173">
        <f t="shared" si="39"/>
        <v>8.6712949472852614</v>
      </c>
      <c r="AA48" s="173">
        <f t="shared" si="39"/>
        <v>9.2228008864860893</v>
      </c>
      <c r="AB48" s="173">
        <f t="shared" si="39"/>
        <v>9.7740592582447352</v>
      </c>
      <c r="AD48" s="68">
        <f t="shared" si="31"/>
        <v>21.206746858956841</v>
      </c>
      <c r="AE48" s="69">
        <f t="shared" si="32"/>
        <v>65.050057136222932</v>
      </c>
      <c r="AF48" s="69">
        <f t="shared" si="33"/>
        <v>86.256803995179752</v>
      </c>
    </row>
    <row r="49" spans="1:32" x14ac:dyDescent="0.25">
      <c r="A49" t="str">
        <f t="shared" si="19"/>
        <v>23 Teaching and other educational professionals</v>
      </c>
      <c r="B49" s="173">
        <f t="shared" si="20"/>
        <v>3.8650798053792084</v>
      </c>
      <c r="C49" s="173">
        <f t="shared" si="20"/>
        <v>4.0722368036382433</v>
      </c>
      <c r="D49" s="173">
        <f t="shared" si="20"/>
        <v>4.4303113178511371</v>
      </c>
      <c r="E49" s="173">
        <f t="shared" si="20"/>
        <v>4.5985831345446986</v>
      </c>
      <c r="F49" s="173">
        <f t="shared" si="20"/>
        <v>4.9907162848067896</v>
      </c>
      <c r="H49" s="68">
        <f t="shared" si="21"/>
        <v>18.495276159746737</v>
      </c>
      <c r="I49" s="69">
        <f t="shared" si="22"/>
        <v>55.56544585816372</v>
      </c>
      <c r="J49" s="69">
        <f t="shared" si="23"/>
        <v>74.06072201791045</v>
      </c>
      <c r="L49" t="str">
        <f t="shared" si="24"/>
        <v>23 Teaching and other educational professionals</v>
      </c>
      <c r="M49" s="173">
        <f t="shared" ref="M49:Q49" si="40">M12/M$35*100</f>
        <v>2.3601354524647915</v>
      </c>
      <c r="N49" s="173">
        <f t="shared" si="40"/>
        <v>2.4054471222736522</v>
      </c>
      <c r="O49" s="173">
        <f t="shared" si="40"/>
        <v>2.7030540416792146</v>
      </c>
      <c r="P49" s="173">
        <f t="shared" si="40"/>
        <v>2.8580356175774111</v>
      </c>
      <c r="Q49" s="173">
        <f t="shared" si="40"/>
        <v>3.0396678392276466</v>
      </c>
      <c r="S49" s="68">
        <f t="shared" si="26"/>
        <v>15.993002304377576</v>
      </c>
      <c r="T49" s="69">
        <f t="shared" si="27"/>
        <v>46.908861014736388</v>
      </c>
      <c r="U49" s="69">
        <f t="shared" si="28"/>
        <v>62.901863319113971</v>
      </c>
      <c r="W49" t="str">
        <f t="shared" si="29"/>
        <v>23 Teaching and other educational professionals</v>
      </c>
      <c r="X49" s="173">
        <f t="shared" ref="X49:AB49" si="41">X12/X$35*100</f>
        <v>5.7105517440552669</v>
      </c>
      <c r="Y49" s="173">
        <f t="shared" si="41"/>
        <v>6.0372481260957986</v>
      </c>
      <c r="Z49" s="173">
        <f t="shared" si="41"/>
        <v>6.411728814807911</v>
      </c>
      <c r="AA49" s="173">
        <f t="shared" si="41"/>
        <v>6.5701433527639503</v>
      </c>
      <c r="AB49" s="173">
        <f t="shared" si="41"/>
        <v>7.1376153150758608</v>
      </c>
      <c r="AD49" s="68">
        <f t="shared" si="31"/>
        <v>19.705409939958468</v>
      </c>
      <c r="AE49" s="69">
        <f t="shared" si="32"/>
        <v>59.751888408335944</v>
      </c>
      <c r="AF49" s="69">
        <f t="shared" si="33"/>
        <v>79.457298348294401</v>
      </c>
    </row>
    <row r="50" spans="1:32" x14ac:dyDescent="0.25">
      <c r="A50" t="str">
        <f t="shared" si="19"/>
        <v>24 Business, media and public service professionals</v>
      </c>
      <c r="B50" s="173">
        <f t="shared" si="20"/>
        <v>4.5110577256912743</v>
      </c>
      <c r="C50" s="173">
        <f t="shared" si="20"/>
        <v>4.9921133568973231</v>
      </c>
      <c r="D50" s="173">
        <f t="shared" si="20"/>
        <v>5.6200238635821922</v>
      </c>
      <c r="E50" s="173">
        <f t="shared" si="20"/>
        <v>6.1167640223224957</v>
      </c>
      <c r="F50" s="173">
        <f t="shared" si="20"/>
        <v>6.7455627454768585</v>
      </c>
      <c r="H50" s="68">
        <f t="shared" si="21"/>
        <v>26.256116780898047</v>
      </c>
      <c r="I50" s="69">
        <f t="shared" si="22"/>
        <v>54.593701799995095</v>
      </c>
      <c r="J50" s="69">
        <f t="shared" si="23"/>
        <v>80.849818580893157</v>
      </c>
      <c r="L50" t="str">
        <f t="shared" si="24"/>
        <v>24 Business, media and public service professionals</v>
      </c>
      <c r="M50" s="173">
        <f t="shared" ref="M50:Q50" si="42">M13/M$35*100</f>
        <v>4.9891879221064288</v>
      </c>
      <c r="N50" s="173">
        <f t="shared" si="42"/>
        <v>5.3455505929470455</v>
      </c>
      <c r="O50" s="173">
        <f t="shared" si="42"/>
        <v>6.0906237429332171</v>
      </c>
      <c r="P50" s="173">
        <f t="shared" si="42"/>
        <v>6.6947543162158674</v>
      </c>
      <c r="Q50" s="173">
        <f t="shared" si="42"/>
        <v>7.2196191962983578</v>
      </c>
      <c r="S50" s="68">
        <f t="shared" si="26"/>
        <v>22.268028503500531</v>
      </c>
      <c r="T50" s="69">
        <f t="shared" si="27"/>
        <v>47.99466059754802</v>
      </c>
      <c r="U50" s="69">
        <f t="shared" si="28"/>
        <v>70.262689101048551</v>
      </c>
      <c r="W50" t="str">
        <f t="shared" si="29"/>
        <v>24 Business, media and public service professionals</v>
      </c>
      <c r="X50" s="173">
        <f t="shared" ref="X50:AB50" si="43">X13/X$35*100</f>
        <v>3.9247397938627215</v>
      </c>
      <c r="Y50" s="173">
        <f t="shared" si="43"/>
        <v>4.5754392087545268</v>
      </c>
      <c r="Z50" s="173">
        <f t="shared" si="43"/>
        <v>5.080176761546273</v>
      </c>
      <c r="AA50" s="173">
        <f t="shared" si="43"/>
        <v>5.462060454135786</v>
      </c>
      <c r="AB50" s="173">
        <f t="shared" si="43"/>
        <v>6.2239194531908257</v>
      </c>
      <c r="AD50" s="68">
        <f t="shared" si="31"/>
        <v>31.740991010226118</v>
      </c>
      <c r="AE50" s="69">
        <f t="shared" si="32"/>
        <v>63.669456525563348</v>
      </c>
      <c r="AF50" s="69">
        <f t="shared" si="33"/>
        <v>95.410447535789473</v>
      </c>
    </row>
    <row r="51" spans="1:32" x14ac:dyDescent="0.25">
      <c r="A51" t="str">
        <f t="shared" si="19"/>
        <v>31 Science, engineering and technology associate professionals</v>
      </c>
      <c r="B51" s="173">
        <f t="shared" si="20"/>
        <v>1.5111170870367094</v>
      </c>
      <c r="C51" s="173">
        <f t="shared" si="20"/>
        <v>1.5841001516090514</v>
      </c>
      <c r="D51" s="173">
        <f t="shared" si="20"/>
        <v>1.7651126549302736</v>
      </c>
      <c r="E51" s="173">
        <f t="shared" si="20"/>
        <v>1.4791325128546169</v>
      </c>
      <c r="F51" s="173">
        <f t="shared" si="20"/>
        <v>1.493068731073824</v>
      </c>
      <c r="H51" s="68">
        <f t="shared" si="21"/>
        <v>-11.02258738512116</v>
      </c>
      <c r="I51" s="69">
        <f t="shared" si="22"/>
        <v>34.998863563744173</v>
      </c>
      <c r="J51" s="69">
        <f t="shared" si="23"/>
        <v>23.976276178623017</v>
      </c>
      <c r="L51" t="str">
        <f t="shared" si="24"/>
        <v>31 Science, engineering and technology associate professionals</v>
      </c>
      <c r="M51" s="173">
        <f t="shared" ref="M51:Q51" si="44">M14/M$35*100</f>
        <v>2.1493160245658607</v>
      </c>
      <c r="N51" s="173">
        <f t="shared" si="44"/>
        <v>2.3400632112244604</v>
      </c>
      <c r="O51" s="173">
        <f t="shared" si="44"/>
        <v>2.5469871684936112</v>
      </c>
      <c r="P51" s="173">
        <f t="shared" si="44"/>
        <v>2.0284868156594569</v>
      </c>
      <c r="Q51" s="173">
        <f t="shared" si="44"/>
        <v>1.9821915808207402</v>
      </c>
      <c r="S51" s="68">
        <f t="shared" si="26"/>
        <v>-19.725194897465858</v>
      </c>
      <c r="T51" s="69">
        <f t="shared" si="27"/>
        <v>29.432567552608486</v>
      </c>
      <c r="U51" s="69">
        <f t="shared" si="28"/>
        <v>9.7073726551426258</v>
      </c>
      <c r="W51" t="str">
        <f t="shared" si="29"/>
        <v>31 Science, engineering and technology associate professionals</v>
      </c>
      <c r="X51" s="173">
        <f t="shared" ref="X51:AB51" si="45">X14/X$35*100</f>
        <v>0.72851125299236208</v>
      </c>
      <c r="Y51" s="173">
        <f t="shared" si="45"/>
        <v>0.6928803485876065</v>
      </c>
      <c r="Z51" s="173">
        <f t="shared" si="45"/>
        <v>0.86818788120319434</v>
      </c>
      <c r="AA51" s="173">
        <f t="shared" si="45"/>
        <v>0.85686562352271733</v>
      </c>
      <c r="AB51" s="173">
        <f t="shared" si="45"/>
        <v>0.95484664121054907</v>
      </c>
      <c r="AD51" s="68">
        <f t="shared" si="31"/>
        <v>18.264851667376917</v>
      </c>
      <c r="AE51" s="69">
        <f t="shared" si="32"/>
        <v>53.731473869684351</v>
      </c>
      <c r="AF51" s="69">
        <f t="shared" si="33"/>
        <v>71.996325537061267</v>
      </c>
    </row>
    <row r="52" spans="1:32" x14ac:dyDescent="0.25">
      <c r="A52" t="str">
        <f t="shared" si="19"/>
        <v>32 Health and social care associate professionals</v>
      </c>
      <c r="B52" s="173">
        <f t="shared" si="20"/>
        <v>1.7867026710835934</v>
      </c>
      <c r="C52" s="173">
        <f t="shared" si="20"/>
        <v>2.1486690886469626</v>
      </c>
      <c r="D52" s="173">
        <f t="shared" si="20"/>
        <v>2.2236531589346509</v>
      </c>
      <c r="E52" s="173">
        <f t="shared" si="20"/>
        <v>2.2361306478762017</v>
      </c>
      <c r="F52" s="173">
        <f t="shared" si="20"/>
        <v>2.4118042375602577</v>
      </c>
      <c r="H52" s="68">
        <f t="shared" si="21"/>
        <v>14.089954559712691</v>
      </c>
      <c r="I52" s="69">
        <f t="shared" si="22"/>
        <v>60.666049031432891</v>
      </c>
      <c r="J52" s="69">
        <f t="shared" si="23"/>
        <v>74.756003591145586</v>
      </c>
      <c r="L52" t="str">
        <f t="shared" si="24"/>
        <v>32 Health and social care associate professionals</v>
      </c>
      <c r="M52" s="173">
        <f t="shared" ref="M52:Q52" si="46">M15/M$35*100</f>
        <v>0.75045308827908319</v>
      </c>
      <c r="N52" s="173">
        <f t="shared" si="46"/>
        <v>0.84660591018147868</v>
      </c>
      <c r="O52" s="173">
        <f t="shared" si="46"/>
        <v>0.93038003479754738</v>
      </c>
      <c r="P52" s="173">
        <f t="shared" si="46"/>
        <v>0.86073432097493208</v>
      </c>
      <c r="Q52" s="173">
        <f t="shared" si="46"/>
        <v>0.89457056578442029</v>
      </c>
      <c r="S52" s="68">
        <f t="shared" si="26"/>
        <v>-0.82216768808632545</v>
      </c>
      <c r="T52" s="69">
        <f t="shared" si="27"/>
        <v>46.145029967612068</v>
      </c>
      <c r="U52" s="69">
        <f t="shared" si="28"/>
        <v>45.322862279525737</v>
      </c>
      <c r="W52" t="str">
        <f t="shared" si="29"/>
        <v>32 Health and social care associate professionals</v>
      </c>
      <c r="X52" s="173">
        <f t="shared" ref="X52:AB52" si="47">X15/X$35*100</f>
        <v>3.0574270821404399</v>
      </c>
      <c r="Y52" s="173">
        <f t="shared" si="47"/>
        <v>3.6836971229848294</v>
      </c>
      <c r="Z52" s="173">
        <f t="shared" si="47"/>
        <v>3.7072271648803294</v>
      </c>
      <c r="AA52" s="173">
        <f t="shared" si="47"/>
        <v>3.7940752922879906</v>
      </c>
      <c r="AB52" s="173">
        <f t="shared" si="47"/>
        <v>4.0813412016514921</v>
      </c>
      <c r="AD52" s="68">
        <f t="shared" si="31"/>
        <v>18.383040690067308</v>
      </c>
      <c r="AE52" s="69">
        <f t="shared" si="32"/>
        <v>64.846539541474542</v>
      </c>
      <c r="AF52" s="69">
        <f t="shared" si="33"/>
        <v>83.22958023154186</v>
      </c>
    </row>
    <row r="53" spans="1:32" x14ac:dyDescent="0.25">
      <c r="A53" t="str">
        <f t="shared" si="19"/>
        <v>33 Protective service occupations</v>
      </c>
      <c r="B53" s="173">
        <f t="shared" si="20"/>
        <v>0.87910548936650024</v>
      </c>
      <c r="C53" s="173">
        <f t="shared" si="20"/>
        <v>0.86815835658454099</v>
      </c>
      <c r="D53" s="173">
        <f t="shared" si="20"/>
        <v>0.94725031433623486</v>
      </c>
      <c r="E53" s="173">
        <f t="shared" si="20"/>
        <v>1.1212432941220878</v>
      </c>
      <c r="F53" s="173">
        <f t="shared" si="20"/>
        <v>1.2847631766502143</v>
      </c>
      <c r="H53" s="68">
        <f t="shared" si="21"/>
        <v>42.669363448911618</v>
      </c>
      <c r="I53" s="69">
        <f t="shared" si="22"/>
        <v>43.918018330664729</v>
      </c>
      <c r="J53" s="69">
        <f t="shared" si="23"/>
        <v>86.587381779576347</v>
      </c>
      <c r="L53" t="str">
        <f t="shared" si="24"/>
        <v>33 Protective service occupations</v>
      </c>
      <c r="M53" s="173">
        <f t="shared" ref="M53:Q53" si="48">M16/M$35*100</f>
        <v>1.231412081804377</v>
      </c>
      <c r="N53" s="173">
        <f t="shared" si="48"/>
        <v>1.1869003875658115</v>
      </c>
      <c r="O53" s="173">
        <f t="shared" si="48"/>
        <v>1.2897818669676011</v>
      </c>
      <c r="P53" s="173">
        <f t="shared" si="48"/>
        <v>1.4804843056191805</v>
      </c>
      <c r="Q53" s="173">
        <f t="shared" si="48"/>
        <v>1.6034321513250527</v>
      </c>
      <c r="S53" s="68">
        <f t="shared" si="26"/>
        <v>28.231496430452374</v>
      </c>
      <c r="T53" s="69">
        <f t="shared" si="27"/>
        <v>33.532800776958624</v>
      </c>
      <c r="U53" s="69">
        <f t="shared" si="28"/>
        <v>61.764297207411012</v>
      </c>
      <c r="W53" t="str">
        <f t="shared" si="29"/>
        <v>33 Protective service occupations</v>
      </c>
      <c r="X53" s="173">
        <f t="shared" ref="X53:AB53" si="49">X16/X$35*100</f>
        <v>0.44708158835276324</v>
      </c>
      <c r="Y53" s="173">
        <f t="shared" si="49"/>
        <v>0.49238707192639536</v>
      </c>
      <c r="Z53" s="173">
        <f t="shared" si="49"/>
        <v>0.55431637160145941</v>
      </c>
      <c r="AA53" s="173">
        <f t="shared" si="49"/>
        <v>0.71432232234960624</v>
      </c>
      <c r="AB53" s="173">
        <f t="shared" si="49"/>
        <v>0.9341055011545335</v>
      </c>
      <c r="AD53" s="68">
        <f t="shared" si="31"/>
        <v>81.206599358738487</v>
      </c>
      <c r="AE53" s="69">
        <f t="shared" si="32"/>
        <v>71.638011757003</v>
      </c>
      <c r="AF53" s="69">
        <f t="shared" si="33"/>
        <v>152.84461111574146</v>
      </c>
    </row>
    <row r="54" spans="1:32" x14ac:dyDescent="0.25">
      <c r="A54" t="str">
        <f t="shared" si="19"/>
        <v>34 Culture, media and sports occupations</v>
      </c>
      <c r="B54" s="173">
        <f t="shared" si="20"/>
        <v>1.4888376728998831</v>
      </c>
      <c r="C54" s="173">
        <f t="shared" si="20"/>
        <v>1.465043726808712</v>
      </c>
      <c r="D54" s="173">
        <f t="shared" si="20"/>
        <v>1.5450093942917702</v>
      </c>
      <c r="E54" s="173">
        <f t="shared" si="20"/>
        <v>1.4213557894122515</v>
      </c>
      <c r="F54" s="173">
        <f t="shared" si="20"/>
        <v>1.5376181895027805</v>
      </c>
      <c r="H54" s="68">
        <f t="shared" si="21"/>
        <v>4.6862840934961367</v>
      </c>
      <c r="I54" s="69">
        <f t="shared" si="22"/>
        <v>45.216239323673513</v>
      </c>
      <c r="J54" s="69">
        <f t="shared" si="23"/>
        <v>49.902523417169647</v>
      </c>
      <c r="L54" t="str">
        <f t="shared" si="24"/>
        <v>34 Culture, media and sports occupations</v>
      </c>
      <c r="M54" s="173">
        <f t="shared" ref="M54:Q54" si="50">M17/M$35*100</f>
        <v>1.6220553690431669</v>
      </c>
      <c r="N54" s="173">
        <f t="shared" si="50"/>
        <v>1.6300861248066001</v>
      </c>
      <c r="O54" s="173">
        <f t="shared" si="50"/>
        <v>1.7075316682121804</v>
      </c>
      <c r="P54" s="173">
        <f t="shared" si="50"/>
        <v>1.5845901056339435</v>
      </c>
      <c r="Q54" s="173">
        <f t="shared" si="50"/>
        <v>1.7066561244231151</v>
      </c>
      <c r="S54" s="68">
        <f t="shared" si="26"/>
        <v>3.095010289215514</v>
      </c>
      <c r="T54" s="69">
        <f t="shared" si="27"/>
        <v>39.309841446907384</v>
      </c>
      <c r="U54" s="69">
        <f t="shared" si="28"/>
        <v>42.4048517361229</v>
      </c>
      <c r="W54" t="str">
        <f t="shared" si="29"/>
        <v>34 Culture, media and sports occupations</v>
      </c>
      <c r="X54" s="173">
        <f t="shared" ref="X54:AB54" si="51">X17/X$35*100</f>
        <v>1.3254764698817099</v>
      </c>
      <c r="Y54" s="173">
        <f t="shared" si="51"/>
        <v>1.270471979468712</v>
      </c>
      <c r="Z54" s="173">
        <f t="shared" si="51"/>
        <v>1.3585725029070674</v>
      </c>
      <c r="AA54" s="173">
        <f t="shared" si="51"/>
        <v>1.2364563362380832</v>
      </c>
      <c r="AB54" s="173">
        <f t="shared" si="51"/>
        <v>1.3516118505102932</v>
      </c>
      <c r="AD54" s="68">
        <f t="shared" si="31"/>
        <v>6.9805820742341931</v>
      </c>
      <c r="AE54" s="69">
        <f t="shared" si="32"/>
        <v>53.732081591451617</v>
      </c>
      <c r="AF54" s="69">
        <f t="shared" si="33"/>
        <v>60.712663665685817</v>
      </c>
    </row>
    <row r="55" spans="1:32" x14ac:dyDescent="0.25">
      <c r="A55" t="str">
        <f t="shared" si="19"/>
        <v>35 Business and public service associate professionals</v>
      </c>
      <c r="B55" s="173">
        <f t="shared" ref="B55:F64" si="52">B18/B$35*100</f>
        <v>5.4362157417430685</v>
      </c>
      <c r="C55" s="173">
        <f t="shared" si="52"/>
        <v>5.4486026151568936</v>
      </c>
      <c r="D55" s="173">
        <f t="shared" si="52"/>
        <v>5.7864672585750618</v>
      </c>
      <c r="E55" s="173">
        <f t="shared" si="52"/>
        <v>5.4015812612562319</v>
      </c>
      <c r="F55" s="173">
        <f t="shared" si="52"/>
        <v>5.4797780378304308</v>
      </c>
      <c r="H55" s="68">
        <f t="shared" si="21"/>
        <v>-0.38565850050866052</v>
      </c>
      <c r="I55" s="69">
        <f t="shared" si="22"/>
        <v>44.567081018708436</v>
      </c>
      <c r="J55" s="69">
        <f t="shared" si="23"/>
        <v>44.181422518199774</v>
      </c>
      <c r="L55" t="str">
        <f t="shared" si="24"/>
        <v>35 Business and public service associate professionals</v>
      </c>
      <c r="M55" s="173">
        <f t="shared" ref="M55:Q55" si="53">M18/M$35*100</f>
        <v>5.5387763380022799</v>
      </c>
      <c r="N55" s="173">
        <f t="shared" si="53"/>
        <v>5.4633520735614542</v>
      </c>
      <c r="O55" s="173">
        <f t="shared" si="53"/>
        <v>5.9154571486515302</v>
      </c>
      <c r="P55" s="173">
        <f t="shared" si="53"/>
        <v>5.3807388890264107</v>
      </c>
      <c r="Q55" s="173">
        <f t="shared" si="53"/>
        <v>5.2540834118994875</v>
      </c>
      <c r="S55" s="68">
        <f t="shared" si="26"/>
        <v>-8.3844822712618488</v>
      </c>
      <c r="T55" s="69">
        <f t="shared" si="27"/>
        <v>35.601485653733775</v>
      </c>
      <c r="U55" s="69">
        <f t="shared" si="28"/>
        <v>27.217003382471923</v>
      </c>
      <c r="W55" t="str">
        <f t="shared" si="29"/>
        <v>35 Business and public service associate professionals</v>
      </c>
      <c r="X55" s="173">
        <f t="shared" ref="X55:AB55" si="54">X18/X$35*100</f>
        <v>5.3104484985597953</v>
      </c>
      <c r="Y55" s="173">
        <f t="shared" si="54"/>
        <v>5.4312141869171917</v>
      </c>
      <c r="Z55" s="173">
        <f t="shared" si="54"/>
        <v>5.6384969309035986</v>
      </c>
      <c r="AA55" s="173">
        <f t="shared" si="54"/>
        <v>5.4251899197622802</v>
      </c>
      <c r="AB55" s="173">
        <f t="shared" si="54"/>
        <v>5.7281283925568927</v>
      </c>
      <c r="AD55" s="68">
        <f t="shared" si="31"/>
        <v>9.2408778645317451</v>
      </c>
      <c r="AE55" s="69">
        <f t="shared" si="32"/>
        <v>55.357121190706906</v>
      </c>
      <c r="AF55" s="69">
        <f t="shared" si="33"/>
        <v>64.597999055238645</v>
      </c>
    </row>
    <row r="56" spans="1:32" x14ac:dyDescent="0.25">
      <c r="A56" t="str">
        <f t="shared" si="19"/>
        <v>41 Administrative occupations</v>
      </c>
      <c r="B56" s="173">
        <f t="shared" si="52"/>
        <v>9.7195595113276028</v>
      </c>
      <c r="C56" s="173">
        <f t="shared" si="52"/>
        <v>8.8571104416570918</v>
      </c>
      <c r="D56" s="173">
        <f t="shared" si="52"/>
        <v>9.5360966830087524</v>
      </c>
      <c r="E56" s="173">
        <f t="shared" si="52"/>
        <v>8.6297733095346381</v>
      </c>
      <c r="F56" s="173">
        <f t="shared" si="52"/>
        <v>7.9718651976939423</v>
      </c>
      <c r="H56" s="68">
        <f t="shared" si="21"/>
        <v>-12.065013394775658</v>
      </c>
      <c r="I56" s="69">
        <f t="shared" si="22"/>
        <v>45.676279908627286</v>
      </c>
      <c r="J56" s="69">
        <f t="shared" si="23"/>
        <v>33.611266513851632</v>
      </c>
      <c r="L56" t="str">
        <f t="shared" si="24"/>
        <v>41 Administrative occupations</v>
      </c>
      <c r="M56" s="173">
        <f t="shared" ref="M56:Q56" si="55">M19/M$35*100</f>
        <v>5.6070154753216244</v>
      </c>
      <c r="N56" s="173">
        <f t="shared" si="55"/>
        <v>4.9302560287983201</v>
      </c>
      <c r="O56" s="173">
        <f t="shared" si="55"/>
        <v>6.1487428998006761</v>
      </c>
      <c r="P56" s="173">
        <f t="shared" si="55"/>
        <v>5.8487546340671157</v>
      </c>
      <c r="Q56" s="173">
        <f t="shared" si="55"/>
        <v>6.3373772218585405</v>
      </c>
      <c r="S56" s="68">
        <f t="shared" si="26"/>
        <v>6.3123245327670903</v>
      </c>
      <c r="T56" s="69">
        <f t="shared" si="27"/>
        <v>38.154571555035787</v>
      </c>
      <c r="U56" s="69">
        <f t="shared" si="28"/>
        <v>44.46689608780288</v>
      </c>
      <c r="W56" t="str">
        <f t="shared" si="29"/>
        <v>41 Administrative occupations</v>
      </c>
      <c r="X56" s="173">
        <f t="shared" ref="X56:AB56" si="56">X19/X$35*100</f>
        <v>14.762659344435017</v>
      </c>
      <c r="Y56" s="173">
        <f t="shared" si="56"/>
        <v>13.486556777437473</v>
      </c>
      <c r="Z56" s="173">
        <f t="shared" si="56"/>
        <v>13.421888421750932</v>
      </c>
      <c r="AA56" s="173">
        <f t="shared" si="56"/>
        <v>11.779900343256761</v>
      </c>
      <c r="AB56" s="173">
        <f t="shared" si="56"/>
        <v>9.7704267138154925</v>
      </c>
      <c r="AD56" s="68">
        <f t="shared" si="31"/>
        <v>-21.722725925266115</v>
      </c>
      <c r="AE56" s="69">
        <f t="shared" si="32"/>
        <v>49.629110144626949</v>
      </c>
      <c r="AF56" s="69">
        <f t="shared" si="33"/>
        <v>27.906384219360834</v>
      </c>
    </row>
    <row r="57" spans="1:32" x14ac:dyDescent="0.25">
      <c r="A57" t="str">
        <f t="shared" si="19"/>
        <v>42 Secretarial and related occupations</v>
      </c>
      <c r="B57" s="173">
        <f t="shared" si="52"/>
        <v>2.1757080791684817</v>
      </c>
      <c r="C57" s="173">
        <f t="shared" si="52"/>
        <v>1.8619897729300869</v>
      </c>
      <c r="D57" s="173">
        <f t="shared" si="52"/>
        <v>1.8719269860633592</v>
      </c>
      <c r="E57" s="173">
        <f t="shared" si="52"/>
        <v>1.919442811369021</v>
      </c>
      <c r="F57" s="173">
        <f t="shared" si="52"/>
        <v>1.2530408754880711</v>
      </c>
      <c r="H57" s="68">
        <f t="shared" si="21"/>
        <v>-29.587666999159048</v>
      </c>
      <c r="I57" s="69">
        <f t="shared" si="22"/>
        <v>48.905044228605398</v>
      </c>
      <c r="J57" s="69">
        <f t="shared" si="23"/>
        <v>19.317377229446357</v>
      </c>
      <c r="L57" t="str">
        <f t="shared" si="24"/>
        <v>42 Secretarial and related occupations</v>
      </c>
      <c r="M57" s="173">
        <f t="shared" ref="M57:Q57" si="57">M20/M$35*100</f>
        <v>0.35332839377072084</v>
      </c>
      <c r="N57" s="173">
        <f t="shared" si="57"/>
        <v>0.25314886257071834</v>
      </c>
      <c r="O57" s="173">
        <f t="shared" si="57"/>
        <v>0.26377653625725944</v>
      </c>
      <c r="P57" s="173">
        <f t="shared" si="57"/>
        <v>0.33157490311656329</v>
      </c>
      <c r="Q57" s="173">
        <f t="shared" si="57"/>
        <v>0.38956927782770134</v>
      </c>
      <c r="S57" s="68">
        <f t="shared" si="26"/>
        <v>52.338238275681547</v>
      </c>
      <c r="T57" s="69">
        <f t="shared" si="27"/>
        <v>44.379498504629353</v>
      </c>
      <c r="U57" s="69">
        <f t="shared" si="28"/>
        <v>96.717736780310901</v>
      </c>
      <c r="W57" t="str">
        <f t="shared" si="29"/>
        <v>42 Secretarial and related occupations</v>
      </c>
      <c r="X57" s="173">
        <f t="shared" ref="X57:AB57" si="58">X20/X$35*100</f>
        <v>4.4104422502372698</v>
      </c>
      <c r="Y57" s="173">
        <f t="shared" si="58"/>
        <v>3.7586841430925331</v>
      </c>
      <c r="Z57" s="173">
        <f t="shared" si="58"/>
        <v>3.7167114793420213</v>
      </c>
      <c r="AA57" s="173">
        <f t="shared" si="58"/>
        <v>3.7180591485732153</v>
      </c>
      <c r="AB57" s="173">
        <f t="shared" si="58"/>
        <v>2.2031896736290926</v>
      </c>
      <c r="AD57" s="68">
        <f t="shared" si="31"/>
        <v>-36.257539373723247</v>
      </c>
      <c r="AE57" s="69">
        <f t="shared" si="32"/>
        <v>49.273484617550892</v>
      </c>
      <c r="AF57" s="69">
        <f t="shared" si="33"/>
        <v>13.015945243827645</v>
      </c>
    </row>
    <row r="58" spans="1:32" x14ac:dyDescent="0.25">
      <c r="A58" t="str">
        <f t="shared" si="19"/>
        <v>51 Skilled agricultural and related trades</v>
      </c>
      <c r="B58" s="173">
        <f t="shared" si="52"/>
        <v>0.85673288157009664</v>
      </c>
      <c r="C58" s="173">
        <f t="shared" si="52"/>
        <v>0.7464914421723684</v>
      </c>
      <c r="D58" s="173">
        <f t="shared" si="52"/>
        <v>0.64207029254900572</v>
      </c>
      <c r="E58" s="173">
        <f t="shared" si="52"/>
        <v>0.65278162841943432</v>
      </c>
      <c r="F58" s="173">
        <f t="shared" si="52"/>
        <v>0.71156352958414526</v>
      </c>
      <c r="H58" s="68">
        <f t="shared" si="21"/>
        <v>16.574484971035687</v>
      </c>
      <c r="I58" s="69">
        <f t="shared" si="22"/>
        <v>58.742217105394445</v>
      </c>
      <c r="J58" s="69">
        <f t="shared" si="23"/>
        <v>75.316702076430133</v>
      </c>
      <c r="L58" t="str">
        <f t="shared" si="24"/>
        <v>51 Skilled agricultural and related trades</v>
      </c>
      <c r="M58" s="173">
        <f t="shared" ref="M58:Q58" si="59">M21/M$35*100</f>
        <v>1.3360610048582688</v>
      </c>
      <c r="N58" s="173">
        <f t="shared" si="59"/>
        <v>1.172491237924759</v>
      </c>
      <c r="O58" s="173">
        <f t="shared" si="59"/>
        <v>0.98715582200868501</v>
      </c>
      <c r="P58" s="173">
        <f t="shared" si="59"/>
        <v>0.98649417467701428</v>
      </c>
      <c r="Q58" s="173">
        <f t="shared" si="59"/>
        <v>1.0746916383972409</v>
      </c>
      <c r="S58" s="68">
        <f t="shared" si="26"/>
        <v>12.294516179274913</v>
      </c>
      <c r="T58" s="69">
        <f t="shared" si="27"/>
        <v>53.558765261566109</v>
      </c>
      <c r="U58" s="69">
        <f t="shared" si="28"/>
        <v>65.853281440841016</v>
      </c>
      <c r="W58" t="str">
        <f t="shared" si="29"/>
        <v>51 Skilled agricultural and related trades</v>
      </c>
      <c r="X58" s="173">
        <f t="shared" ref="X58:AB58" si="60">X21/X$35*100</f>
        <v>0.26894596490867945</v>
      </c>
      <c r="Y58" s="173">
        <f t="shared" si="60"/>
        <v>0.24427185719585817</v>
      </c>
      <c r="Z58" s="173">
        <f t="shared" si="60"/>
        <v>0.24620656370520963</v>
      </c>
      <c r="AA58" s="173">
        <f t="shared" si="60"/>
        <v>0.27477736590526292</v>
      </c>
      <c r="AB58" s="173">
        <f t="shared" si="60"/>
        <v>0.31198381312925222</v>
      </c>
      <c r="AD58" s="68">
        <f t="shared" si="31"/>
        <v>36.259948688034591</v>
      </c>
      <c r="AE58" s="69">
        <f t="shared" si="32"/>
        <v>82.583197767899094</v>
      </c>
      <c r="AF58" s="69">
        <f t="shared" si="33"/>
        <v>118.84314645593368</v>
      </c>
    </row>
    <row r="59" spans="1:32" x14ac:dyDescent="0.25">
      <c r="A59" t="str">
        <f t="shared" si="19"/>
        <v>52 Skilled metal, electrical and electronic trades</v>
      </c>
      <c r="B59" s="173">
        <f t="shared" si="52"/>
        <v>5.6615564138363768</v>
      </c>
      <c r="C59" s="173">
        <f t="shared" si="52"/>
        <v>5.5583279280649842</v>
      </c>
      <c r="D59" s="173">
        <f t="shared" si="52"/>
        <v>4.7032002420796211</v>
      </c>
      <c r="E59" s="173">
        <f t="shared" si="52"/>
        <v>4.4457774892953417</v>
      </c>
      <c r="F59" s="173">
        <f t="shared" si="52"/>
        <v>3.9937044276589089</v>
      </c>
      <c r="H59" s="68">
        <f t="shared" si="21"/>
        <v>-10.678737832416118</v>
      </c>
      <c r="I59" s="69">
        <f t="shared" si="22"/>
        <v>35.729775846924774</v>
      </c>
      <c r="J59" s="69">
        <f t="shared" si="23"/>
        <v>25.051038014508659</v>
      </c>
      <c r="L59" t="str">
        <f t="shared" si="24"/>
        <v>52 Skilled metal, electrical and electronic trades</v>
      </c>
      <c r="M59" s="173">
        <f t="shared" ref="M59:Q59" si="61">M22/M$35*100</f>
        <v>10.14742084739947</v>
      </c>
      <c r="N59" s="173">
        <f t="shared" si="61"/>
        <v>10.060348561081719</v>
      </c>
      <c r="O59" s="173">
        <f t="shared" si="61"/>
        <v>8.6291462394803045</v>
      </c>
      <c r="P59" s="173">
        <f t="shared" si="61"/>
        <v>8.011659549989842</v>
      </c>
      <c r="Q59" s="173">
        <f t="shared" si="61"/>
        <v>7.1980543959655323</v>
      </c>
      <c r="S59" s="68">
        <f t="shared" si="26"/>
        <v>-13.958557088264193</v>
      </c>
      <c r="T59" s="69">
        <f t="shared" si="27"/>
        <v>34.024104881490871</v>
      </c>
      <c r="U59" s="69">
        <f t="shared" si="28"/>
        <v>20.065547793226678</v>
      </c>
      <c r="W59" t="str">
        <f t="shared" si="29"/>
        <v>52 Skilled metal, electrical and electronic trades</v>
      </c>
      <c r="X59" s="173">
        <f t="shared" ref="X59:AB59" si="62">X22/X$35*100</f>
        <v>0.1606640274742378</v>
      </c>
      <c r="Y59" s="173">
        <f t="shared" si="62"/>
        <v>0.25080675924374279</v>
      </c>
      <c r="Z59" s="173">
        <f t="shared" si="62"/>
        <v>0.19956421826887832</v>
      </c>
      <c r="AA59" s="173">
        <f t="shared" si="62"/>
        <v>0.40661673947762955</v>
      </c>
      <c r="AB59" s="173">
        <f t="shared" si="62"/>
        <v>0.4676946788040377</v>
      </c>
      <c r="AD59" s="68">
        <f t="shared" si="31"/>
        <v>152.00870320239949</v>
      </c>
      <c r="AE59" s="69">
        <f t="shared" si="32"/>
        <v>120.33542724647619</v>
      </c>
      <c r="AF59" s="69">
        <f t="shared" si="33"/>
        <v>272.34413044887566</v>
      </c>
    </row>
    <row r="60" spans="1:32" x14ac:dyDescent="0.25">
      <c r="A60" t="str">
        <f t="shared" si="19"/>
        <v>53 Skilled construction and building trades</v>
      </c>
      <c r="B60" s="173">
        <f t="shared" si="52"/>
        <v>3.6940336830815808</v>
      </c>
      <c r="C60" s="173">
        <f t="shared" si="52"/>
        <v>4.1847930323972156</v>
      </c>
      <c r="D60" s="173">
        <f t="shared" si="52"/>
        <v>3.5134644350803406</v>
      </c>
      <c r="E60" s="173">
        <f t="shared" si="52"/>
        <v>3.4545064475066618</v>
      </c>
      <c r="F60" s="173">
        <f t="shared" si="52"/>
        <v>2.9424266895796656</v>
      </c>
      <c r="H60" s="68">
        <f t="shared" si="21"/>
        <v>-11.906778816771144</v>
      </c>
      <c r="I60" s="69">
        <f t="shared" si="22"/>
        <v>40.76087378878303</v>
      </c>
      <c r="J60" s="69">
        <f t="shared" si="23"/>
        <v>28.854094972011886</v>
      </c>
      <c r="L60" t="str">
        <f t="shared" si="24"/>
        <v>53 Skilled construction and building trades</v>
      </c>
      <c r="M60" s="173">
        <f t="shared" ref="M60:Q60" si="63">M23/M$35*100</f>
        <v>6.6187799752490966</v>
      </c>
      <c r="N60" s="173">
        <f t="shared" si="63"/>
        <v>7.6505010736356684</v>
      </c>
      <c r="O60" s="173">
        <f t="shared" si="63"/>
        <v>6.4708521058941777</v>
      </c>
      <c r="P60" s="173">
        <f t="shared" si="63"/>
        <v>6.3967053003627736</v>
      </c>
      <c r="Q60" s="173">
        <f t="shared" si="63"/>
        <v>5.4977745039732167</v>
      </c>
      <c r="S60" s="68">
        <f t="shared" si="26"/>
        <v>-12.363335718173388</v>
      </c>
      <c r="T60" s="69">
        <f t="shared" si="27"/>
        <v>40.496493631973188</v>
      </c>
      <c r="U60" s="69">
        <f t="shared" si="28"/>
        <v>28.133157913799799</v>
      </c>
      <c r="W60" t="str">
        <f t="shared" si="29"/>
        <v>53 Skilled construction and building trades</v>
      </c>
      <c r="X60" s="173">
        <f t="shared" ref="X60:AB60" si="64">X23/X$35*100</f>
        <v>0.10749760984451492</v>
      </c>
      <c r="Y60" s="173">
        <f t="shared" si="64"/>
        <v>9.9001275041062708E-2</v>
      </c>
      <c r="Z60" s="173">
        <f t="shared" si="64"/>
        <v>0.12090690640590551</v>
      </c>
      <c r="AA60" s="173">
        <f t="shared" si="64"/>
        <v>0.12180673328769205</v>
      </c>
      <c r="AB60" s="173">
        <f t="shared" si="64"/>
        <v>0.1305673750903017</v>
      </c>
      <c r="AD60" s="68">
        <f t="shared" si="31"/>
        <v>16.123294883492619</v>
      </c>
      <c r="AE60" s="69">
        <f t="shared" si="32"/>
        <v>56.992356124297686</v>
      </c>
      <c r="AF60" s="69">
        <f t="shared" si="33"/>
        <v>73.115651007790291</v>
      </c>
    </row>
    <row r="61" spans="1:32" x14ac:dyDescent="0.25">
      <c r="A61" t="str">
        <f t="shared" si="19"/>
        <v>54 Textiles, printing and other skilled trades</v>
      </c>
      <c r="B61" s="173">
        <f t="shared" si="52"/>
        <v>1.9125455430642651</v>
      </c>
      <c r="C61" s="173">
        <f t="shared" si="52"/>
        <v>1.6563231646615317</v>
      </c>
      <c r="D61" s="173">
        <f t="shared" si="52"/>
        <v>1.6828335842338054</v>
      </c>
      <c r="E61" s="173">
        <f t="shared" si="52"/>
        <v>1.5746209386214505</v>
      </c>
      <c r="F61" s="173">
        <f t="shared" si="52"/>
        <v>1.4340717336160491</v>
      </c>
      <c r="H61" s="68">
        <f t="shared" si="21"/>
        <v>-10.359946692533955</v>
      </c>
      <c r="I61" s="69">
        <f t="shared" si="22"/>
        <v>40.307487886275531</v>
      </c>
      <c r="J61" s="69">
        <f t="shared" si="23"/>
        <v>29.947541193741579</v>
      </c>
      <c r="L61" t="str">
        <f t="shared" si="24"/>
        <v>54 Textiles, printing and other skilled trades</v>
      </c>
      <c r="M61" s="173">
        <f t="shared" ref="M61:Q61" si="65">M24/M$35*100</f>
        <v>2.2783527095403473</v>
      </c>
      <c r="N61" s="173">
        <f t="shared" si="65"/>
        <v>1.9964391414541154</v>
      </c>
      <c r="O61" s="173">
        <f t="shared" si="65"/>
        <v>1.8728597246256595</v>
      </c>
      <c r="P61" s="173">
        <f t="shared" si="65"/>
        <v>1.7415426817107966</v>
      </c>
      <c r="Q61" s="173">
        <f t="shared" si="65"/>
        <v>1.5549079777803361</v>
      </c>
      <c r="S61" s="68">
        <f t="shared" si="26"/>
        <v>-14.363318207488415</v>
      </c>
      <c r="T61" s="69">
        <f t="shared" si="27"/>
        <v>29.35864417151366</v>
      </c>
      <c r="U61" s="69">
        <f t="shared" si="28"/>
        <v>14.995325964025241</v>
      </c>
      <c r="W61" t="str">
        <f t="shared" si="29"/>
        <v>54 Textiles, printing and other skilled trades</v>
      </c>
      <c r="X61" s="173">
        <f t="shared" ref="X61:AB61" si="66">X24/X$35*100</f>
        <v>1.4639662587931479</v>
      </c>
      <c r="Y61" s="173">
        <f t="shared" si="66"/>
        <v>1.255353712535465</v>
      </c>
      <c r="Z61" s="173">
        <f t="shared" si="66"/>
        <v>1.4648457229893865</v>
      </c>
      <c r="AA61" s="173">
        <f t="shared" si="66"/>
        <v>1.385544647958509</v>
      </c>
      <c r="AB61" s="173">
        <f t="shared" si="66"/>
        <v>1.3011056783622745</v>
      </c>
      <c r="AD61" s="68">
        <f t="shared" si="31"/>
        <v>-4.4883229139409648</v>
      </c>
      <c r="AE61" s="69">
        <f t="shared" si="32"/>
        <v>56.365825430905844</v>
      </c>
      <c r="AF61" s="69">
        <f t="shared" si="33"/>
        <v>51.877502516964888</v>
      </c>
    </row>
    <row r="62" spans="1:32" x14ac:dyDescent="0.25">
      <c r="A62" t="str">
        <f t="shared" si="19"/>
        <v>61 Caring personal service occupations</v>
      </c>
      <c r="B62" s="173">
        <f t="shared" si="52"/>
        <v>7.6250244918932593</v>
      </c>
      <c r="C62" s="173">
        <f t="shared" si="52"/>
        <v>8.0524363833958059</v>
      </c>
      <c r="D62" s="173">
        <f t="shared" si="52"/>
        <v>8.022234390307819</v>
      </c>
      <c r="E62" s="173">
        <f t="shared" si="52"/>
        <v>8.5397335877452729</v>
      </c>
      <c r="F62" s="173">
        <f t="shared" si="52"/>
        <v>9.159320823560364</v>
      </c>
      <c r="H62" s="68">
        <f t="shared" si="21"/>
        <v>20.099258352248789</v>
      </c>
      <c r="I62" s="69">
        <f t="shared" si="22"/>
        <v>63.485693728236711</v>
      </c>
      <c r="J62" s="69">
        <f t="shared" si="23"/>
        <v>83.584952080485493</v>
      </c>
      <c r="L62" t="str">
        <f t="shared" si="24"/>
        <v>61 Caring personal service occupations</v>
      </c>
      <c r="M62" s="173">
        <f t="shared" ref="M62:Q62" si="67">M25/M$35*100</f>
        <v>1.5236836543171934</v>
      </c>
      <c r="N62" s="173">
        <f t="shared" si="67"/>
        <v>1.6092590767983816</v>
      </c>
      <c r="O62" s="173">
        <f t="shared" si="67"/>
        <v>1.6114762633061035</v>
      </c>
      <c r="P62" s="173">
        <f t="shared" si="67"/>
        <v>1.9479581885987571</v>
      </c>
      <c r="Q62" s="173">
        <f t="shared" si="67"/>
        <v>2.2027805854265101</v>
      </c>
      <c r="S62" s="68">
        <f t="shared" si="26"/>
        <v>40.996300265630751</v>
      </c>
      <c r="T62" s="69">
        <f t="shared" si="27"/>
        <v>55.630003391737468</v>
      </c>
      <c r="U62" s="69">
        <f t="shared" si="28"/>
        <v>96.626303657368226</v>
      </c>
      <c r="W62" t="str">
        <f t="shared" si="29"/>
        <v>61 Caring personal service occupations</v>
      </c>
      <c r="X62" s="173">
        <f t="shared" ref="X62:AB62" si="68">X25/X$35*100</f>
        <v>15.106931236311722</v>
      </c>
      <c r="Y62" s="173">
        <f t="shared" si="68"/>
        <v>15.648425548447548</v>
      </c>
      <c r="Z62" s="173">
        <f t="shared" si="68"/>
        <v>15.376314466757679</v>
      </c>
      <c r="AA62" s="173">
        <f t="shared" si="68"/>
        <v>16.006396817392588</v>
      </c>
      <c r="AB62" s="173">
        <f t="shared" si="68"/>
        <v>16.81417405138172</v>
      </c>
      <c r="AD62" s="68">
        <f t="shared" si="31"/>
        <v>17.586935566996818</v>
      </c>
      <c r="AE62" s="69">
        <f t="shared" si="32"/>
        <v>64.430135047160078</v>
      </c>
      <c r="AF62" s="69">
        <f t="shared" si="33"/>
        <v>82.017070614156893</v>
      </c>
    </row>
    <row r="63" spans="1:32" x14ac:dyDescent="0.25">
      <c r="A63" t="str">
        <f t="shared" si="19"/>
        <v>62 Leisure, travel and related personal service occupations</v>
      </c>
      <c r="B63" s="173">
        <f t="shared" si="52"/>
        <v>2.2711943313888474</v>
      </c>
      <c r="C63" s="173">
        <f t="shared" si="52"/>
        <v>1.9666146777892493</v>
      </c>
      <c r="D63" s="173">
        <f t="shared" si="52"/>
        <v>1.8433888535590643</v>
      </c>
      <c r="E63" s="173">
        <f t="shared" si="52"/>
        <v>1.825877611714781</v>
      </c>
      <c r="F63" s="173">
        <f t="shared" si="52"/>
        <v>1.8082140166597007</v>
      </c>
      <c r="H63" s="68">
        <f t="shared" si="21"/>
        <v>3.1823168758062308</v>
      </c>
      <c r="I63" s="69">
        <f t="shared" si="22"/>
        <v>52.249290801916047</v>
      </c>
      <c r="J63" s="69">
        <f t="shared" si="23"/>
        <v>55.431607677722269</v>
      </c>
      <c r="L63" t="str">
        <f t="shared" si="24"/>
        <v>62 Leisure, travel and related personal service occupations</v>
      </c>
      <c r="M63" s="173">
        <f t="shared" ref="M63:Q63" si="69">M26/M$35*100</f>
        <v>1.0983081236987779</v>
      </c>
      <c r="N63" s="173">
        <f t="shared" si="69"/>
        <v>1.0389726814746507</v>
      </c>
      <c r="O63" s="173">
        <f t="shared" si="69"/>
        <v>1.0336746788138007</v>
      </c>
      <c r="P63" s="173">
        <f t="shared" si="69"/>
        <v>1.0383240816525272</v>
      </c>
      <c r="Q63" s="173">
        <f t="shared" si="69"/>
        <v>1.0708186704987033</v>
      </c>
      <c r="S63" s="68">
        <f t="shared" si="26"/>
        <v>6.8544090178058763</v>
      </c>
      <c r="T63" s="69">
        <f t="shared" si="27"/>
        <v>44.967640480201162</v>
      </c>
      <c r="U63" s="69">
        <f t="shared" si="28"/>
        <v>51.82204949800704</v>
      </c>
      <c r="W63" t="str">
        <f t="shared" si="29"/>
        <v>62 Leisure, travel and related personal service occupations</v>
      </c>
      <c r="X63" s="173">
        <f t="shared" ref="X63:AB63" si="70">X26/X$35*100</f>
        <v>3.709472483906878</v>
      </c>
      <c r="Y63" s="173">
        <f t="shared" si="70"/>
        <v>3.0602301748884271</v>
      </c>
      <c r="Z63" s="173">
        <f t="shared" si="70"/>
        <v>2.772249802942313</v>
      </c>
      <c r="AA63" s="173">
        <f t="shared" si="70"/>
        <v>2.717958519850117</v>
      </c>
      <c r="AB63" s="173">
        <f t="shared" si="70"/>
        <v>2.6196307486148367</v>
      </c>
      <c r="AD63" s="68">
        <f t="shared" si="31"/>
        <v>1.6116501276097075</v>
      </c>
      <c r="AE63" s="69">
        <f t="shared" si="32"/>
        <v>55.363876599342341</v>
      </c>
      <c r="AF63" s="69">
        <f t="shared" si="33"/>
        <v>56.975526726952054</v>
      </c>
    </row>
    <row r="64" spans="1:32" x14ac:dyDescent="0.25">
      <c r="A64" t="str">
        <f t="shared" si="19"/>
        <v>63 Community and civil enforcement occupations</v>
      </c>
      <c r="B64" s="173">
        <f t="shared" si="52"/>
        <v>8.8351343915292369E-2</v>
      </c>
      <c r="C64" s="173">
        <f t="shared" si="52"/>
        <v>7.2061366072347116E-2</v>
      </c>
      <c r="D64" s="173">
        <f t="shared" si="52"/>
        <v>9.2305196664368067E-2</v>
      </c>
      <c r="E64" s="173">
        <f t="shared" si="52"/>
        <v>7.5329981232792234E-2</v>
      </c>
      <c r="F64" s="173">
        <f t="shared" si="52"/>
        <v>8.0227009313753622E-2</v>
      </c>
      <c r="H64" s="68">
        <f t="shared" si="21"/>
        <v>-8.5746035849052671</v>
      </c>
      <c r="I64" s="69">
        <f t="shared" si="22"/>
        <v>43.203914817127107</v>
      </c>
      <c r="J64" s="69">
        <f t="shared" si="23"/>
        <v>34.629311232221838</v>
      </c>
      <c r="L64" t="str">
        <f t="shared" si="24"/>
        <v>63 Community and civil enforcement occupations</v>
      </c>
      <c r="M64" s="173">
        <f t="shared" ref="M64:Q64" si="71">M27/M$35*100</f>
        <v>0.12477103189498086</v>
      </c>
      <c r="N64" s="173">
        <f t="shared" si="71"/>
        <v>8.8847305903687765E-2</v>
      </c>
      <c r="O64" s="173">
        <f t="shared" si="71"/>
        <v>0.13257245810651103</v>
      </c>
      <c r="P64" s="173">
        <f t="shared" si="71"/>
        <v>8.9772567024208938E-2</v>
      </c>
      <c r="Q64" s="173">
        <f t="shared" si="71"/>
        <v>0.1010871747833116</v>
      </c>
      <c r="S64" s="68">
        <f t="shared" si="26"/>
        <v>-21.349200853223426</v>
      </c>
      <c r="T64" s="69">
        <f t="shared" si="27"/>
        <v>30.468666922857029</v>
      </c>
      <c r="U64" s="69">
        <f t="shared" si="28"/>
        <v>9.1194660696335994</v>
      </c>
      <c r="W64" t="str">
        <f t="shared" si="29"/>
        <v>63 Community and civil enforcement occupations</v>
      </c>
      <c r="X64" s="173">
        <f t="shared" ref="X64:AB64" si="72">X27/X$35*100</f>
        <v>4.3690880522281678E-2</v>
      </c>
      <c r="Y64" s="173">
        <f t="shared" si="72"/>
        <v>5.227208959946212E-2</v>
      </c>
      <c r="Z64" s="173">
        <f t="shared" si="72"/>
        <v>4.6112740290513397E-2</v>
      </c>
      <c r="AA64" s="173">
        <f t="shared" si="72"/>
        <v>5.8970515422752653E-2</v>
      </c>
      <c r="AB64" s="173">
        <f t="shared" si="72"/>
        <v>5.7272854013651418E-2</v>
      </c>
      <c r="AD64" s="68">
        <f t="shared" si="31"/>
        <v>33.556085056741161</v>
      </c>
      <c r="AE64" s="69">
        <f t="shared" si="32"/>
        <v>85.204829017244052</v>
      </c>
      <c r="AF64" s="69">
        <f t="shared" si="33"/>
        <v>118.76091407398522</v>
      </c>
    </row>
    <row r="65" spans="1:32" x14ac:dyDescent="0.25">
      <c r="A65" t="str">
        <f t="shared" si="19"/>
        <v>71 Sales occupations</v>
      </c>
      <c r="B65" s="173">
        <f t="shared" ref="B65:F70" si="73">B28/B$35*100</f>
        <v>6.7694566044031141</v>
      </c>
      <c r="C65" s="173">
        <f t="shared" si="73"/>
        <v>6.0275322571167145</v>
      </c>
      <c r="D65" s="173">
        <f t="shared" si="73"/>
        <v>6.0846781350134931</v>
      </c>
      <c r="E65" s="173">
        <f t="shared" si="73"/>
        <v>5.4567255593108888</v>
      </c>
      <c r="F65" s="173">
        <f t="shared" si="73"/>
        <v>4.9756115199324817</v>
      </c>
      <c r="H65" s="68">
        <f t="shared" si="21"/>
        <v>-13.983601306980312</v>
      </c>
      <c r="I65" s="69">
        <f t="shared" si="22"/>
        <v>41.284342246310715</v>
      </c>
      <c r="J65" s="69">
        <f t="shared" si="23"/>
        <v>27.30074093933041</v>
      </c>
      <c r="L65" t="str">
        <f t="shared" si="24"/>
        <v>71 Sales occupations</v>
      </c>
      <c r="M65" s="173">
        <f t="shared" ref="M65:Q65" si="74">M28/M$35*100</f>
        <v>4.9484940425874386</v>
      </c>
      <c r="N65" s="173">
        <f t="shared" si="74"/>
        <v>4.7323425887355501</v>
      </c>
      <c r="O65" s="173">
        <f t="shared" si="74"/>
        <v>4.8806814840561081</v>
      </c>
      <c r="P65" s="173">
        <f t="shared" si="74"/>
        <v>4.4701070105115344</v>
      </c>
      <c r="Q65" s="173">
        <f t="shared" si="74"/>
        <v>4.2070243717458382</v>
      </c>
      <c r="S65" s="68">
        <f t="shared" si="26"/>
        <v>-11.089111276345809</v>
      </c>
      <c r="T65" s="69">
        <f t="shared" si="27"/>
        <v>30.155378951699667</v>
      </c>
      <c r="U65" s="69">
        <f t="shared" si="28"/>
        <v>19.06626767535386</v>
      </c>
      <c r="W65" t="str">
        <f t="shared" si="29"/>
        <v>71 Sales occupations</v>
      </c>
      <c r="X65" s="173">
        <f t="shared" ref="X65:AB65" si="75">X28/X$35*100</f>
        <v>9.0024529957332167</v>
      </c>
      <c r="Y65" s="173">
        <f t="shared" si="75"/>
        <v>7.5544569744664063</v>
      </c>
      <c r="Z65" s="173">
        <f t="shared" si="75"/>
        <v>7.4658389287149864</v>
      </c>
      <c r="AA65" s="173">
        <f t="shared" si="75"/>
        <v>6.5742922229083582</v>
      </c>
      <c r="AB65" s="173">
        <f t="shared" si="75"/>
        <v>5.8213511564125806</v>
      </c>
      <c r="AD65" s="68">
        <f t="shared" si="31"/>
        <v>-16.154266644379366</v>
      </c>
      <c r="AE65" s="69">
        <f t="shared" si="32"/>
        <v>49.630287338235775</v>
      </c>
      <c r="AF65" s="69">
        <f t="shared" si="33"/>
        <v>33.476020693856412</v>
      </c>
    </row>
    <row r="66" spans="1:32" x14ac:dyDescent="0.25">
      <c r="A66" t="str">
        <f t="shared" si="19"/>
        <v>72 Customer service occupations</v>
      </c>
      <c r="B66" s="173">
        <f t="shared" si="73"/>
        <v>1.7977400682285729</v>
      </c>
      <c r="C66" s="173">
        <f t="shared" si="73"/>
        <v>1.7351370514538556</v>
      </c>
      <c r="D66" s="173">
        <f t="shared" si="73"/>
        <v>1.8375536104790802</v>
      </c>
      <c r="E66" s="173">
        <f t="shared" si="73"/>
        <v>2.3195037154735489</v>
      </c>
      <c r="F66" s="173">
        <f t="shared" si="73"/>
        <v>2.5751760661626397</v>
      </c>
      <c r="H66" s="68">
        <f t="shared" si="21"/>
        <v>47.414196618103048</v>
      </c>
      <c r="I66" s="69">
        <f t="shared" si="22"/>
        <v>60.245588949524063</v>
      </c>
      <c r="J66" s="69">
        <f t="shared" si="23"/>
        <v>107.6597855676271</v>
      </c>
      <c r="L66" t="str">
        <f t="shared" si="24"/>
        <v>72 Customer service occupations</v>
      </c>
      <c r="M66" s="173">
        <f t="shared" ref="M66:Q66" si="76">M29/M$35*100</f>
        <v>1.4072869185912193</v>
      </c>
      <c r="N66" s="173">
        <f t="shared" si="76"/>
        <v>1.1637741670348933</v>
      </c>
      <c r="O66" s="173">
        <f t="shared" si="76"/>
        <v>1.4079976275000983</v>
      </c>
      <c r="P66" s="173">
        <f t="shared" si="76"/>
        <v>1.9385291745762694</v>
      </c>
      <c r="Q66" s="173">
        <f t="shared" si="76"/>
        <v>2.2257432920779845</v>
      </c>
      <c r="S66" s="68">
        <f t="shared" si="26"/>
        <v>63.054781892163078</v>
      </c>
      <c r="T66" s="69">
        <f t="shared" si="27"/>
        <v>49.522184981189007</v>
      </c>
      <c r="U66" s="69">
        <f t="shared" si="28"/>
        <v>112.57696687335211</v>
      </c>
      <c r="W66" t="str">
        <f t="shared" si="29"/>
        <v>72 Customer service occupations</v>
      </c>
      <c r="X66" s="173">
        <f t="shared" ref="X66:AB66" si="77">X29/X$35*100</f>
        <v>2.2765420449448412</v>
      </c>
      <c r="Y66" s="173">
        <f t="shared" si="77"/>
        <v>2.4087280567665883</v>
      </c>
      <c r="Z66" s="173">
        <f t="shared" si="77"/>
        <v>2.3303173419385623</v>
      </c>
      <c r="AA66" s="173">
        <f t="shared" si="77"/>
        <v>2.7510427810063112</v>
      </c>
      <c r="AB66" s="173">
        <f t="shared" si="77"/>
        <v>2.9596856797124458</v>
      </c>
      <c r="AD66" s="68">
        <f t="shared" si="31"/>
        <v>36.573459350026447</v>
      </c>
      <c r="AE66" s="69">
        <f t="shared" si="32"/>
        <v>67.678150008027032</v>
      </c>
      <c r="AF66" s="69">
        <f t="shared" si="33"/>
        <v>104.25160935805349</v>
      </c>
    </row>
    <row r="67" spans="1:32" x14ac:dyDescent="0.25">
      <c r="A67" t="str">
        <f t="shared" si="19"/>
        <v>81 Process, plant and machine operatives</v>
      </c>
      <c r="B67" s="173">
        <f t="shared" si="73"/>
        <v>4.552889051529502</v>
      </c>
      <c r="C67" s="173">
        <f t="shared" si="73"/>
        <v>4.2627442032741971</v>
      </c>
      <c r="D67" s="173">
        <f t="shared" si="73"/>
        <v>3.6913493570606986</v>
      </c>
      <c r="E67" s="173">
        <f t="shared" si="73"/>
        <v>4.3184191877131832</v>
      </c>
      <c r="F67" s="173">
        <f t="shared" si="73"/>
        <v>4.083392189375509</v>
      </c>
      <c r="H67" s="68">
        <f t="shared" si="21"/>
        <v>16.361241198296216</v>
      </c>
      <c r="I67" s="69">
        <f t="shared" si="22"/>
        <v>46.881435014301722</v>
      </c>
      <c r="J67" s="69">
        <f t="shared" si="23"/>
        <v>63.242676212597935</v>
      </c>
      <c r="L67" t="str">
        <f t="shared" si="24"/>
        <v>81 Process, plant and machine operatives</v>
      </c>
      <c r="M67" s="173">
        <f t="shared" ref="M67:Q67" si="78">M30/M$35*100</f>
        <v>6.6491376216080322</v>
      </c>
      <c r="N67" s="173">
        <f t="shared" si="78"/>
        <v>6.1696932667171263</v>
      </c>
      <c r="O67" s="173">
        <f t="shared" si="78"/>
        <v>5.3718904027499423</v>
      </c>
      <c r="P67" s="173">
        <f t="shared" si="78"/>
        <v>6.2247367856775329</v>
      </c>
      <c r="Q67" s="173">
        <f t="shared" si="78"/>
        <v>5.8583319126211038</v>
      </c>
      <c r="S67" s="68">
        <f t="shared" si="26"/>
        <v>12.488265354256113</v>
      </c>
      <c r="T67" s="69">
        <f t="shared" si="27"/>
        <v>41.941425902966216</v>
      </c>
      <c r="U67" s="69">
        <f t="shared" si="28"/>
        <v>54.429691257222338</v>
      </c>
      <c r="W67" t="str">
        <f t="shared" si="29"/>
        <v>81 Process, plant and machine operatives</v>
      </c>
      <c r="X67" s="173">
        <f t="shared" ref="X67:AB67" si="79">X30/X$35*100</f>
        <v>1.9823169868029875</v>
      </c>
      <c r="Y67" s="173">
        <f t="shared" si="79"/>
        <v>2.0146042352205304</v>
      </c>
      <c r="Z67" s="173">
        <f t="shared" si="79"/>
        <v>1.7635222300778666</v>
      </c>
      <c r="AA67" s="173">
        <f t="shared" si="79"/>
        <v>2.1590871943031842</v>
      </c>
      <c r="AB67" s="173">
        <f t="shared" si="79"/>
        <v>2.1302800668874955</v>
      </c>
      <c r="AD67" s="68">
        <f t="shared" si="31"/>
        <v>29.894735867960708</v>
      </c>
      <c r="AE67" s="69">
        <f t="shared" si="32"/>
        <v>64.143506782508013</v>
      </c>
      <c r="AF67" s="69">
        <f t="shared" si="33"/>
        <v>94.038242650468732</v>
      </c>
    </row>
    <row r="68" spans="1:32" x14ac:dyDescent="0.25">
      <c r="A68" t="str">
        <f t="shared" si="19"/>
        <v>82 Transport and mobile machine drivers and operatives</v>
      </c>
      <c r="B68" s="173">
        <f t="shared" si="73"/>
        <v>4.7715230007562948</v>
      </c>
      <c r="C68" s="173">
        <f t="shared" si="73"/>
        <v>4.8703480867995461</v>
      </c>
      <c r="D68" s="173">
        <f t="shared" si="73"/>
        <v>4.4239755560340877</v>
      </c>
      <c r="E68" s="173">
        <f t="shared" si="73"/>
        <v>4.6930895431983419</v>
      </c>
      <c r="F68" s="173">
        <f t="shared" si="73"/>
        <v>4.627680430568069</v>
      </c>
      <c r="H68" s="68">
        <f t="shared" si="21"/>
        <v>10.03302256586597</v>
      </c>
      <c r="I68" s="69">
        <f t="shared" si="22"/>
        <v>57.58754431817291</v>
      </c>
      <c r="J68" s="69">
        <f t="shared" si="23"/>
        <v>67.62056688403888</v>
      </c>
      <c r="L68" t="str">
        <f t="shared" si="24"/>
        <v>82 Transport and mobile machine drivers and operatives</v>
      </c>
      <c r="M68" s="173">
        <f t="shared" ref="M68:Q68" si="80">M31/M$35*100</f>
        <v>8.2683124678816604</v>
      </c>
      <c r="N68" s="173">
        <f t="shared" si="80"/>
        <v>8.5811607057301629</v>
      </c>
      <c r="O68" s="173">
        <f t="shared" si="80"/>
        <v>7.9103637776804376</v>
      </c>
      <c r="P68" s="173">
        <f t="shared" si="80"/>
        <v>8.2799049638657785</v>
      </c>
      <c r="Q68" s="173">
        <f t="shared" si="80"/>
        <v>8.1995046644942136</v>
      </c>
      <c r="S68" s="68">
        <f t="shared" si="26"/>
        <v>6.9181783869068179</v>
      </c>
      <c r="T68" s="69">
        <f t="shared" si="27"/>
        <v>55.622023164437607</v>
      </c>
      <c r="U68" s="69">
        <f t="shared" si="28"/>
        <v>62.540201551344431</v>
      </c>
      <c r="W68" t="str">
        <f t="shared" si="29"/>
        <v>82 Transport and mobile machine drivers and operatives</v>
      </c>
      <c r="X68" s="173">
        <f t="shared" ref="X68:AB68" si="81">X31/X$35*100</f>
        <v>0.48350608867529127</v>
      </c>
      <c r="Y68" s="173">
        <f t="shared" si="81"/>
        <v>0.49559769492811173</v>
      </c>
      <c r="Z68" s="173">
        <f t="shared" si="81"/>
        <v>0.42457678733179649</v>
      </c>
      <c r="AA68" s="173">
        <f t="shared" si="81"/>
        <v>0.6302170708599909</v>
      </c>
      <c r="AB68" s="173">
        <f t="shared" si="81"/>
        <v>0.6973085315600116</v>
      </c>
      <c r="AD68" s="68">
        <f t="shared" si="31"/>
        <v>76.605619429361255</v>
      </c>
      <c r="AE68" s="69">
        <f t="shared" si="32"/>
        <v>99.596017255017472</v>
      </c>
      <c r="AF68" s="69">
        <f t="shared" si="33"/>
        <v>176.20163668437871</v>
      </c>
    </row>
    <row r="69" spans="1:32" x14ac:dyDescent="0.25">
      <c r="A69" t="str">
        <f t="shared" si="19"/>
        <v>91 Elementary trades and related occupations</v>
      </c>
      <c r="B69" s="173">
        <f t="shared" si="73"/>
        <v>2.272212622824318</v>
      </c>
      <c r="C69" s="173">
        <f t="shared" si="73"/>
        <v>1.9281119512502622</v>
      </c>
      <c r="D69" s="173">
        <f t="shared" si="73"/>
        <v>1.7418355719930452</v>
      </c>
      <c r="E69" s="173">
        <f t="shared" si="73"/>
        <v>1.4403482663451299</v>
      </c>
      <c r="F69" s="173">
        <f t="shared" si="73"/>
        <v>1.3152252286513959</v>
      </c>
      <c r="H69" s="68">
        <f t="shared" si="21"/>
        <v>-20.573508950818521</v>
      </c>
      <c r="I69" s="69">
        <f t="shared" si="22"/>
        <v>34.2211250866916</v>
      </c>
      <c r="J69" s="69">
        <f t="shared" si="23"/>
        <v>13.647616135873081</v>
      </c>
      <c r="L69" t="str">
        <f t="shared" si="24"/>
        <v>91 Elementary trades and related occupations</v>
      </c>
      <c r="M69" s="173">
        <f t="shared" ref="M69:Q70" si="82">M32/M$35*100</f>
        <v>3.1040949847320656</v>
      </c>
      <c r="N69" s="173">
        <f t="shared" si="82"/>
        <v>2.6867308058006016</v>
      </c>
      <c r="O69" s="173">
        <f t="shared" si="82"/>
        <v>2.5328935111209998</v>
      </c>
      <c r="P69" s="173">
        <f t="shared" si="82"/>
        <v>2.093758003272427</v>
      </c>
      <c r="Q69" s="173">
        <f t="shared" si="82"/>
        <v>1.9318694930685225</v>
      </c>
      <c r="S69" s="68">
        <f t="shared" si="26"/>
        <v>-21.327809475718297</v>
      </c>
      <c r="T69" s="69">
        <f t="shared" si="27"/>
        <v>28.307208196406027</v>
      </c>
      <c r="U69" s="69">
        <f t="shared" si="28"/>
        <v>6.9793987206877279</v>
      </c>
      <c r="W69" t="str">
        <f t="shared" si="29"/>
        <v>91 Elementary trades and related occupations</v>
      </c>
      <c r="X69" s="173">
        <f t="shared" ref="X69:AB70" si="83">X32/X$35*100</f>
        <v>1.252098123436173</v>
      </c>
      <c r="Y69" s="173">
        <f t="shared" si="83"/>
        <v>1.033761179051589</v>
      </c>
      <c r="Z69" s="173">
        <f t="shared" si="83"/>
        <v>0.83437606186810997</v>
      </c>
      <c r="AA69" s="173">
        <f t="shared" si="83"/>
        <v>0.70021527315482024</v>
      </c>
      <c r="AB69" s="173">
        <f t="shared" si="83"/>
        <v>0.63668084073634423</v>
      </c>
      <c r="AD69" s="68">
        <f t="shared" si="31"/>
        <v>-17.946760598845898</v>
      </c>
      <c r="AE69" s="69">
        <f t="shared" si="32"/>
        <v>54.815531337859902</v>
      </c>
      <c r="AF69" s="69">
        <f t="shared" si="33"/>
        <v>36.868770739014003</v>
      </c>
    </row>
    <row r="70" spans="1:32" x14ac:dyDescent="0.25">
      <c r="A70" t="str">
        <f t="shared" si="19"/>
        <v>92 Elementary administration and service occupations</v>
      </c>
      <c r="B70" s="173">
        <f t="shared" si="73"/>
        <v>8.9944447434442854</v>
      </c>
      <c r="C70" s="173">
        <f t="shared" si="73"/>
        <v>8.1906984774289313</v>
      </c>
      <c r="D70" s="173">
        <f t="shared" si="73"/>
        <v>7.6046607391709209</v>
      </c>
      <c r="E70" s="173">
        <f t="shared" si="73"/>
        <v>7.5062597104443833</v>
      </c>
      <c r="F70" s="173">
        <f t="shared" si="73"/>
        <v>6.7535946582813446</v>
      </c>
      <c r="H70" s="68">
        <f t="shared" si="21"/>
        <v>-6.5826489162633868</v>
      </c>
      <c r="I70" s="69">
        <f t="shared" si="22"/>
        <v>48.378505993365437</v>
      </c>
      <c r="J70" s="69">
        <f t="shared" si="23"/>
        <v>41.795857077102049</v>
      </c>
      <c r="L70" t="str">
        <f t="shared" si="24"/>
        <v>92 Elementary administration and service occupations</v>
      </c>
      <c r="M70" s="173">
        <f t="shared" si="82"/>
        <v>8.4652323767617919</v>
      </c>
      <c r="N70" s="173">
        <f t="shared" si="82"/>
        <v>7.2188093988917581</v>
      </c>
      <c r="O70" s="173">
        <f t="shared" si="82"/>
        <v>7.0986813751817133</v>
      </c>
      <c r="P70" s="173">
        <f t="shared" si="82"/>
        <v>7.4502242777643595</v>
      </c>
      <c r="Q70" s="173">
        <f t="shared" si="82"/>
        <v>6.8741576495885734</v>
      </c>
      <c r="S70" s="68">
        <f t="shared" si="26"/>
        <v>-0.11455833450895198</v>
      </c>
      <c r="T70" s="69">
        <f t="shared" si="27"/>
        <v>42.045378755608866</v>
      </c>
      <c r="U70" s="69">
        <f t="shared" si="28"/>
        <v>41.930820421099909</v>
      </c>
      <c r="W70" t="str">
        <f t="shared" si="29"/>
        <v>92 Elementary administration and service occupations</v>
      </c>
      <c r="X70" s="173">
        <f t="shared" si="83"/>
        <v>9.6434033381069675</v>
      </c>
      <c r="Y70" s="173">
        <f t="shared" si="83"/>
        <v>9.3364777349144106</v>
      </c>
      <c r="Z70" s="173">
        <f t="shared" si="83"/>
        <v>8.1850933005141879</v>
      </c>
      <c r="AA70" s="173">
        <f t="shared" si="83"/>
        <v>7.5697323986678748</v>
      </c>
      <c r="AB70" s="173">
        <f t="shared" si="83"/>
        <v>6.6209292856145101</v>
      </c>
      <c r="AD70" s="68">
        <f t="shared" si="31"/>
        <v>-13.017657124805298</v>
      </c>
      <c r="AE70" s="69">
        <f t="shared" si="32"/>
        <v>54.679241155557825</v>
      </c>
      <c r="AF70" s="69">
        <f t="shared" si="33"/>
        <v>41.661584030752522</v>
      </c>
    </row>
    <row r="71" spans="1:32" x14ac:dyDescent="0.25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5.1895024929764437</v>
      </c>
      <c r="I72" s="67">
        <f>IF(D35&gt;0,I35/D35*100,0)</f>
        <v>49.577409782171536</v>
      </c>
      <c r="J72" s="67">
        <f>IF(D35&gt;0,(J35/D35)*100,0)</f>
        <v>54.766912275147995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3.1478997932290183</v>
      </c>
      <c r="T72" s="67">
        <f t="shared" ref="T72" si="85">IF(O35&gt;0,T35/O35*100,0)</f>
        <v>41.14432933186437</v>
      </c>
      <c r="U72" s="67">
        <f t="shared" ref="U72" si="86">IF(O35&gt;0,(U35/O35)*100,0)</f>
        <v>44.292229125093371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7.5315203075311201</v>
      </c>
      <c r="AE72" s="67">
        <f t="shared" ref="AE72" si="88">IF(Z35&gt;0,AE35/Z35*100,0)</f>
        <v>59.251390252825786</v>
      </c>
      <c r="AF72" s="67">
        <f t="shared" ref="AF72" si="89">IF(Z35&gt;0,(AF35/Z35)*100,0)</f>
        <v>66.782910560356939</v>
      </c>
    </row>
    <row r="73" spans="1:32" x14ac:dyDescent="0.25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5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5" x14ac:dyDescent="0.35">
      <c r="A75" s="19" t="str">
        <f>CONCATENATE(A$1," (Continued)")</f>
        <v>Occupation Table 2  Employment Change by Occupation (SOC 2020) and Replacement Demand, 2015-2035, Black Country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Black Country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Black Country (Continued)</v>
      </c>
      <c r="X75" s="18"/>
      <c r="Y75" s="18"/>
      <c r="Z75" s="18"/>
      <c r="AA75" s="18"/>
      <c r="AB75" s="18"/>
    </row>
    <row r="77" spans="1:32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ht="13" x14ac:dyDescent="0.3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3.0303782938927215</v>
      </c>
      <c r="C82" s="18">
        <f t="shared" ref="B82:E107" si="96">IF(AND(D$6-C$6 &lt;&gt; 0,C8&lt;&gt;0,D8&lt;&gt;0),(EXP(LN(D8/C8)/(D$6-C$6))-1)*100,0)</f>
        <v>2.3388292104387531</v>
      </c>
      <c r="D82" s="18">
        <f t="shared" si="96"/>
        <v>-1.3304879854512341</v>
      </c>
      <c r="E82" s="18">
        <f t="shared" si="96"/>
        <v>0.9460829063097087</v>
      </c>
      <c r="F82" s="18">
        <f t="shared" ref="F82:F107" si="97">IF(AND(F$6-D$6 &lt;&gt; 0,D8&lt;&gt;0,F8&lt;&gt;0),(EXP(LN(F8/D8)/(F$6-D$6))-1)*100,0)</f>
        <v>0.18144870741847452</v>
      </c>
      <c r="H82" s="18">
        <f t="shared" ref="H82:H107" si="98">IF($F$6-$D$6 &lt;&gt; 0,(EXP(LN(1+(H45/100))/($F$6-$D$6))-1)*100,0)</f>
        <v>0.18144870741847452</v>
      </c>
      <c r="I82" s="18">
        <f t="shared" ref="I82:I107" si="99">IF(D8&gt;0,((1+(I8/D8))^(1/($F$6-$D$6))-1)*100,0)</f>
        <v>2.7159456314471697</v>
      </c>
      <c r="J82" s="18">
        <f t="shared" ref="J82:J107" si="100">IF($F$6-$D$6 &lt;&gt; 0,(EXP(LN(1+(J45/100))/($F$6-$D$6))-1)*100,0)</f>
        <v>2.8411555181345971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2.0337586830210475</v>
      </c>
      <c r="N82" s="18">
        <f t="shared" si="102"/>
        <v>1.2347083680539273</v>
      </c>
      <c r="O82" s="18">
        <f t="shared" si="102"/>
        <v>-1.9790525050507157</v>
      </c>
      <c r="P82" s="18">
        <f t="shared" si="102"/>
        <v>0.53565559297166221</v>
      </c>
      <c r="Q82" s="18">
        <f t="shared" ref="Q82:Q107" si="103">IF(AND(Q$6-O$6 &lt;&gt; 0,O8&lt;&gt;0,Q8&lt;&gt;0),(EXP(LN(Q8/O8)/(Q$6-O$6))-1)*100,0)</f>
        <v>-0.3096681689573666</v>
      </c>
      <c r="S82" s="18">
        <f t="shared" ref="S82:S107" si="104">IF($F$6-$D$6 &lt;&gt; 0,(EXP(LN(1+(S45/100))/($F$6-$D$6))-1)*100,0)</f>
        <v>-0.3096681689573666</v>
      </c>
      <c r="T82" s="18">
        <f t="shared" ref="T82:T107" si="105">IF(O8&gt;0,((1+(T8/O8))^(1/($F$6-$D$6))-1)*100,0)</f>
        <v>2.4293773480250413</v>
      </c>
      <c r="U82" s="18">
        <f t="shared" ref="U82:U107" si="106">IF($F$6-$D$6 &lt;&gt; 0,(EXP(LN(1+(U45/100))/($F$6-$D$6))-1)*100,0)</f>
        <v>2.2095529009590109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5.4451650280111119</v>
      </c>
      <c r="Y82" s="18">
        <f t="shared" si="108"/>
        <v>4.8036141081297279</v>
      </c>
      <c r="Z82" s="18">
        <f t="shared" si="108"/>
        <v>1.2696874401130209E-2</v>
      </c>
      <c r="AA82" s="18">
        <f t="shared" si="108"/>
        <v>1.7056858902999128</v>
      </c>
      <c r="AB82" s="18">
        <f t="shared" ref="AB82:AB107" si="109">IF(AND(AB$6-Z$6 &lt;&gt; 0,Z8&lt;&gt;0,AB8&lt;&gt;0),(EXP(LN(AB8/Z8)/(AB$6-Z$6))-1)*100,0)</f>
        <v>1.1381956656337788</v>
      </c>
      <c r="AD82" s="18">
        <f t="shared" ref="AD82:AD107" si="110">IF($F$6-$D$6 &lt;&gt; 0,(EXP(LN(1+(AD45/100))/($F$6-$D$6))-1)*100,0)</f>
        <v>1.1381956656337788</v>
      </c>
      <c r="AE82" s="18">
        <f t="shared" ref="AE82:AE107" si="111">IF(Z8&gt;0,((1+(AE8/Z8))^(1/($F$6-$D$6))-1)*100,0)</f>
        <v>3.2982716034320347</v>
      </c>
      <c r="AF82" s="18">
        <f t="shared" ref="AF82:AF107" si="112">IF($F$6-$D$6 &lt;&gt; 0,(EXP(LN(1+(AF45/100))/($F$6-$D$6))-1)*100,0)</f>
        <v>4.0426638163107986</v>
      </c>
    </row>
    <row r="83" spans="1:32" x14ac:dyDescent="0.25">
      <c r="A83" t="str">
        <f t="shared" si="95"/>
        <v>12 Other managers and proprietors</v>
      </c>
      <c r="B83" s="18">
        <f t="shared" si="96"/>
        <v>0.322986038237838</v>
      </c>
      <c r="C83" s="18">
        <f t="shared" si="96"/>
        <v>4.178379898963458</v>
      </c>
      <c r="D83" s="18">
        <f t="shared" si="96"/>
        <v>4.4289835801952782</v>
      </c>
      <c r="E83" s="18">
        <f t="shared" si="96"/>
        <v>1.4467499962206753</v>
      </c>
      <c r="F83" s="18">
        <f t="shared" si="97"/>
        <v>2.4312429117910428</v>
      </c>
      <c r="H83" s="18">
        <f t="shared" si="98"/>
        <v>2.4312429117910428</v>
      </c>
      <c r="I83" s="18">
        <f t="shared" si="99"/>
        <v>3.756363991152134</v>
      </c>
      <c r="J83" s="18">
        <f t="shared" si="100"/>
        <v>5.3085696477487287</v>
      </c>
      <c r="L83" t="str">
        <f t="shared" si="101"/>
        <v>12 Other managers and proprietors</v>
      </c>
      <c r="M83" s="18">
        <f t="shared" si="102"/>
        <v>0.70031900291747107</v>
      </c>
      <c r="N83" s="18">
        <f t="shared" si="102"/>
        <v>-5.0479100389099525</v>
      </c>
      <c r="O83" s="18">
        <f t="shared" si="102"/>
        <v>5.1320452240031678</v>
      </c>
      <c r="P83" s="18">
        <f t="shared" si="102"/>
        <v>1.2776796859754747</v>
      </c>
      <c r="Q83" s="18">
        <f t="shared" si="103"/>
        <v>2.5465057216306208</v>
      </c>
      <c r="S83" s="18">
        <f t="shared" si="104"/>
        <v>2.5465057216306208</v>
      </c>
      <c r="T83" s="18">
        <f t="shared" si="105"/>
        <v>3.4915159811601315</v>
      </c>
      <c r="U83" s="18">
        <f t="shared" si="106"/>
        <v>5.1748820894919501</v>
      </c>
      <c r="W83" t="str">
        <f t="shared" si="107"/>
        <v>12 Other managers and proprietors</v>
      </c>
      <c r="X83" s="18">
        <f t="shared" si="108"/>
        <v>-0.26529506763048882</v>
      </c>
      <c r="Y83" s="18">
        <f t="shared" si="108"/>
        <v>18.913516332984813</v>
      </c>
      <c r="Z83" s="18">
        <f t="shared" si="108"/>
        <v>3.5039980777834101</v>
      </c>
      <c r="AA83" s="18">
        <f t="shared" si="108"/>
        <v>1.6757769648350296</v>
      </c>
      <c r="AB83" s="18">
        <f t="shared" si="109"/>
        <v>2.2815674970200428</v>
      </c>
      <c r="AD83" s="18">
        <f t="shared" si="110"/>
        <v>2.2815674970200428</v>
      </c>
      <c r="AE83" s="18">
        <f t="shared" si="111"/>
        <v>4.080941758100276</v>
      </c>
      <c r="AF83" s="18">
        <f t="shared" si="112"/>
        <v>5.4756808582037797</v>
      </c>
    </row>
    <row r="84" spans="1:32" x14ac:dyDescent="0.25">
      <c r="A84" t="str">
        <f t="shared" si="95"/>
        <v>21 Science, research, engineering and technology professionals</v>
      </c>
      <c r="B84" s="18">
        <f t="shared" si="96"/>
        <v>1.8773236967932538</v>
      </c>
      <c r="C84" s="18">
        <f t="shared" si="96"/>
        <v>4.5576329429735329</v>
      </c>
      <c r="D84" s="18">
        <f t="shared" si="96"/>
        <v>0.72993411341675252</v>
      </c>
      <c r="E84" s="18">
        <f t="shared" si="96"/>
        <v>0.90241893513023363</v>
      </c>
      <c r="F84" s="18">
        <f t="shared" si="97"/>
        <v>0.84489120237103421</v>
      </c>
      <c r="H84" s="18">
        <f t="shared" si="98"/>
        <v>0.84489120237103421</v>
      </c>
      <c r="I84" s="18">
        <f t="shared" si="99"/>
        <v>2.2023247009717917</v>
      </c>
      <c r="J84" s="18">
        <f t="shared" si="100"/>
        <v>2.835164229281073</v>
      </c>
      <c r="L84" t="str">
        <f t="shared" si="101"/>
        <v>21 Science, research, engineering and technology professionals</v>
      </c>
      <c r="M84" s="18">
        <f t="shared" si="102"/>
        <v>1.9785472060704912</v>
      </c>
      <c r="N84" s="18">
        <f t="shared" si="102"/>
        <v>0.93984315252284567</v>
      </c>
      <c r="O84" s="18">
        <f t="shared" si="102"/>
        <v>0.15839584957313413</v>
      </c>
      <c r="P84" s="18">
        <f t="shared" si="102"/>
        <v>0.59735142745751535</v>
      </c>
      <c r="Q84" s="18">
        <f t="shared" si="103"/>
        <v>0.45081956425274683</v>
      </c>
      <c r="S84" s="18">
        <f t="shared" si="104"/>
        <v>0.45081956425274683</v>
      </c>
      <c r="T84" s="18">
        <f t="shared" si="105"/>
        <v>1.9348655461862485</v>
      </c>
      <c r="U84" s="18">
        <f t="shared" si="106"/>
        <v>2.2822817689795993</v>
      </c>
      <c r="W84" t="str">
        <f t="shared" si="107"/>
        <v>21 Science, research, engineering and technology professionals</v>
      </c>
      <c r="X84" s="18">
        <f t="shared" si="108"/>
        <v>1.3262477330534095</v>
      </c>
      <c r="Y84" s="18">
        <f t="shared" si="108"/>
        <v>24.572295682865452</v>
      </c>
      <c r="Z84" s="18">
        <f t="shared" si="108"/>
        <v>3.144528264469959</v>
      </c>
      <c r="AA84" s="18">
        <f t="shared" si="108"/>
        <v>2.0107834579724537</v>
      </c>
      <c r="AB84" s="18">
        <f t="shared" si="109"/>
        <v>2.3873069293078197</v>
      </c>
      <c r="AD84" s="18">
        <f t="shared" si="110"/>
        <v>2.3873069293078197</v>
      </c>
      <c r="AE84" s="18">
        <f t="shared" si="111"/>
        <v>3.2940328196332525</v>
      </c>
      <c r="AF84" s="18">
        <f t="shared" si="112"/>
        <v>4.9040926147063013</v>
      </c>
    </row>
    <row r="85" spans="1:32" x14ac:dyDescent="0.25">
      <c r="A85" t="str">
        <f t="shared" si="95"/>
        <v>22 Health professionals</v>
      </c>
      <c r="B85" s="18">
        <f t="shared" si="96"/>
        <v>5.9533902611244693</v>
      </c>
      <c r="C85" s="18">
        <f t="shared" si="96"/>
        <v>-1.7820153783373538</v>
      </c>
      <c r="D85" s="18">
        <f t="shared" si="96"/>
        <v>1.7462254020997214</v>
      </c>
      <c r="E85" s="18">
        <f t="shared" si="96"/>
        <v>0.94880792108946732</v>
      </c>
      <c r="F85" s="18">
        <f t="shared" si="97"/>
        <v>1.2139169166406338</v>
      </c>
      <c r="H85" s="18">
        <f t="shared" si="98"/>
        <v>1.2139169166406338</v>
      </c>
      <c r="I85" s="18">
        <f t="shared" si="99"/>
        <v>3.1475106492189653</v>
      </c>
      <c r="J85" s="18">
        <f t="shared" si="100"/>
        <v>3.9584390415263959</v>
      </c>
      <c r="L85" t="str">
        <f t="shared" si="101"/>
        <v>22 Health professionals</v>
      </c>
      <c r="M85" s="18">
        <f t="shared" si="102"/>
        <v>6.1794193834907807</v>
      </c>
      <c r="N85" s="18">
        <f t="shared" si="102"/>
        <v>5.1078391910474696</v>
      </c>
      <c r="O85" s="18">
        <f t="shared" si="102"/>
        <v>1.4061647477191075</v>
      </c>
      <c r="P85" s="18">
        <f t="shared" si="102"/>
        <v>0.77244548995849538</v>
      </c>
      <c r="Q85" s="18">
        <f t="shared" si="103"/>
        <v>0.98324398116860223</v>
      </c>
      <c r="S85" s="18">
        <f t="shared" si="104"/>
        <v>0.98324398116860223</v>
      </c>
      <c r="T85" s="18">
        <f t="shared" si="105"/>
        <v>2.3578439616761315</v>
      </c>
      <c r="U85" s="18">
        <f t="shared" si="106"/>
        <v>3.0814177126844866</v>
      </c>
      <c r="W85" t="str">
        <f t="shared" si="107"/>
        <v>22 Health professionals</v>
      </c>
      <c r="X85" s="18">
        <f t="shared" si="108"/>
        <v>5.8838623831299675</v>
      </c>
      <c r="Y85" s="18">
        <f t="shared" si="108"/>
        <v>-3.9161899620562379</v>
      </c>
      <c r="Z85" s="18">
        <f t="shared" si="108"/>
        <v>1.8604298960365862</v>
      </c>
      <c r="AA85" s="18">
        <f t="shared" si="108"/>
        <v>1.0066406160367691</v>
      </c>
      <c r="AB85" s="18">
        <f t="shared" si="109"/>
        <v>1.2904389080215184</v>
      </c>
      <c r="AD85" s="18">
        <f t="shared" si="110"/>
        <v>1.2904389080215184</v>
      </c>
      <c r="AE85" s="18">
        <f t="shared" si="111"/>
        <v>3.3969461412130642</v>
      </c>
      <c r="AF85" s="18">
        <f t="shared" si="112"/>
        <v>4.2335373182228464</v>
      </c>
    </row>
    <row r="86" spans="1:32" x14ac:dyDescent="0.25">
      <c r="A86" t="str">
        <f t="shared" si="95"/>
        <v>23 Teaching and other educational professionals</v>
      </c>
      <c r="B86" s="18">
        <f t="shared" si="96"/>
        <v>1.5319874948684697</v>
      </c>
      <c r="C86" s="18">
        <f t="shared" si="96"/>
        <v>5.8622973141860601</v>
      </c>
      <c r="D86" s="18">
        <f t="shared" si="96"/>
        <v>1.2283791641005015</v>
      </c>
      <c r="E86" s="18">
        <f t="shared" si="96"/>
        <v>1.0925059308892981</v>
      </c>
      <c r="F86" s="18">
        <f t="shared" si="97"/>
        <v>1.1377767326286925</v>
      </c>
      <c r="H86" s="18">
        <f t="shared" si="98"/>
        <v>1.1377767326286925</v>
      </c>
      <c r="I86" s="18">
        <f t="shared" si="99"/>
        <v>2.9897986789862552</v>
      </c>
      <c r="J86" s="18">
        <f t="shared" si="100"/>
        <v>3.7640032705685833</v>
      </c>
      <c r="L86" t="str">
        <f t="shared" si="101"/>
        <v>23 Teaching and other educational professionals</v>
      </c>
      <c r="M86" s="18">
        <f t="shared" si="102"/>
        <v>0.24380752979933362</v>
      </c>
      <c r="N86" s="18">
        <f t="shared" si="102"/>
        <v>7.9725202622633384</v>
      </c>
      <c r="O86" s="18">
        <f t="shared" si="102"/>
        <v>1.4830126975618363</v>
      </c>
      <c r="P86" s="18">
        <f t="shared" si="102"/>
        <v>0.75033600626359664</v>
      </c>
      <c r="Q86" s="18">
        <f t="shared" si="103"/>
        <v>0.99397193119137306</v>
      </c>
      <c r="S86" s="18">
        <f t="shared" si="104"/>
        <v>0.99397193119137306</v>
      </c>
      <c r="T86" s="18">
        <f t="shared" si="105"/>
        <v>2.5974419689469341</v>
      </c>
      <c r="U86" s="18">
        <f t="shared" si="106"/>
        <v>3.3066797035574247</v>
      </c>
      <c r="W86" t="str">
        <f t="shared" si="107"/>
        <v>23 Teaching and other educational professionals</v>
      </c>
      <c r="X86" s="18">
        <f t="shared" si="108"/>
        <v>2.166557165598415</v>
      </c>
      <c r="Y86" s="18">
        <f t="shared" si="108"/>
        <v>4.8710788472449362</v>
      </c>
      <c r="Z86" s="18">
        <f t="shared" si="108"/>
        <v>1.1043100750395052</v>
      </c>
      <c r="AA86" s="18">
        <f t="shared" si="108"/>
        <v>1.257346629767242</v>
      </c>
      <c r="AB86" s="18">
        <f t="shared" si="109"/>
        <v>1.206308723957128</v>
      </c>
      <c r="AD86" s="18">
        <f t="shared" si="110"/>
        <v>1.206308723957128</v>
      </c>
      <c r="AE86" s="18">
        <f t="shared" si="111"/>
        <v>3.1722891707048895</v>
      </c>
      <c r="AF86" s="18">
        <f t="shared" si="112"/>
        <v>3.9754339704857866</v>
      </c>
    </row>
    <row r="87" spans="1:32" x14ac:dyDescent="0.25">
      <c r="A87" t="str">
        <f t="shared" si="95"/>
        <v>24 Business, media and public service professionals</v>
      </c>
      <c r="B87" s="18">
        <f t="shared" si="96"/>
        <v>2.7864250271628199</v>
      </c>
      <c r="C87" s="18">
        <f t="shared" si="96"/>
        <v>9.5453166568102432</v>
      </c>
      <c r="D87" s="18">
        <f t="shared" si="96"/>
        <v>2.192973750881233</v>
      </c>
      <c r="E87" s="18">
        <f t="shared" si="96"/>
        <v>1.2545911195317228</v>
      </c>
      <c r="F87" s="18">
        <f t="shared" si="97"/>
        <v>1.5664239951518555</v>
      </c>
      <c r="H87" s="18">
        <f t="shared" si="98"/>
        <v>1.5664239951518555</v>
      </c>
      <c r="I87" s="18">
        <f t="shared" si="99"/>
        <v>2.9467845673559534</v>
      </c>
      <c r="J87" s="18">
        <f t="shared" si="100"/>
        <v>4.0290274824625438</v>
      </c>
      <c r="L87" t="str">
        <f t="shared" si="101"/>
        <v>24 Business, media and public service professionals</v>
      </c>
      <c r="M87" s="18">
        <f t="shared" si="102"/>
        <v>1.5040750336225095</v>
      </c>
      <c r="N87" s="18">
        <f t="shared" si="102"/>
        <v>9.4771924712619295</v>
      </c>
      <c r="O87" s="18">
        <f t="shared" si="102"/>
        <v>2.2740241658729454</v>
      </c>
      <c r="P87" s="18">
        <f t="shared" si="102"/>
        <v>0.89011538866536899</v>
      </c>
      <c r="Q87" s="18">
        <f t="shared" si="103"/>
        <v>1.3493250130477419</v>
      </c>
      <c r="S87" s="18">
        <f t="shared" si="104"/>
        <v>1.3493250130477419</v>
      </c>
      <c r="T87" s="18">
        <f t="shared" si="105"/>
        <v>2.6478214337783523</v>
      </c>
      <c r="U87" s="18">
        <f t="shared" si="106"/>
        <v>3.6115011422239496</v>
      </c>
      <c r="W87" t="str">
        <f t="shared" si="107"/>
        <v>24 Business, media and public service professionals</v>
      </c>
      <c r="X87" s="18">
        <f t="shared" si="108"/>
        <v>4.6945320947279212</v>
      </c>
      <c r="Y87" s="18">
        <f t="shared" si="108"/>
        <v>9.6391474163522339</v>
      </c>
      <c r="Z87" s="18">
        <f t="shared" si="108"/>
        <v>2.0810822595316303</v>
      </c>
      <c r="AA87" s="18">
        <f t="shared" si="108"/>
        <v>1.741810046793324</v>
      </c>
      <c r="AB87" s="18">
        <f t="shared" si="109"/>
        <v>1.8547753111390897</v>
      </c>
      <c r="AD87" s="18">
        <f t="shared" si="110"/>
        <v>1.8547753111390897</v>
      </c>
      <c r="AE87" s="18">
        <f t="shared" si="111"/>
        <v>3.3390606154913627</v>
      </c>
      <c r="AF87" s="18">
        <f t="shared" si="112"/>
        <v>4.5674503027615776</v>
      </c>
    </row>
    <row r="88" spans="1:32" x14ac:dyDescent="0.25">
      <c r="A88" t="str">
        <f t="shared" si="95"/>
        <v>31 Science, engineering and technology associate professionals</v>
      </c>
      <c r="B88" s="18">
        <f t="shared" si="96"/>
        <v>1.4040679544263135</v>
      </c>
      <c r="C88" s="18">
        <f t="shared" si="96"/>
        <v>8.4251138669243275</v>
      </c>
      <c r="D88" s="18">
        <f t="shared" si="96"/>
        <v>-3.0135072223906767</v>
      </c>
      <c r="E88" s="18">
        <f t="shared" si="96"/>
        <v>0.36270313333977011</v>
      </c>
      <c r="F88" s="18">
        <f t="shared" si="97"/>
        <v>-0.77556114572724377</v>
      </c>
      <c r="H88" s="18">
        <f t="shared" si="98"/>
        <v>-0.77556114572724377</v>
      </c>
      <c r="I88" s="18">
        <f t="shared" si="99"/>
        <v>2.0207881195704713</v>
      </c>
      <c r="J88" s="18">
        <f t="shared" si="100"/>
        <v>1.443114050619454</v>
      </c>
      <c r="L88" t="str">
        <f t="shared" si="101"/>
        <v>31 Science, engineering and technology associate professionals</v>
      </c>
      <c r="M88" s="18">
        <f t="shared" si="102"/>
        <v>1.9118441845405121</v>
      </c>
      <c r="N88" s="18">
        <f t="shared" si="102"/>
        <v>4.5811691384488817</v>
      </c>
      <c r="O88" s="18">
        <f t="shared" si="102"/>
        <v>-4.1085564977020432</v>
      </c>
      <c r="P88" s="18">
        <f t="shared" si="102"/>
        <v>-9.9422721484643262E-2</v>
      </c>
      <c r="Q88" s="18">
        <f t="shared" si="103"/>
        <v>-1.4540870337219292</v>
      </c>
      <c r="S88" s="18">
        <f t="shared" si="104"/>
        <v>-1.4540870337219292</v>
      </c>
      <c r="T88" s="18">
        <f t="shared" si="105"/>
        <v>1.7348083033404071</v>
      </c>
      <c r="U88" s="18">
        <f t="shared" si="106"/>
        <v>0.61955392126422648</v>
      </c>
      <c r="W88" t="str">
        <f t="shared" si="107"/>
        <v>31 Science, engineering and technology associate professionals</v>
      </c>
      <c r="X88" s="18">
        <f t="shared" si="108"/>
        <v>-0.4997859592824283</v>
      </c>
      <c r="Y88" s="18">
        <f t="shared" si="108"/>
        <v>23.730022215898018</v>
      </c>
      <c r="Z88" s="18">
        <f t="shared" si="108"/>
        <v>0.34818690603597435</v>
      </c>
      <c r="AA88" s="18">
        <f t="shared" si="108"/>
        <v>1.5151367792753057</v>
      </c>
      <c r="AB88" s="18">
        <f t="shared" si="109"/>
        <v>1.1246533989362151</v>
      </c>
      <c r="AD88" s="18">
        <f t="shared" si="110"/>
        <v>1.1246533989362151</v>
      </c>
      <c r="AE88" s="18">
        <f t="shared" si="111"/>
        <v>2.9084063507090141</v>
      </c>
      <c r="AF88" s="18">
        <f t="shared" si="112"/>
        <v>3.6815014922075173</v>
      </c>
    </row>
    <row r="89" spans="1:32" x14ac:dyDescent="0.25">
      <c r="A89" t="str">
        <f t="shared" si="95"/>
        <v>32 Health and social care associate professionals</v>
      </c>
      <c r="B89" s="18">
        <f t="shared" si="96"/>
        <v>4.9454369661250164</v>
      </c>
      <c r="C89" s="18">
        <f t="shared" si="96"/>
        <v>0.7018862984412122</v>
      </c>
      <c r="D89" s="18">
        <f t="shared" si="96"/>
        <v>0.58896717988521363</v>
      </c>
      <c r="E89" s="18">
        <f t="shared" si="96"/>
        <v>1.0298169782964051</v>
      </c>
      <c r="F89" s="18">
        <f t="shared" si="97"/>
        <v>0.88265278414836335</v>
      </c>
      <c r="H89" s="18">
        <f t="shared" si="98"/>
        <v>0.88265278414836335</v>
      </c>
      <c r="I89" s="18">
        <f t="shared" si="99"/>
        <v>3.2115438359330728</v>
      </c>
      <c r="J89" s="18">
        <f t="shared" si="100"/>
        <v>3.7915840897567055</v>
      </c>
      <c r="L89" t="str">
        <f t="shared" si="101"/>
        <v>32 Health and social care associate professionals</v>
      </c>
      <c r="M89" s="18">
        <f t="shared" si="102"/>
        <v>2.8211055628102111</v>
      </c>
      <c r="N89" s="18">
        <f t="shared" si="102"/>
        <v>5.5925822989363994</v>
      </c>
      <c r="O89" s="18">
        <f t="shared" si="102"/>
        <v>-1.1919069917468161</v>
      </c>
      <c r="P89" s="18">
        <f t="shared" si="102"/>
        <v>0.51831559655208803</v>
      </c>
      <c r="Q89" s="18">
        <f>IF(AND(Q$6-O$6 &lt;&gt; 0,O15&lt;&gt;0,Q15&lt;&gt;0),(EXP(LN(Q15/O15)/(Q$6-O$6))-1)*100,0)</f>
        <v>-5.5022598792098254E-2</v>
      </c>
      <c r="S89" s="18">
        <f t="shared" si="104"/>
        <v>-5.5022598792098254E-2</v>
      </c>
      <c r="T89" s="18">
        <f t="shared" si="105"/>
        <v>2.5617927018871667</v>
      </c>
      <c r="U89" s="18">
        <f t="shared" si="106"/>
        <v>2.5232259105242516</v>
      </c>
      <c r="W89" t="str">
        <f t="shared" si="107"/>
        <v>32 Health and social care associate professionals</v>
      </c>
      <c r="X89" s="18">
        <f t="shared" si="108"/>
        <v>5.5602649914905378</v>
      </c>
      <c r="Y89" s="18">
        <f t="shared" si="108"/>
        <v>-0.62322483680204988</v>
      </c>
      <c r="Z89" s="18">
        <f t="shared" si="108"/>
        <v>1.0790331753572469</v>
      </c>
      <c r="AA89" s="18">
        <f t="shared" si="108"/>
        <v>1.1575749501789412</v>
      </c>
      <c r="AB89" s="18">
        <f t="shared" si="109"/>
        <v>1.1313875798486306</v>
      </c>
      <c r="AD89" s="18">
        <f t="shared" si="110"/>
        <v>1.1313875798486306</v>
      </c>
      <c r="AE89" s="18">
        <f t="shared" si="111"/>
        <v>3.3884415632182918</v>
      </c>
      <c r="AF89" s="18">
        <f t="shared" si="112"/>
        <v>4.1197314074652436</v>
      </c>
    </row>
    <row r="90" spans="1:32" x14ac:dyDescent="0.25">
      <c r="A90" t="str">
        <f t="shared" si="95"/>
        <v>33 Protective service occupations</v>
      </c>
      <c r="B90" s="18">
        <f t="shared" si="96"/>
        <v>-9.8102447829717665E-2</v>
      </c>
      <c r="C90" s="18">
        <f t="shared" si="96"/>
        <v>6.1709985397766731</v>
      </c>
      <c r="D90" s="18">
        <f t="shared" si="96"/>
        <v>3.9229206936418182</v>
      </c>
      <c r="E90" s="18">
        <f t="shared" si="96"/>
        <v>1.6429825966895351</v>
      </c>
      <c r="F90" s="18">
        <f t="shared" si="97"/>
        <v>2.3973494046154453</v>
      </c>
      <c r="H90" s="18">
        <f t="shared" si="98"/>
        <v>2.3973494046154453</v>
      </c>
      <c r="I90" s="18">
        <f t="shared" si="99"/>
        <v>2.456852794576192</v>
      </c>
      <c r="J90" s="18">
        <f t="shared" si="100"/>
        <v>4.2458603704055298</v>
      </c>
      <c r="L90" t="str">
        <f t="shared" si="101"/>
        <v>33 Protective service occupations</v>
      </c>
      <c r="M90" s="18">
        <f t="shared" si="102"/>
        <v>-1.145703938214726</v>
      </c>
      <c r="N90" s="18">
        <f t="shared" si="102"/>
        <v>4.4134197031700628</v>
      </c>
      <c r="O90" s="18">
        <f t="shared" si="102"/>
        <v>3.1640250088401434</v>
      </c>
      <c r="P90" s="18">
        <f t="shared" si="102"/>
        <v>0.93349971384557584</v>
      </c>
      <c r="Q90" s="18">
        <f t="shared" si="103"/>
        <v>1.6715974910634479</v>
      </c>
      <c r="S90" s="18">
        <f t="shared" si="104"/>
        <v>1.6715974910634479</v>
      </c>
      <c r="T90" s="18">
        <f t="shared" si="105"/>
        <v>1.9465493560095082</v>
      </c>
      <c r="U90" s="18">
        <f t="shared" si="106"/>
        <v>3.2584286171631671</v>
      </c>
      <c r="W90" t="str">
        <f t="shared" si="107"/>
        <v>33 Protective service occupations</v>
      </c>
      <c r="X90" s="18">
        <f t="shared" si="108"/>
        <v>3.2163469053001936</v>
      </c>
      <c r="Y90" s="18">
        <f t="shared" si="108"/>
        <v>11.165667378300492</v>
      </c>
      <c r="Z90" s="18">
        <f t="shared" si="108"/>
        <v>5.8466294999599322</v>
      </c>
      <c r="AA90" s="18">
        <f t="shared" si="108"/>
        <v>3.1522925103839139</v>
      </c>
      <c r="AB90" s="18">
        <f t="shared" si="109"/>
        <v>4.0426968098352667</v>
      </c>
      <c r="AD90" s="18">
        <f t="shared" si="110"/>
        <v>4.0426968098352667</v>
      </c>
      <c r="AE90" s="18">
        <f t="shared" si="111"/>
        <v>3.6670877437269489</v>
      </c>
      <c r="AF90" s="18">
        <f t="shared" si="112"/>
        <v>6.3792473914372927</v>
      </c>
    </row>
    <row r="91" spans="1:32" x14ac:dyDescent="0.25">
      <c r="A91" t="str">
        <f t="shared" si="95"/>
        <v>34 Culture, media and sports occupations</v>
      </c>
      <c r="B91" s="18">
        <f t="shared" si="96"/>
        <v>-0.18747154936610277</v>
      </c>
      <c r="C91" s="18">
        <f t="shared" si="96"/>
        <v>2.61731122879445</v>
      </c>
      <c r="D91" s="18">
        <f t="shared" si="96"/>
        <v>-1.1859591701642302</v>
      </c>
      <c r="E91" s="18">
        <f t="shared" si="96"/>
        <v>1.0600825753877441</v>
      </c>
      <c r="F91" s="18">
        <f t="shared" si="97"/>
        <v>0.30578605020139538</v>
      </c>
      <c r="H91" s="18">
        <f t="shared" si="98"/>
        <v>0.30578605020139538</v>
      </c>
      <c r="I91" s="18">
        <f t="shared" si="99"/>
        <v>2.5182094601238658</v>
      </c>
      <c r="J91" s="18">
        <f t="shared" si="100"/>
        <v>2.7355135600853009</v>
      </c>
      <c r="L91" t="str">
        <f t="shared" si="101"/>
        <v>34 Culture, media and sports occupations</v>
      </c>
      <c r="M91" s="18">
        <f t="shared" si="102"/>
        <v>-0.10838112534133915</v>
      </c>
      <c r="N91" s="18">
        <f t="shared" si="102"/>
        <v>0.64971298039526726</v>
      </c>
      <c r="O91" s="18">
        <f t="shared" si="102"/>
        <v>-1.1309401503753147</v>
      </c>
      <c r="P91" s="18">
        <f t="shared" si="102"/>
        <v>0.87732616833438026</v>
      </c>
      <c r="Q91" s="18">
        <f t="shared" si="103"/>
        <v>0.20341198243036818</v>
      </c>
      <c r="S91" s="18">
        <f t="shared" si="104"/>
        <v>0.20341198243036818</v>
      </c>
      <c r="T91" s="18">
        <f t="shared" si="105"/>
        <v>2.2348081936480302</v>
      </c>
      <c r="U91" s="18">
        <f t="shared" si="106"/>
        <v>2.3846819988510459</v>
      </c>
      <c r="W91" t="str">
        <f t="shared" si="107"/>
        <v>34 Culture, media and sports occupations</v>
      </c>
      <c r="X91" s="18">
        <f t="shared" si="108"/>
        <v>-0.30651287120597726</v>
      </c>
      <c r="Y91" s="18">
        <f t="shared" si="108"/>
        <v>5.5935388365446093</v>
      </c>
      <c r="Z91" s="18">
        <f>IF(AND(AA$6-Z$6 &lt;&gt; 0,Z17&lt;&gt;0,AA17&lt;&gt;0),(EXP(LN(AA17/Z17)/(AA$6-Z$6))-1)*100,0)</f>
        <v>-1.2655019152012836</v>
      </c>
      <c r="AA91" s="18">
        <f t="shared" si="108"/>
        <v>1.3201990368202132</v>
      </c>
      <c r="AB91" s="18">
        <f t="shared" si="109"/>
        <v>0.45086104080309664</v>
      </c>
      <c r="AD91" s="18">
        <f t="shared" si="110"/>
        <v>0.45086104080309664</v>
      </c>
      <c r="AE91" s="18">
        <f t="shared" si="111"/>
        <v>2.9084334714027049</v>
      </c>
      <c r="AF91" s="18">
        <f t="shared" si="112"/>
        <v>3.2135399087834582</v>
      </c>
    </row>
    <row r="92" spans="1:32" x14ac:dyDescent="0.25">
      <c r="A92" t="str">
        <f t="shared" si="95"/>
        <v>35 Business and public service associate professionals</v>
      </c>
      <c r="B92" s="18">
        <f t="shared" si="96"/>
        <v>0.27238861763787536</v>
      </c>
      <c r="C92" s="18">
        <f t="shared" si="96"/>
        <v>3.3400005274536015</v>
      </c>
      <c r="D92" s="18">
        <f t="shared" si="96"/>
        <v>-0.8972270414259631</v>
      </c>
      <c r="E92" s="18">
        <f t="shared" si="96"/>
        <v>0.41284765079452335</v>
      </c>
      <c r="F92" s="18">
        <f t="shared" si="97"/>
        <v>-2.575695435677039E-2</v>
      </c>
      <c r="H92" s="18">
        <f t="shared" si="98"/>
        <v>-2.575695435677039E-2</v>
      </c>
      <c r="I92" s="18">
        <f t="shared" si="99"/>
        <v>2.4875931497954085</v>
      </c>
      <c r="J92" s="18">
        <f t="shared" si="100"/>
        <v>2.4693434894675903</v>
      </c>
      <c r="L92" t="str">
        <f t="shared" si="101"/>
        <v>35 Business and public service associate professionals</v>
      </c>
      <c r="M92" s="18">
        <f t="shared" si="102"/>
        <v>-0.57303733731662865</v>
      </c>
      <c r="N92" s="18">
        <f t="shared" si="102"/>
        <v>4.0359527408877716</v>
      </c>
      <c r="O92" s="18">
        <f t="shared" si="102"/>
        <v>-1.5260200465921248</v>
      </c>
      <c r="P92" s="18">
        <f t="shared" si="102"/>
        <v>-0.10674641596541967</v>
      </c>
      <c r="Q92" s="18">
        <f t="shared" si="103"/>
        <v>-0.58209602533009219</v>
      </c>
      <c r="S92" s="18">
        <f t="shared" si="104"/>
        <v>-0.58209602533009219</v>
      </c>
      <c r="T92" s="18">
        <f t="shared" si="105"/>
        <v>2.0510857945784888</v>
      </c>
      <c r="U92" s="18">
        <f t="shared" si="106"/>
        <v>1.6177740566550858</v>
      </c>
      <c r="W92" t="str">
        <f t="shared" si="107"/>
        <v>35 Business and public service associate professionals</v>
      </c>
      <c r="X92" s="18">
        <f t="shared" si="108"/>
        <v>1.3234461388077934</v>
      </c>
      <c r="Y92" s="18">
        <f t="shared" si="108"/>
        <v>2.514673755792729</v>
      </c>
      <c r="Z92" s="18">
        <f t="shared" si="108"/>
        <v>-0.16103974660786058</v>
      </c>
      <c r="AA92" s="18">
        <f t="shared" si="108"/>
        <v>0.96910191786803157</v>
      </c>
      <c r="AB92" s="18">
        <f t="shared" si="109"/>
        <v>0.59097371136371812</v>
      </c>
      <c r="AD92" s="18">
        <f t="shared" si="110"/>
        <v>0.59097371136371812</v>
      </c>
      <c r="AE92" s="18">
        <f t="shared" si="111"/>
        <v>2.9805983773865341</v>
      </c>
      <c r="AF92" s="18">
        <f t="shared" si="112"/>
        <v>3.3780422706485291</v>
      </c>
    </row>
    <row r="93" spans="1:32" x14ac:dyDescent="0.25">
      <c r="A93" t="str">
        <f t="shared" si="95"/>
        <v>41 Administrative occupations</v>
      </c>
      <c r="B93" s="18">
        <f t="shared" si="96"/>
        <v>-2.0858141688019027</v>
      </c>
      <c r="C93" s="18">
        <f t="shared" si="96"/>
        <v>4.7655939171185269</v>
      </c>
      <c r="D93" s="18">
        <f t="shared" si="96"/>
        <v>-1.5104683758524362</v>
      </c>
      <c r="E93" s="18">
        <f t="shared" si="96"/>
        <v>-0.5233539680629673</v>
      </c>
      <c r="F93" s="18">
        <f t="shared" si="97"/>
        <v>-0.85348650079991595</v>
      </c>
      <c r="H93" s="18">
        <f t="shared" si="98"/>
        <v>-0.85348650079991595</v>
      </c>
      <c r="I93" s="18">
        <f t="shared" si="99"/>
        <v>2.539829151726436</v>
      </c>
      <c r="J93" s="18">
        <f t="shared" si="100"/>
        <v>1.9505419422668924</v>
      </c>
      <c r="L93" t="str">
        <f t="shared" si="101"/>
        <v>41 Administrative occupations</v>
      </c>
      <c r="M93" s="18">
        <f t="shared" si="102"/>
        <v>-3.3888477044755172</v>
      </c>
      <c r="N93" s="18">
        <f t="shared" si="102"/>
        <v>19.831552466350509</v>
      </c>
      <c r="O93" s="18">
        <f t="shared" si="102"/>
        <v>-0.64123527315094186</v>
      </c>
      <c r="P93" s="18">
        <f t="shared" si="102"/>
        <v>0.93813348860916079</v>
      </c>
      <c r="Q93" s="18">
        <f t="shared" si="103"/>
        <v>0.40890731174170192</v>
      </c>
      <c r="S93" s="18">
        <f t="shared" si="104"/>
        <v>0.40890731174170192</v>
      </c>
      <c r="T93" s="18">
        <f t="shared" si="105"/>
        <v>2.1780673677536111</v>
      </c>
      <c r="U93" s="18">
        <f t="shared" si="106"/>
        <v>2.4828566936920815</v>
      </c>
      <c r="W93" t="str">
        <f t="shared" si="107"/>
        <v>41 Administrative occupations</v>
      </c>
      <c r="X93" s="18">
        <f t="shared" si="108"/>
        <v>-1.4962777747819178</v>
      </c>
      <c r="Y93" s="18">
        <f t="shared" si="108"/>
        <v>-1.7274659913434687</v>
      </c>
      <c r="Z93" s="18">
        <f t="shared" si="108"/>
        <v>-1.979857756294956</v>
      </c>
      <c r="AA93" s="18">
        <f t="shared" si="108"/>
        <v>-1.4388175499115752</v>
      </c>
      <c r="AB93" s="18">
        <f t="shared" si="109"/>
        <v>-1.619495292962092</v>
      </c>
      <c r="AD93" s="18">
        <f t="shared" si="110"/>
        <v>-1.619495292962092</v>
      </c>
      <c r="AE93" s="18">
        <f t="shared" si="111"/>
        <v>2.7230106841007906</v>
      </c>
      <c r="AF93" s="18">
        <f t="shared" si="112"/>
        <v>1.6543922271735845</v>
      </c>
    </row>
    <row r="94" spans="1:32" x14ac:dyDescent="0.25">
      <c r="A94" t="str">
        <f t="shared" si="95"/>
        <v>42 Secretarial and related occupations</v>
      </c>
      <c r="B94" s="18">
        <f t="shared" si="96"/>
        <v>-3.6107913934231628</v>
      </c>
      <c r="C94" s="18">
        <f t="shared" si="96"/>
        <v>-2.1745830168631852</v>
      </c>
      <c r="D94" s="18">
        <f t="shared" si="96"/>
        <v>0.98144433194469194</v>
      </c>
      <c r="E94" s="18">
        <f t="shared" si="96"/>
        <v>-3.9175465060873438</v>
      </c>
      <c r="F94" s="18">
        <f t="shared" si="97"/>
        <v>-2.3115432204955932</v>
      </c>
      <c r="H94" s="18">
        <f t="shared" si="98"/>
        <v>-2.3115432204955932</v>
      </c>
      <c r="I94" s="18">
        <f t="shared" si="99"/>
        <v>2.6897966836926912</v>
      </c>
      <c r="J94" s="18">
        <f t="shared" si="100"/>
        <v>1.1844044565487266</v>
      </c>
      <c r="L94" t="str">
        <f t="shared" si="101"/>
        <v>42 Secretarial and related occupations</v>
      </c>
      <c r="M94" s="18">
        <f t="shared" si="102"/>
        <v>-8.2106714749163316</v>
      </c>
      <c r="N94" s="18">
        <f t="shared" si="102"/>
        <v>0.11853941872805862</v>
      </c>
      <c r="O94" s="18">
        <f t="shared" si="102"/>
        <v>5.0557597662518328</v>
      </c>
      <c r="P94" s="18">
        <f t="shared" si="102"/>
        <v>1.7585614839034314</v>
      </c>
      <c r="Q94" s="18">
        <f t="shared" si="103"/>
        <v>2.8459660470623982</v>
      </c>
      <c r="S94" s="18">
        <f t="shared" si="104"/>
        <v>2.8459660470623982</v>
      </c>
      <c r="T94" s="18">
        <f t="shared" si="105"/>
        <v>2.4787222823404509</v>
      </c>
      <c r="U94" s="18">
        <f t="shared" si="106"/>
        <v>4.6139421735493347</v>
      </c>
      <c r="W94" t="str">
        <f t="shared" si="107"/>
        <v>42 Secretarial and related occupations</v>
      </c>
      <c r="X94" s="18">
        <f t="shared" si="108"/>
        <v>-3.1929595855257786</v>
      </c>
      <c r="Y94" s="18">
        <f t="shared" si="108"/>
        <v>-2.3566585733440726</v>
      </c>
      <c r="Z94" s="18">
        <f t="shared" si="108"/>
        <v>0.61928317927470999</v>
      </c>
      <c r="AA94" s="18">
        <f t="shared" si="108"/>
        <v>-4.6979433600402798</v>
      </c>
      <c r="AB94" s="18">
        <f t="shared" si="109"/>
        <v>-2.9575122076162197</v>
      </c>
      <c r="AD94" s="18">
        <f t="shared" si="110"/>
        <v>-2.9575122076162197</v>
      </c>
      <c r="AE94" s="18">
        <f t="shared" si="111"/>
        <v>2.7067163927904092</v>
      </c>
      <c r="AF94" s="18">
        <f t="shared" si="112"/>
        <v>0.81906097446096116</v>
      </c>
    </row>
    <row r="95" spans="1:32" x14ac:dyDescent="0.25">
      <c r="A95" t="str">
        <f t="shared" si="95"/>
        <v>51 Skilled agricultural and related trades</v>
      </c>
      <c r="B95" s="18">
        <f t="shared" si="96"/>
        <v>-3.1768746082801003</v>
      </c>
      <c r="C95" s="18">
        <f t="shared" si="96"/>
        <v>-16.305323150642781</v>
      </c>
      <c r="D95" s="18">
        <f t="shared" si="96"/>
        <v>0.80948430846314867</v>
      </c>
      <c r="E95" s="18">
        <f t="shared" si="96"/>
        <v>1.136903789207544</v>
      </c>
      <c r="F95" s="18">
        <f t="shared" si="97"/>
        <v>1.027645973990321</v>
      </c>
      <c r="H95" s="18">
        <f t="shared" si="98"/>
        <v>1.027645973990321</v>
      </c>
      <c r="I95" s="18">
        <f t="shared" si="99"/>
        <v>3.1286888092308951</v>
      </c>
      <c r="J95" s="18">
        <f t="shared" si="100"/>
        <v>3.8137516937090776</v>
      </c>
      <c r="L95" t="str">
        <f t="shared" si="101"/>
        <v>51 Skilled agricultural and related trades</v>
      </c>
      <c r="M95" s="18">
        <f t="shared" si="102"/>
        <v>-3.4363525368120262</v>
      </c>
      <c r="N95" s="18">
        <f t="shared" si="102"/>
        <v>-19.103370037935807</v>
      </c>
      <c r="O95" s="18">
        <f t="shared" si="102"/>
        <v>0.34425955745240877</v>
      </c>
      <c r="P95" s="18">
        <f t="shared" si="102"/>
        <v>0.99260825331386471</v>
      </c>
      <c r="Q95" s="18">
        <f t="shared" si="103"/>
        <v>0.77602789312092302</v>
      </c>
      <c r="S95" s="18">
        <f t="shared" si="104"/>
        <v>0.77602789312092302</v>
      </c>
      <c r="T95" s="18">
        <f t="shared" si="105"/>
        <v>2.9006948557102286</v>
      </c>
      <c r="U95" s="18">
        <f t="shared" si="106"/>
        <v>3.4304159534031653</v>
      </c>
      <c r="W95" t="str">
        <f t="shared" si="107"/>
        <v>51 Skilled agricultural and related trades</v>
      </c>
      <c r="X95" s="18">
        <f t="shared" si="108"/>
        <v>-1.6395242923796793</v>
      </c>
      <c r="Y95" s="18">
        <f t="shared" si="108"/>
        <v>-0.47187831740590491</v>
      </c>
      <c r="Z95" s="18">
        <f t="shared" si="108"/>
        <v>2.8456662148052203</v>
      </c>
      <c r="AA95" s="18">
        <f t="shared" si="108"/>
        <v>1.7053559757396863</v>
      </c>
      <c r="AB95" s="18">
        <f t="shared" si="109"/>
        <v>2.0840476111623207</v>
      </c>
      <c r="AD95" s="18">
        <f t="shared" si="110"/>
        <v>2.0840476111623207</v>
      </c>
      <c r="AE95" s="18">
        <f t="shared" si="111"/>
        <v>4.095203993361185</v>
      </c>
      <c r="AF95" s="18">
        <f t="shared" si="112"/>
        <v>5.3599437327405131</v>
      </c>
    </row>
    <row r="96" spans="1:32" x14ac:dyDescent="0.25">
      <c r="A96" t="str">
        <f t="shared" si="95"/>
        <v>52 Skilled metal, electrical and electronic trades</v>
      </c>
      <c r="B96" s="18">
        <f t="shared" si="96"/>
        <v>-0.24461951394743053</v>
      </c>
      <c r="C96" s="18">
        <f t="shared" si="96"/>
        <v>-17.664069521738579</v>
      </c>
      <c r="D96" s="18">
        <f t="shared" si="96"/>
        <v>-0.6483293694203307</v>
      </c>
      <c r="E96" s="18">
        <f t="shared" si="96"/>
        <v>-0.80086208066670883</v>
      </c>
      <c r="F96" s="18">
        <f t="shared" si="97"/>
        <v>-0.75004388141534095</v>
      </c>
      <c r="H96" s="18">
        <f t="shared" si="98"/>
        <v>-0.75004388141534095</v>
      </c>
      <c r="I96" s="18">
        <f t="shared" si="99"/>
        <v>2.0575195376490552</v>
      </c>
      <c r="J96" s="18">
        <f t="shared" si="100"/>
        <v>1.5015061675812014</v>
      </c>
      <c r="L96" t="str">
        <f t="shared" si="101"/>
        <v>52 Skilled metal, electrical and electronic trades</v>
      </c>
      <c r="M96" s="18">
        <f t="shared" si="102"/>
        <v>-0.44635368144232412</v>
      </c>
      <c r="N96" s="18">
        <f t="shared" si="102"/>
        <v>-17.584456745527898</v>
      </c>
      <c r="O96" s="18">
        <f t="shared" si="102"/>
        <v>-1.1215383049854366</v>
      </c>
      <c r="P96" s="18">
        <f t="shared" si="102"/>
        <v>-0.93507436421329526</v>
      </c>
      <c r="Q96" s="18">
        <f t="shared" si="103"/>
        <v>-0.99726804861595131</v>
      </c>
      <c r="S96" s="18">
        <f t="shared" si="104"/>
        <v>-0.99726804861595131</v>
      </c>
      <c r="T96" s="18">
        <f t="shared" si="105"/>
        <v>1.971512492388916</v>
      </c>
      <c r="U96" s="18">
        <f t="shared" si="106"/>
        <v>1.2265791244900681</v>
      </c>
      <c r="W96" t="str">
        <f t="shared" si="107"/>
        <v>52 Skilled metal, electrical and electronic trades</v>
      </c>
      <c r="X96" s="18">
        <f t="shared" si="108"/>
        <v>12.622111858112461</v>
      </c>
      <c r="Y96" s="18">
        <f t="shared" si="108"/>
        <v>-21.428860022446205</v>
      </c>
      <c r="Z96" s="18">
        <f t="shared" si="108"/>
        <v>16.003273730968239</v>
      </c>
      <c r="AA96" s="18">
        <f t="shared" si="108"/>
        <v>1.8371955904889381</v>
      </c>
      <c r="AB96" s="18">
        <f t="shared" si="109"/>
        <v>6.3557650534874055</v>
      </c>
      <c r="AD96" s="18">
        <f t="shared" si="110"/>
        <v>6.3557650534874055</v>
      </c>
      <c r="AE96" s="18">
        <f t="shared" si="111"/>
        <v>5.4076882740939025</v>
      </c>
      <c r="AF96" s="18">
        <f t="shared" si="112"/>
        <v>9.1598593636711634</v>
      </c>
    </row>
    <row r="97" spans="1:32" x14ac:dyDescent="0.25">
      <c r="A97" t="str">
        <f t="shared" si="95"/>
        <v>53 Skilled construction and building trades</v>
      </c>
      <c r="B97" s="18">
        <f t="shared" si="96"/>
        <v>3.3897609176739563</v>
      </c>
      <c r="C97" s="18">
        <f t="shared" si="96"/>
        <v>-18.303834736177404</v>
      </c>
      <c r="D97" s="18">
        <f t="shared" si="96"/>
        <v>0.13696233132565183</v>
      </c>
      <c r="E97" s="18">
        <f t="shared" si="96"/>
        <v>-1.3272930556326168</v>
      </c>
      <c r="F97" s="18">
        <f t="shared" si="97"/>
        <v>-0.84160253337166591</v>
      </c>
      <c r="H97" s="18">
        <f t="shared" si="98"/>
        <v>-0.84160253337166591</v>
      </c>
      <c r="I97" s="18">
        <f t="shared" si="99"/>
        <v>2.3054563470612965</v>
      </c>
      <c r="J97" s="18">
        <f t="shared" si="100"/>
        <v>1.7044326947097899</v>
      </c>
      <c r="L97" t="str">
        <f t="shared" si="101"/>
        <v>53 Skilled construction and building trades</v>
      </c>
      <c r="M97" s="18">
        <f t="shared" si="102"/>
        <v>3.4476945948675342</v>
      </c>
      <c r="N97" s="18">
        <f t="shared" si="102"/>
        <v>-18.730812456407651</v>
      </c>
      <c r="O97" s="18">
        <f t="shared" si="102"/>
        <v>0.12666331165633871</v>
      </c>
      <c r="P97" s="18">
        <f t="shared" si="102"/>
        <v>-1.3734794218306812</v>
      </c>
      <c r="Q97" s="18">
        <f t="shared" si="103"/>
        <v>-0.87594593269900711</v>
      </c>
      <c r="S97" s="18">
        <f t="shared" si="104"/>
        <v>-0.87594593269900711</v>
      </c>
      <c r="T97" s="18">
        <f t="shared" si="105"/>
        <v>2.2926349486823927</v>
      </c>
      <c r="U97" s="18">
        <f t="shared" si="106"/>
        <v>1.6663976172494266</v>
      </c>
      <c r="W97" t="str">
        <f t="shared" si="107"/>
        <v>53 Skilled construction and building trades</v>
      </c>
      <c r="X97" s="18">
        <f t="shared" si="108"/>
        <v>-1.2973040547697101</v>
      </c>
      <c r="Y97" s="18">
        <f t="shared" si="108"/>
        <v>20.595176343684841</v>
      </c>
      <c r="Z97" s="18">
        <f t="shared" si="108"/>
        <v>0.76130123119813042</v>
      </c>
      <c r="AA97" s="18">
        <f t="shared" si="108"/>
        <v>1.1218604793979292</v>
      </c>
      <c r="AB97" s="18">
        <f t="shared" si="109"/>
        <v>1.0015309344751477</v>
      </c>
      <c r="AD97" s="18">
        <f t="shared" si="110"/>
        <v>1.0015309344751477</v>
      </c>
      <c r="AE97" s="18">
        <f t="shared" si="111"/>
        <v>3.0525083420182009</v>
      </c>
      <c r="AF97" s="18">
        <f t="shared" si="112"/>
        <v>3.7263483275056908</v>
      </c>
    </row>
    <row r="98" spans="1:32" x14ac:dyDescent="0.25">
      <c r="A98" t="str">
        <f t="shared" si="95"/>
        <v>54 Textiles, printing and other skilled trades</v>
      </c>
      <c r="B98" s="18">
        <f t="shared" si="96"/>
        <v>-3.3242454604982097</v>
      </c>
      <c r="C98" s="18">
        <f t="shared" si="96"/>
        <v>-1.1364528228279491</v>
      </c>
      <c r="D98" s="18">
        <f t="shared" si="96"/>
        <v>-0.85032521740354694</v>
      </c>
      <c r="E98" s="18">
        <f t="shared" si="96"/>
        <v>-0.6644813634605562</v>
      </c>
      <c r="F98" s="18">
        <f t="shared" si="97"/>
        <v>-0.72646798716868854</v>
      </c>
      <c r="H98" s="18">
        <f t="shared" si="98"/>
        <v>-0.72646798716868854</v>
      </c>
      <c r="I98" s="18">
        <f t="shared" si="99"/>
        <v>2.2834551020491256</v>
      </c>
      <c r="J98" s="18">
        <f t="shared" si="100"/>
        <v>1.7617431616469004</v>
      </c>
      <c r="L98" t="str">
        <f t="shared" si="101"/>
        <v>54 Textiles, printing and other skilled trades</v>
      </c>
      <c r="M98" s="18">
        <f t="shared" si="102"/>
        <v>-3.4723769356015066</v>
      </c>
      <c r="N98" s="18">
        <f t="shared" si="102"/>
        <v>-9.8629170763241838</v>
      </c>
      <c r="O98" s="18">
        <f t="shared" si="102"/>
        <v>-1.0908329959682495</v>
      </c>
      <c r="P98" s="18">
        <f t="shared" si="102"/>
        <v>-0.99714678224761544</v>
      </c>
      <c r="Q98" s="18">
        <f t="shared" si="103"/>
        <v>-1.0283853759017192</v>
      </c>
      <c r="S98" s="18">
        <f t="shared" si="104"/>
        <v>-1.0283853759017192</v>
      </c>
      <c r="T98" s="18">
        <f t="shared" si="105"/>
        <v>1.7309336545093812</v>
      </c>
      <c r="U98" s="18">
        <f t="shared" si="106"/>
        <v>0.93582705100812014</v>
      </c>
      <c r="W98" t="str">
        <f t="shared" si="107"/>
        <v>54 Textiles, printing and other skilled trades</v>
      </c>
      <c r="X98" s="18">
        <f t="shared" si="108"/>
        <v>-3.0434215431579648</v>
      </c>
      <c r="Y98" s="18">
        <f t="shared" si="108"/>
        <v>15.224648438551846</v>
      </c>
      <c r="Z98" s="18">
        <f t="shared" si="108"/>
        <v>-0.50174652290023714</v>
      </c>
      <c r="AA98" s="18">
        <f t="shared" si="108"/>
        <v>-0.20749640760816535</v>
      </c>
      <c r="AB98" s="18">
        <f t="shared" si="109"/>
        <v>-0.30567634111599018</v>
      </c>
      <c r="AD98" s="18">
        <f t="shared" si="110"/>
        <v>-0.30567634111599018</v>
      </c>
      <c r="AE98" s="18">
        <f t="shared" si="111"/>
        <v>3.0250394394886637</v>
      </c>
      <c r="AF98" s="18">
        <f t="shared" si="112"/>
        <v>2.8252000532446475</v>
      </c>
    </row>
    <row r="99" spans="1:32" x14ac:dyDescent="0.25">
      <c r="A99" t="str">
        <f t="shared" si="95"/>
        <v>61 Caring personal service occupations</v>
      </c>
      <c r="B99" s="18">
        <f t="shared" si="96"/>
        <v>1.5911233789775547</v>
      </c>
      <c r="C99" s="18">
        <f t="shared" si="96"/>
        <v>-3.0588565077819152</v>
      </c>
      <c r="D99" s="18">
        <f t="shared" si="96"/>
        <v>1.7405588423765828</v>
      </c>
      <c r="E99" s="18">
        <f t="shared" si="96"/>
        <v>0.97339836759686715</v>
      </c>
      <c r="F99" s="18">
        <f t="shared" si="97"/>
        <v>1.2284736216228387</v>
      </c>
      <c r="H99" s="18">
        <f t="shared" si="98"/>
        <v>1.2284736216228387</v>
      </c>
      <c r="I99" s="18">
        <f t="shared" si="99"/>
        <v>3.331321508324514</v>
      </c>
      <c r="J99" s="18">
        <f t="shared" si="100"/>
        <v>4.1331818461952219</v>
      </c>
      <c r="L99" t="str">
        <f t="shared" si="101"/>
        <v>61 Caring personal service occupations</v>
      </c>
      <c r="M99" s="18">
        <f t="shared" si="102"/>
        <v>1.1406224810681431</v>
      </c>
      <c r="N99" s="18">
        <f t="shared" si="102"/>
        <v>-3.7828984564034718</v>
      </c>
      <c r="O99" s="18">
        <f t="shared" si="102"/>
        <v>4.2370023606709051</v>
      </c>
      <c r="P99" s="18">
        <f t="shared" si="102"/>
        <v>1.370086003567117</v>
      </c>
      <c r="Q99" s="18">
        <f t="shared" si="103"/>
        <v>2.3168547012404339</v>
      </c>
      <c r="S99" s="18">
        <f t="shared" si="104"/>
        <v>2.3168547012404339</v>
      </c>
      <c r="T99" s="18">
        <f t="shared" si="105"/>
        <v>2.9926474179168272</v>
      </c>
      <c r="U99" s="18">
        <f t="shared" si="106"/>
        <v>4.6106998782902808</v>
      </c>
      <c r="W99" t="str">
        <f t="shared" si="107"/>
        <v>61 Caring personal service occupations</v>
      </c>
      <c r="X99" s="18">
        <f t="shared" si="108"/>
        <v>1.6464274061344764</v>
      </c>
      <c r="Y99" s="18">
        <f t="shared" si="108"/>
        <v>-2.9710749463046193</v>
      </c>
      <c r="Z99" s="18">
        <f t="shared" si="108"/>
        <v>1.4233603292264752</v>
      </c>
      <c r="AA99" s="18">
        <f t="shared" si="108"/>
        <v>0.91759904244166357</v>
      </c>
      <c r="AB99" s="18">
        <f t="shared" si="109"/>
        <v>1.0859052877191022</v>
      </c>
      <c r="AD99" s="18">
        <f t="shared" si="110"/>
        <v>1.0859052877191022</v>
      </c>
      <c r="AE99" s="18">
        <f t="shared" si="111"/>
        <v>3.3710103030583083</v>
      </c>
      <c r="AF99" s="18">
        <f t="shared" si="112"/>
        <v>4.0736552547754989</v>
      </c>
    </row>
    <row r="100" spans="1:32" x14ac:dyDescent="0.25">
      <c r="A100" t="str">
        <f t="shared" si="95"/>
        <v>62 Leisure, travel and related personal service occupations</v>
      </c>
      <c r="B100" s="18">
        <f t="shared" si="96"/>
        <v>-3.3280468770378491</v>
      </c>
      <c r="C100" s="18">
        <f t="shared" si="96"/>
        <v>-8.7909830882956683</v>
      </c>
      <c r="D100" s="18">
        <f t="shared" si="96"/>
        <v>0.28483516173141155</v>
      </c>
      <c r="E100" s="18">
        <f t="shared" si="96"/>
        <v>0.17120429272039495</v>
      </c>
      <c r="F100" s="18">
        <f t="shared" si="97"/>
        <v>0.20906693595830195</v>
      </c>
      <c r="H100" s="18">
        <f t="shared" si="98"/>
        <v>0.20906693595830195</v>
      </c>
      <c r="I100" s="18">
        <f t="shared" si="99"/>
        <v>2.8419616322779673</v>
      </c>
      <c r="J100" s="18">
        <f t="shared" si="100"/>
        <v>2.9838892670921879</v>
      </c>
      <c r="L100" t="str">
        <f t="shared" si="101"/>
        <v>62 Leisure, travel and related personal service occupations</v>
      </c>
      <c r="M100" s="18">
        <f t="shared" si="102"/>
        <v>-1.6073141776444033</v>
      </c>
      <c r="N100" s="18">
        <f t="shared" si="102"/>
        <v>-4.4052429237530717</v>
      </c>
      <c r="O100" s="18">
        <f t="shared" si="102"/>
        <v>0.44783477157936957</v>
      </c>
      <c r="P100" s="18">
        <f t="shared" si="102"/>
        <v>0.44052054929966111</v>
      </c>
      <c r="Q100" s="18">
        <f t="shared" si="103"/>
        <v>0.44295856421394664</v>
      </c>
      <c r="S100" s="18">
        <f t="shared" si="104"/>
        <v>0.44295856421394664</v>
      </c>
      <c r="T100" s="18">
        <f t="shared" si="105"/>
        <v>2.5064998921362935</v>
      </c>
      <c r="U100" s="18">
        <f t="shared" si="106"/>
        <v>2.822696746545561</v>
      </c>
      <c r="W100" t="str">
        <f t="shared" si="107"/>
        <v>62 Leisure, travel and related personal service occupations</v>
      </c>
      <c r="X100" s="18">
        <f t="shared" si="108"/>
        <v>-3.9761742737010275</v>
      </c>
      <c r="Y100" s="18">
        <f t="shared" si="108"/>
        <v>-10.546387507613419</v>
      </c>
      <c r="Z100" s="18">
        <f t="shared" si="108"/>
        <v>0.21479042749610322</v>
      </c>
      <c r="AA100" s="18">
        <f t="shared" si="108"/>
        <v>5.2613886862773462E-2</v>
      </c>
      <c r="AB100" s="18">
        <f t="shared" si="109"/>
        <v>0.10664355179270668</v>
      </c>
      <c r="AD100" s="18">
        <f t="shared" si="110"/>
        <v>0.10664355179270668</v>
      </c>
      <c r="AE100" s="18">
        <f t="shared" si="111"/>
        <v>2.9808968990128637</v>
      </c>
      <c r="AF100" s="18">
        <f t="shared" si="112"/>
        <v>3.0517718312648379</v>
      </c>
    </row>
    <row r="101" spans="1:32" x14ac:dyDescent="0.25">
      <c r="A101" t="str">
        <f t="shared" si="95"/>
        <v>63 Community and civil enforcement occupations</v>
      </c>
      <c r="B101" s="18">
        <f t="shared" si="96"/>
        <v>-4.7628083290662815</v>
      </c>
      <c r="C101" s="18">
        <f t="shared" si="96"/>
        <v>24.641812272267138</v>
      </c>
      <c r="D101" s="18">
        <f t="shared" si="96"/>
        <v>-3.5254713994151921</v>
      </c>
      <c r="E101" s="18">
        <f t="shared" si="96"/>
        <v>0.90213430310206455</v>
      </c>
      <c r="F101" s="18">
        <f t="shared" si="97"/>
        <v>-0.59586355601790597</v>
      </c>
      <c r="H101" s="18">
        <f t="shared" si="98"/>
        <v>-0.59586355601790597</v>
      </c>
      <c r="I101" s="18">
        <f t="shared" si="99"/>
        <v>2.4228821774426645</v>
      </c>
      <c r="J101" s="18">
        <f t="shared" si="100"/>
        <v>2.0021458546578774</v>
      </c>
      <c r="L101" t="str">
        <f t="shared" si="101"/>
        <v>63 Community and civil enforcement occupations</v>
      </c>
      <c r="M101" s="18">
        <f t="shared" si="102"/>
        <v>-8.3514798837400654</v>
      </c>
      <c r="N101" s="18">
        <f t="shared" si="102"/>
        <v>43.371678637624569</v>
      </c>
      <c r="O101" s="18">
        <f t="shared" si="102"/>
        <v>-7.169896026630596</v>
      </c>
      <c r="P101" s="18">
        <f t="shared" si="102"/>
        <v>1.3271658620585436</v>
      </c>
      <c r="Q101" s="18">
        <f t="shared" si="103"/>
        <v>-1.588267834782342</v>
      </c>
      <c r="S101" s="18">
        <f t="shared" si="104"/>
        <v>-1.588267834782342</v>
      </c>
      <c r="T101" s="18">
        <f t="shared" si="105"/>
        <v>1.7888985675551528</v>
      </c>
      <c r="U101" s="18">
        <f t="shared" si="106"/>
        <v>0.58351663131399611</v>
      </c>
      <c r="W101" t="str">
        <f t="shared" si="107"/>
        <v>63 Community and civil enforcement occupations</v>
      </c>
      <c r="X101" s="18">
        <f t="shared" si="108"/>
        <v>5.3751694836777775</v>
      </c>
      <c r="Y101" s="18">
        <f t="shared" si="108"/>
        <v>-12.88946411976556</v>
      </c>
      <c r="Z101" s="18">
        <f t="shared" si="108"/>
        <v>5.6847996499006292</v>
      </c>
      <c r="AA101" s="18">
        <f t="shared" si="108"/>
        <v>0.1290518635802762</v>
      </c>
      <c r="AB101" s="18">
        <f t="shared" si="109"/>
        <v>1.9477343626526089</v>
      </c>
      <c r="AD101" s="18">
        <f t="shared" si="110"/>
        <v>1.9477343626526089</v>
      </c>
      <c r="AE101" s="18">
        <f t="shared" si="111"/>
        <v>4.1941862226312576</v>
      </c>
      <c r="AF101" s="18">
        <f t="shared" si="112"/>
        <v>5.3573039367911024</v>
      </c>
    </row>
    <row r="102" spans="1:32" x14ac:dyDescent="0.25">
      <c r="A102" t="str">
        <f t="shared" si="95"/>
        <v>71 Sales occupations</v>
      </c>
      <c r="B102" s="18">
        <f t="shared" si="96"/>
        <v>-2.6511822698939369</v>
      </c>
      <c r="C102" s="18">
        <f t="shared" si="96"/>
        <v>-1.7713533404884019</v>
      </c>
      <c r="D102" s="18">
        <f t="shared" si="96"/>
        <v>-1.6887486369071669</v>
      </c>
      <c r="E102" s="18">
        <f t="shared" si="96"/>
        <v>-0.65259822499622588</v>
      </c>
      <c r="F102" s="18">
        <f t="shared" si="97"/>
        <v>-0.99918943505745705</v>
      </c>
      <c r="H102" s="18">
        <f t="shared" si="98"/>
        <v>-0.99918943505745705</v>
      </c>
      <c r="I102" s="18">
        <f t="shared" si="99"/>
        <v>2.3307763381924529</v>
      </c>
      <c r="J102" s="18">
        <f t="shared" si="100"/>
        <v>1.6222318525040968</v>
      </c>
      <c r="L102" t="str">
        <f t="shared" si="101"/>
        <v>71 Sales occupations</v>
      </c>
      <c r="M102" s="18">
        <f t="shared" si="102"/>
        <v>-1.3394314527234719</v>
      </c>
      <c r="N102" s="18">
        <f t="shared" si="102"/>
        <v>-0.90343200337676954</v>
      </c>
      <c r="O102" s="18">
        <f t="shared" si="102"/>
        <v>-1.3906126469761748</v>
      </c>
      <c r="P102" s="18">
        <f t="shared" si="102"/>
        <v>-0.47404241226826072</v>
      </c>
      <c r="Q102" s="18">
        <f t="shared" si="103"/>
        <v>-0.78050854359714705</v>
      </c>
      <c r="S102" s="18">
        <f t="shared" si="104"/>
        <v>-0.78050854359714705</v>
      </c>
      <c r="T102" s="18">
        <f t="shared" si="105"/>
        <v>1.7725855690781556</v>
      </c>
      <c r="U102" s="18">
        <f t="shared" si="106"/>
        <v>1.1701939761521007</v>
      </c>
      <c r="W102" t="str">
        <f t="shared" si="107"/>
        <v>71 Sales occupations</v>
      </c>
      <c r="X102" s="18">
        <f t="shared" si="108"/>
        <v>-3.566236216587626</v>
      </c>
      <c r="Y102" s="18">
        <f t="shared" si="108"/>
        <v>-2.4123231056516703</v>
      </c>
      <c r="Z102" s="18">
        <f t="shared" si="108"/>
        <v>-1.9147264527961783</v>
      </c>
      <c r="AA102" s="18">
        <f t="shared" si="108"/>
        <v>-0.79211456761131283</v>
      </c>
      <c r="AB102" s="18">
        <f t="shared" si="109"/>
        <v>-1.1677389365447599</v>
      </c>
      <c r="AD102" s="18">
        <f t="shared" si="110"/>
        <v>-1.1677389365447599</v>
      </c>
      <c r="AE102" s="18">
        <f t="shared" si="111"/>
        <v>2.7230645615081039</v>
      </c>
      <c r="AF102" s="18">
        <f t="shared" si="112"/>
        <v>1.9436588389909026</v>
      </c>
    </row>
    <row r="103" spans="1:32" x14ac:dyDescent="0.25">
      <c r="A103" t="str">
        <f t="shared" si="95"/>
        <v>72 Customer service occupations</v>
      </c>
      <c r="B103" s="18">
        <f t="shared" si="96"/>
        <v>-0.66873433519801795</v>
      </c>
      <c r="C103" s="18">
        <f t="shared" si="96"/>
        <v>3.049604337068379</v>
      </c>
      <c r="D103" s="18">
        <f t="shared" si="96"/>
        <v>5.2677485784248468</v>
      </c>
      <c r="E103" s="18">
        <f t="shared" si="96"/>
        <v>1.3225855833472799</v>
      </c>
      <c r="F103" s="18">
        <f t="shared" si="97"/>
        <v>2.6209318608694021</v>
      </c>
      <c r="H103" s="18">
        <f t="shared" si="98"/>
        <v>2.6209318608694021</v>
      </c>
      <c r="I103" s="18">
        <f t="shared" si="99"/>
        <v>3.1935149608792956</v>
      </c>
      <c r="J103" s="18">
        <f t="shared" si="100"/>
        <v>4.9921494136258016</v>
      </c>
      <c r="L103" t="str">
        <f t="shared" si="101"/>
        <v>72 Customer service occupations</v>
      </c>
      <c r="M103" s="18">
        <f t="shared" si="102"/>
        <v>-4.8597369156670123</v>
      </c>
      <c r="N103" s="18">
        <f t="shared" si="102"/>
        <v>16.248547426111859</v>
      </c>
      <c r="O103" s="18">
        <f t="shared" si="102"/>
        <v>6.9854834598817694</v>
      </c>
      <c r="P103" s="18">
        <f t="shared" si="102"/>
        <v>1.5245158729598307</v>
      </c>
      <c r="Q103" s="18">
        <f t="shared" si="103"/>
        <v>3.313141914827411</v>
      </c>
      <c r="S103" s="18">
        <f t="shared" si="104"/>
        <v>3.313141914827411</v>
      </c>
      <c r="T103" s="18">
        <f t="shared" si="105"/>
        <v>2.7181153179401729</v>
      </c>
      <c r="U103" s="18">
        <f t="shared" si="106"/>
        <v>5.1560861981302386</v>
      </c>
      <c r="W103" t="str">
        <f t="shared" si="107"/>
        <v>72 Customer service occupations</v>
      </c>
      <c r="X103" s="18">
        <f t="shared" si="108"/>
        <v>2.1872105106589546</v>
      </c>
      <c r="Y103" s="18">
        <f t="shared" si="108"/>
        <v>-4.4684308077739381</v>
      </c>
      <c r="Z103" s="18">
        <f t="shared" si="108"/>
        <v>4.0078659034433084</v>
      </c>
      <c r="AA103" s="18">
        <f t="shared" si="108"/>
        <v>1.158769594130904</v>
      </c>
      <c r="AB103" s="18">
        <f t="shared" si="109"/>
        <v>2.0996893433706587</v>
      </c>
      <c r="AD103" s="18">
        <f t="shared" si="110"/>
        <v>2.0996893433706587</v>
      </c>
      <c r="AE103" s="18">
        <f t="shared" si="111"/>
        <v>3.5058981600701422</v>
      </c>
      <c r="AF103" s="18">
        <f t="shared" si="112"/>
        <v>4.8763825768380675</v>
      </c>
    </row>
    <row r="104" spans="1:32" x14ac:dyDescent="0.25">
      <c r="A104" t="str">
        <f t="shared" si="95"/>
        <v>81 Process, plant and machine operatives</v>
      </c>
      <c r="B104" s="18">
        <f t="shared" si="96"/>
        <v>-1.4209112760451226</v>
      </c>
      <c r="C104" s="18">
        <f t="shared" si="96"/>
        <v>-15.737183575515878</v>
      </c>
      <c r="D104" s="18">
        <f t="shared" si="96"/>
        <v>3.6793469811980506</v>
      </c>
      <c r="E104" s="18">
        <f t="shared" si="96"/>
        <v>-0.29092026929592452</v>
      </c>
      <c r="F104" s="18">
        <f t="shared" si="97"/>
        <v>1.015315128919303</v>
      </c>
      <c r="H104" s="18">
        <f t="shared" si="98"/>
        <v>1.015315128919303</v>
      </c>
      <c r="I104" s="18">
        <f t="shared" si="99"/>
        <v>2.5961649492393768</v>
      </c>
      <c r="J104" s="18">
        <f t="shared" si="100"/>
        <v>3.321074431404325</v>
      </c>
      <c r="L104" t="str">
        <f t="shared" si="101"/>
        <v>81 Process, plant and machine operatives</v>
      </c>
      <c r="M104" s="18">
        <f t="shared" si="102"/>
        <v>-2.0809040110014165</v>
      </c>
      <c r="N104" s="18">
        <f t="shared" si="102"/>
        <v>-16.339993293360699</v>
      </c>
      <c r="O104" s="18">
        <f t="shared" si="102"/>
        <v>3.3592952712057533</v>
      </c>
      <c r="P104" s="18">
        <f t="shared" si="102"/>
        <v>-0.47413697379198316</v>
      </c>
      <c r="Q104" s="18">
        <f t="shared" si="103"/>
        <v>0.78761027440568121</v>
      </c>
      <c r="S104" s="18">
        <f t="shared" si="104"/>
        <v>0.78761027440568121</v>
      </c>
      <c r="T104" s="18">
        <f t="shared" si="105"/>
        <v>2.36243560547722</v>
      </c>
      <c r="U104" s="18">
        <f t="shared" si="106"/>
        <v>2.9394997845722637</v>
      </c>
      <c r="W104" t="str">
        <f t="shared" si="107"/>
        <v>81 Process, plant and machine operatives</v>
      </c>
      <c r="X104" s="18">
        <f t="shared" si="108"/>
        <v>1.1632283239829011</v>
      </c>
      <c r="Y104" s="18">
        <f t="shared" si="108"/>
        <v>-13.560785519196706</v>
      </c>
      <c r="Z104" s="18">
        <f t="shared" si="108"/>
        <v>4.7677407128706495</v>
      </c>
      <c r="AA104" s="18">
        <f t="shared" si="108"/>
        <v>0.2871676178341831</v>
      </c>
      <c r="AB104" s="18">
        <f t="shared" si="109"/>
        <v>1.7589858534655445</v>
      </c>
      <c r="AD104" s="18">
        <f t="shared" si="110"/>
        <v>1.7589858534655445</v>
      </c>
      <c r="AE104" s="18">
        <f t="shared" si="111"/>
        <v>3.3589876962515364</v>
      </c>
      <c r="AF104" s="18">
        <f t="shared" si="112"/>
        <v>4.5183364781283819</v>
      </c>
    </row>
    <row r="105" spans="1:32" x14ac:dyDescent="0.25">
      <c r="A105" t="str">
        <f t="shared" si="95"/>
        <v>82 Transport and mobile machine drivers and operatives</v>
      </c>
      <c r="B105" s="18">
        <f t="shared" si="96"/>
        <v>0.73026879235229547</v>
      </c>
      <c r="C105" s="18">
        <f t="shared" si="96"/>
        <v>-11.612100971681983</v>
      </c>
      <c r="D105" s="18">
        <f t="shared" si="96"/>
        <v>1.6701696153577528</v>
      </c>
      <c r="E105" s="18">
        <f t="shared" si="96"/>
        <v>0.12799741628573003</v>
      </c>
      <c r="F105" s="18">
        <f t="shared" si="97"/>
        <v>0.63943799718395589</v>
      </c>
      <c r="H105" s="18">
        <f t="shared" si="98"/>
        <v>0.63943799718395589</v>
      </c>
      <c r="I105" s="18">
        <f t="shared" si="99"/>
        <v>3.0785084971849841</v>
      </c>
      <c r="J105" s="18">
        <f t="shared" si="100"/>
        <v>3.5035280844780026</v>
      </c>
      <c r="L105" t="str">
        <f t="shared" si="101"/>
        <v>82 Transport and mobile machine drivers and operatives</v>
      </c>
      <c r="M105" s="18">
        <f t="shared" si="102"/>
        <v>0.69899151730565823</v>
      </c>
      <c r="N105" s="18">
        <f t="shared" si="102"/>
        <v>-11.426308495870996</v>
      </c>
      <c r="O105" s="18">
        <f t="shared" si="102"/>
        <v>1.2783340825563982</v>
      </c>
      <c r="P105" s="18">
        <f t="shared" si="102"/>
        <v>3.3826217527743729E-2</v>
      </c>
      <c r="Q105" s="18">
        <f t="shared" si="103"/>
        <v>0.44695365809539478</v>
      </c>
      <c r="S105" s="18">
        <f t="shared" si="104"/>
        <v>0.44695365809539478</v>
      </c>
      <c r="T105" s="18">
        <f t="shared" si="105"/>
        <v>2.9922953331058988</v>
      </c>
      <c r="U105" s="18">
        <f t="shared" si="106"/>
        <v>3.2913736207712985</v>
      </c>
      <c r="W105" t="str">
        <f t="shared" si="107"/>
        <v>82 Transport and mobile machine drivers and operatives</v>
      </c>
      <c r="X105" s="18">
        <f t="shared" si="108"/>
        <v>1.3795484863168062</v>
      </c>
      <c r="Y105" s="18">
        <f t="shared" si="108"/>
        <v>-15.404631921347811</v>
      </c>
      <c r="Z105" s="18">
        <f t="shared" si="108"/>
        <v>8.8821062053526578</v>
      </c>
      <c r="AA105" s="18">
        <f t="shared" si="108"/>
        <v>1.4430259244406329</v>
      </c>
      <c r="AB105" s="18">
        <f t="shared" si="109"/>
        <v>3.8644600889441216</v>
      </c>
      <c r="AD105" s="18">
        <f t="shared" si="110"/>
        <v>3.8644600889441216</v>
      </c>
      <c r="AE105" s="18">
        <f t="shared" si="111"/>
        <v>4.7152960124263732</v>
      </c>
      <c r="AF105" s="18">
        <f t="shared" si="112"/>
        <v>7.0077132202287507</v>
      </c>
    </row>
    <row r="106" spans="1:32" x14ac:dyDescent="0.25">
      <c r="A106" t="str">
        <f t="shared" si="95"/>
        <v>91 Elementary trades and related occupations</v>
      </c>
      <c r="B106" s="18">
        <f t="shared" si="96"/>
        <v>-3.8155053733908484</v>
      </c>
      <c r="C106" s="18">
        <f t="shared" si="96"/>
        <v>-12.094711667307866</v>
      </c>
      <c r="D106" s="18">
        <f t="shared" si="96"/>
        <v>-3.2710673828584169</v>
      </c>
      <c r="E106" s="18">
        <f t="shared" si="96"/>
        <v>-0.63845406909025515</v>
      </c>
      <c r="F106" s="18">
        <f t="shared" si="97"/>
        <v>-1.5238581822931807</v>
      </c>
      <c r="H106" s="18">
        <f t="shared" si="98"/>
        <v>-1.5238581822931807</v>
      </c>
      <c r="I106" s="18">
        <f t="shared" si="99"/>
        <v>1.9814990934286181</v>
      </c>
      <c r="J106" s="18">
        <f t="shared" si="100"/>
        <v>0.85652999624385995</v>
      </c>
      <c r="L106" t="str">
        <f t="shared" si="101"/>
        <v>91 Elementary trades and related occupations</v>
      </c>
      <c r="M106" s="18">
        <f t="shared" si="102"/>
        <v>-3.7689729985524778</v>
      </c>
      <c r="N106" s="18">
        <f t="shared" si="102"/>
        <v>-9.4169163306676467</v>
      </c>
      <c r="O106" s="18">
        <f t="shared" si="102"/>
        <v>-3.3920913945858944</v>
      </c>
      <c r="P106" s="18">
        <f t="shared" si="102"/>
        <v>-0.67106385298174587</v>
      </c>
      <c r="Q106" s="18">
        <f t="shared" si="103"/>
        <v>-1.5864836652731307</v>
      </c>
      <c r="S106" s="18">
        <f t="shared" si="104"/>
        <v>-1.5864836652731307</v>
      </c>
      <c r="T106" s="18">
        <f t="shared" si="105"/>
        <v>1.6755983885158532</v>
      </c>
      <c r="U106" s="18">
        <f t="shared" si="106"/>
        <v>0.45078696536873242</v>
      </c>
      <c r="W106" t="str">
        <f t="shared" si="107"/>
        <v>91 Elementary trades and related occupations</v>
      </c>
      <c r="X106" s="18">
        <f t="shared" si="108"/>
        <v>-3.9573833666606051</v>
      </c>
      <c r="Y106" s="18">
        <f t="shared" si="108"/>
        <v>-20.299465789093695</v>
      </c>
      <c r="Z106" s="18">
        <f t="shared" si="108"/>
        <v>-2.8542783725041487</v>
      </c>
      <c r="AA106" s="18">
        <f t="shared" si="108"/>
        <v>-0.52871374854117636</v>
      </c>
      <c r="AB106" s="18">
        <f t="shared" si="109"/>
        <v>-1.310022773374464</v>
      </c>
      <c r="AD106" s="18">
        <f t="shared" si="110"/>
        <v>-1.310022773374464</v>
      </c>
      <c r="AE106" s="18">
        <f t="shared" si="111"/>
        <v>2.9566260030794655</v>
      </c>
      <c r="AF106" s="18">
        <f t="shared" si="112"/>
        <v>2.1143924532910807</v>
      </c>
    </row>
    <row r="107" spans="1:32" x14ac:dyDescent="0.25">
      <c r="A107" t="str">
        <f t="shared" si="95"/>
        <v>92 Elementary administration and service occupations</v>
      </c>
      <c r="B107" s="18">
        <f t="shared" si="96"/>
        <v>-2.1026596902286143</v>
      </c>
      <c r="C107" s="18">
        <f t="shared" si="96"/>
        <v>-9.6560657270748802</v>
      </c>
      <c r="D107" s="18">
        <f t="shared" si="96"/>
        <v>0.21507878467794672</v>
      </c>
      <c r="E107" s="18">
        <f t="shared" si="96"/>
        <v>-0.78525540678165973</v>
      </c>
      <c r="F107" s="18">
        <f t="shared" si="97"/>
        <v>-0.4529250948293595</v>
      </c>
      <c r="H107" s="18">
        <f t="shared" si="98"/>
        <v>-0.4529250948293595</v>
      </c>
      <c r="I107" s="18">
        <f t="shared" si="99"/>
        <v>2.6655487776829911</v>
      </c>
      <c r="J107" s="18">
        <f t="shared" si="100"/>
        <v>2.355433695786302</v>
      </c>
      <c r="L107" t="str">
        <f t="shared" si="101"/>
        <v>92 Elementary administration and service occupations</v>
      </c>
      <c r="M107" s="18">
        <f t="shared" si="102"/>
        <v>-4.126296238554195</v>
      </c>
      <c r="N107" s="18">
        <f t="shared" si="102"/>
        <v>-5.5142243253903045</v>
      </c>
      <c r="O107" s="18">
        <f t="shared" si="102"/>
        <v>1.3325805424123871</v>
      </c>
      <c r="P107" s="18">
        <f t="shared" si="102"/>
        <v>-0.67109035673137418</v>
      </c>
      <c r="Q107" s="18">
        <f t="shared" si="103"/>
        <v>-7.6413082189086268E-3</v>
      </c>
      <c r="S107" s="18">
        <f t="shared" si="104"/>
        <v>-7.6413082189086268E-3</v>
      </c>
      <c r="T107" s="18">
        <f t="shared" si="105"/>
        <v>2.3674316720366129</v>
      </c>
      <c r="U107" s="18">
        <f t="shared" si="106"/>
        <v>2.3619257046255671</v>
      </c>
      <c r="W107" t="str">
        <f t="shared" si="107"/>
        <v>92 Elementary administration and service occupations</v>
      </c>
      <c r="X107" s="18">
        <f t="shared" si="108"/>
        <v>-5.6005366404299206E-2</v>
      </c>
      <c r="Y107" s="18">
        <f t="shared" si="108"/>
        <v>-13.43144187904316</v>
      </c>
      <c r="Z107" s="18">
        <f t="shared" si="108"/>
        <v>-0.94848819537001194</v>
      </c>
      <c r="AA107" s="18">
        <f t="shared" si="108"/>
        <v>-0.91394087602527652</v>
      </c>
      <c r="AB107" s="18">
        <f t="shared" si="109"/>
        <v>-0.92545798776163535</v>
      </c>
      <c r="AD107" s="18">
        <f t="shared" si="110"/>
        <v>-0.92545798776163535</v>
      </c>
      <c r="AE107" s="18">
        <f t="shared" si="111"/>
        <v>2.9505810689719469</v>
      </c>
      <c r="AF107" s="18">
        <f t="shared" si="112"/>
        <v>2.3489691660582679</v>
      </c>
    </row>
    <row r="108" spans="1:32" x14ac:dyDescent="0.25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5">
      <c r="A109" s="24" t="str">
        <f>A35</f>
        <v>All occupations</v>
      </c>
      <c r="B109" s="26">
        <f>IF(AND(C$6-B$6 &lt;&gt; 0,B35&lt;&gt;0,C35&lt;&gt;0),(EXP(LN(C35/B35)/(C$6-B$6))-1)*100,0)</f>
        <v>0.21535006256829803</v>
      </c>
      <c r="C109" s="26">
        <f>IF(AND(D$6-C$6 &lt;&gt; 0,C35&lt;&gt;0,D35&lt;&gt;0),(EXP(LN(D35/C35)/(D$6-C$6))-1)*100,0)</f>
        <v>-2.6938938797601453</v>
      </c>
      <c r="D109" s="26">
        <f>IF(AND(E$6-D$6 &lt;&gt; 0,D35&lt;&gt;0,E35&lt;&gt;0),(EXP(LN(E35/D35)/(E$6-D$6))-1)*100,0)</f>
        <v>0.47645957719999465</v>
      </c>
      <c r="E109" s="26">
        <f>IF(AND(F$6-E$6 &lt;&gt; 0,E35&lt;&gt;0,F35&lt;&gt;0),(EXP(LN(F35/E35)/(F$6-E$6))-1)*100,0)</f>
        <v>0.26862934467044575</v>
      </c>
      <c r="F109" s="26">
        <f t="shared" ref="F109" si="113">IF(AND(F$6-D$6 &lt;&gt; 0,D35&lt;&gt;0,F35&lt;&gt;0),(EXP(LN(F35/D35)/(F$6-D$6))-1)*100,0)</f>
        <v>0.33785827979151417</v>
      </c>
      <c r="H109" s="26">
        <f t="shared" ref="H109" si="114">IF($F$6-$D$6 &lt;&gt; 0,(EXP(LN(1+(H72/100))/($F$6-$D$6))-1)*100,0)</f>
        <v>0.33785827979151417</v>
      </c>
      <c r="I109" s="26">
        <f>IF(D35&gt;0,((1+(I35/D35))^(1/($F$6-$D$6))-1)*100,0)</f>
        <v>2.7206440887196148</v>
      </c>
      <c r="J109" s="26">
        <f t="shared" ref="J109" si="115">IF($F$6-$D$6 &lt;&gt; 0,(EXP(LN(1+(J72/100))/($F$6-$D$6))-1)*100,0)</f>
        <v>2.95447015202146</v>
      </c>
      <c r="L109" s="24" t="str">
        <f>L35</f>
        <v>All occupations</v>
      </c>
      <c r="M109" s="26">
        <f>IF(AND(N$6-M$6 &lt;&gt; 0,M35&lt;&gt;0,N35&lt;&gt;0),(EXP(LN(N35/M35)/(N$6-M$6))-1)*100,0)</f>
        <v>-0.23164018272504583</v>
      </c>
      <c r="N109" s="26">
        <f>IF(AND(O$6-N$6 &lt;&gt; 0,N35&lt;&gt;0,O35&lt;&gt;0),(EXP(LN(O35/N35)/(O$6-N$6))-1)*100,0)</f>
        <v>-3.9152809582201131</v>
      </c>
      <c r="O109" s="26">
        <f>IF(AND(P$6-O$6 &lt;&gt; 0,O35&lt;&gt;0,P35&lt;&gt;0),(EXP(LN(P35/O35)/(P$6-O$6))-1)*100,0)</f>
        <v>0.35771624245206635</v>
      </c>
      <c r="P109" s="26">
        <f>IF(AND(Q$6-P$6 &lt;&gt; 0,P35&lt;&gt;0,Q35&lt;&gt;0),(EXP(LN(Q35/P35)/(Q$6-P$6))-1)*100,0)</f>
        <v>0.13148431128386928</v>
      </c>
      <c r="Q109" s="26">
        <f t="shared" ref="Q109" si="116">IF(AND(Q$6-O$6 &lt;&gt; 0,O35&lt;&gt;0,Q35&lt;&gt;0),(EXP(LN(Q35/O35)/(Q$6-O$6))-1)*100,0)</f>
        <v>0.20683823320759576</v>
      </c>
      <c r="S109" s="26">
        <f t="shared" ref="S109" si="117">IF($F$6-$D$6 &lt;&gt; 0,(EXP(LN(1+(S72/100))/($F$6-$D$6))-1)*100,0)</f>
        <v>0.20683823320759576</v>
      </c>
      <c r="T109" s="26">
        <f t="shared" ref="T109" si="118">IF(O35&gt;0,((1+(T35/O35))^(1/($F$6-$D$6))-1)*100,0)</f>
        <v>2.3240125499824904</v>
      </c>
      <c r="U109" s="26">
        <f t="shared" ref="U109" si="119">IF($F$6-$D$6 &lt;&gt; 0,(EXP(LN(1+(U72/100))/($F$6-$D$6))-1)*100,0)</f>
        <v>2.4745916043956262</v>
      </c>
      <c r="W109" s="24" t="str">
        <f>W35</f>
        <v>All occupations</v>
      </c>
      <c r="X109" s="26">
        <f>IF(AND(Y$6-X$6 &lt;&gt; 0,X35&lt;&gt;0,Y35&lt;&gt;0),(EXP(LN(Y35/X35)/(Y$6-X$6))-1)*100,0)</f>
        <v>0.75544374979885642</v>
      </c>
      <c r="Y109" s="26">
        <f>IF(AND(Z$6-Y$6 &lt;&gt; 0,Y35&lt;&gt;0,Z35&lt;&gt;0),(EXP(LN(Z35/Y35)/(Z$6-Y$6))-1)*100,0)</f>
        <v>-1.2539764953951593</v>
      </c>
      <c r="Z109" s="26">
        <f>IF(AND(AA$6-Z$6 &lt;&gt; 0,Z35&lt;&gt;0,AA35&lt;&gt;0),(EXP(LN(AA35/Z35)/(AA$6-Z$6))-1)*100,0)</f>
        <v>0.61198791197387692</v>
      </c>
      <c r="AA109" s="26">
        <f>IF(AND(AB$6-AA$6 &lt;&gt; 0,AA35&lt;&gt;0,AB35&lt;&gt;0),(EXP(LN(AB35/AA35)/(AB$6-AA$6))-1)*100,0)</f>
        <v>0.42196464628847519</v>
      </c>
      <c r="AB109" s="26">
        <f t="shared" ref="AB109" si="120">IF(AND(AB$6-Z$6 &lt;&gt; 0,Z35&lt;&gt;0,AB35&lt;&gt;0),(EXP(LN(AB35/Z35)/(AB$6-Z$6))-1)*100,0)</f>
        <v>0.48526582444701205</v>
      </c>
      <c r="AD109" s="26">
        <f t="shared" ref="AD109" si="121">IF($F$6-$D$6 &lt;&gt; 0,(EXP(LN(1+(AD72/100))/($F$6-$D$6))-1)*100,0)</f>
        <v>0.48526582444701205</v>
      </c>
      <c r="AE109" s="26">
        <f t="shared" ref="AE109" si="122">IF(Z35&gt;0,((1+(AE35/Z35))^(1/($F$6-$D$6))-1)*100,0)</f>
        <v>3.1507085431570436</v>
      </c>
      <c r="AF109" s="26">
        <f t="shared" ref="AF109" si="123">IF($F$6-$D$6 &lt;&gt; 0,(EXP(LN(1+(AF72/100))/($F$6-$D$6))-1)*100,0)</f>
        <v>3.4689646124975937</v>
      </c>
    </row>
    <row r="112" spans="1:32" ht="15.5" x14ac:dyDescent="0.35">
      <c r="A112" s="19" t="str">
        <f>CONCATENATE(A$1," (Continued)")</f>
        <v>Occupation Table 2  Employment Change by Occupation (SOC 2020) and Replacement Demand, 2015-2035, Black Country (Continued)</v>
      </c>
      <c r="L112" s="19" t="str">
        <f>CONCATENATE(L$1," (Continued)")</f>
        <v>Occupation Table 2.1  Males: Employment Change by Occupation (SOC 2020) and Replacement Demand, 2015-2035, Black Country (Continued)</v>
      </c>
      <c r="W112" s="19" t="str">
        <f>CONCATENATE(W$1," (Continued)")</f>
        <v>Occupation Table 2.2  Females: Employment Change by Occupation (SOC 2020) and Replacement Demand, 2015-2035, Black Country (Continued)</v>
      </c>
    </row>
    <row r="114" spans="1:28" x14ac:dyDescent="0.25">
      <c r="F114" s="16" t="s">
        <v>36</v>
      </c>
      <c r="Q114" s="16" t="s">
        <v>36</v>
      </c>
      <c r="AB114" s="16" t="s">
        <v>36</v>
      </c>
    </row>
    <row r="115" spans="1:28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5">
      <c r="A119" t="str">
        <f t="shared" ref="A119:A144" si="124">A8</f>
        <v>11 Corporate managers and directors</v>
      </c>
      <c r="B119" s="27">
        <f t="shared" ref="B119:E144" si="125">C8-B8</f>
        <v>3.7899953487663751</v>
      </c>
      <c r="C119" s="27">
        <f t="shared" si="125"/>
        <v>0.78750206491086772</v>
      </c>
      <c r="D119" s="27">
        <f t="shared" si="125"/>
        <v>-2.2321247835700149</v>
      </c>
      <c r="E119" s="27">
        <f t="shared" si="125"/>
        <v>3.181992765323308</v>
      </c>
      <c r="F119" s="27">
        <f t="shared" ref="F119:F144" si="126">F8-D8</f>
        <v>0.94986798175329312</v>
      </c>
      <c r="L119" t="str">
        <f t="shared" ref="L119:L144" si="127">L8</f>
        <v>11 Corporate managers and directors</v>
      </c>
      <c r="M119" s="27">
        <f t="shared" ref="M119:P144" si="128">N8-M8</f>
        <v>1.7993135839551222</v>
      </c>
      <c r="N119" s="27">
        <f t="shared" si="128"/>
        <v>0.28711873376318309</v>
      </c>
      <c r="O119" s="27">
        <f t="shared" si="128"/>
        <v>-2.2390572550755721</v>
      </c>
      <c r="P119" s="27">
        <f t="shared" si="128"/>
        <v>1.1689564740899137</v>
      </c>
      <c r="Q119" s="27">
        <f t="shared" ref="Q119:Q144" si="129">Q8-O8</f>
        <v>-1.0701007809856584</v>
      </c>
      <c r="W119" t="str">
        <f t="shared" ref="W119:W144" si="130">W8</f>
        <v>11 Corporate managers and directors</v>
      </c>
      <c r="X119" s="27">
        <f t="shared" ref="X119:AA144" si="131">Y8-X8</f>
        <v>1.9906817648112387</v>
      </c>
      <c r="Y119" s="27">
        <f t="shared" si="131"/>
        <v>0.50038333114768285</v>
      </c>
      <c r="Z119" s="27">
        <f t="shared" si="131"/>
        <v>6.9324715055287811E-3</v>
      </c>
      <c r="AA119" s="27">
        <f t="shared" si="131"/>
        <v>2.0130362912334334</v>
      </c>
      <c r="AB119" s="27">
        <f t="shared" ref="AB119:AB144" si="132">AB8-Z8</f>
        <v>2.0199687627389622</v>
      </c>
    </row>
    <row r="120" spans="1:28" x14ac:dyDescent="0.25">
      <c r="A120" t="str">
        <f t="shared" si="124"/>
        <v>12 Other managers and proprietors</v>
      </c>
      <c r="B120" s="27">
        <f t="shared" si="125"/>
        <v>0.16243204481056672</v>
      </c>
      <c r="C120" s="27">
        <f t="shared" si="125"/>
        <v>0.52958319719617997</v>
      </c>
      <c r="D120" s="27">
        <f t="shared" si="125"/>
        <v>3.1947388793003988</v>
      </c>
      <c r="E120" s="27">
        <f t="shared" si="125"/>
        <v>2.5330501666677705</v>
      </c>
      <c r="F120" s="27">
        <f t="shared" si="126"/>
        <v>5.7277890459681693</v>
      </c>
      <c r="L120" t="str">
        <f t="shared" si="127"/>
        <v>12 Other managers and proprietors</v>
      </c>
      <c r="M120" s="27">
        <f t="shared" si="128"/>
        <v>0.21456544121495291</v>
      </c>
      <c r="N120" s="27">
        <f t="shared" si="128"/>
        <v>-0.39344078188091647</v>
      </c>
      <c r="O120" s="27">
        <f t="shared" si="128"/>
        <v>2.1042153676784858</v>
      </c>
      <c r="P120" s="27">
        <f t="shared" si="128"/>
        <v>1.2866795936051929</v>
      </c>
      <c r="Q120" s="27">
        <f t="shared" si="129"/>
        <v>3.3908949612836787</v>
      </c>
      <c r="W120" t="str">
        <f t="shared" si="130"/>
        <v>12 Other managers and proprietors</v>
      </c>
      <c r="X120" s="27">
        <f t="shared" si="131"/>
        <v>-5.2133396404385302E-2</v>
      </c>
      <c r="Y120" s="27">
        <f t="shared" si="131"/>
        <v>0.92302397907709466</v>
      </c>
      <c r="Z120" s="27">
        <f t="shared" si="131"/>
        <v>1.0905235116218943</v>
      </c>
      <c r="AA120" s="27">
        <f t="shared" si="131"/>
        <v>1.2463705730625767</v>
      </c>
      <c r="AB120" s="27">
        <f t="shared" si="132"/>
        <v>2.336894084684471</v>
      </c>
    </row>
    <row r="121" spans="1:28" x14ac:dyDescent="0.25">
      <c r="A121" t="str">
        <f t="shared" si="124"/>
        <v>21 Science, research, engineering and technology professionals</v>
      </c>
      <c r="B121" s="27">
        <f t="shared" si="125"/>
        <v>1.8298751551711234</v>
      </c>
      <c r="C121" s="27">
        <f t="shared" si="125"/>
        <v>1.1632192458281274</v>
      </c>
      <c r="D121" s="27">
        <f t="shared" si="125"/>
        <v>0.98826112646101905</v>
      </c>
      <c r="E121" s="27">
        <f t="shared" si="125"/>
        <v>2.6012410500170979</v>
      </c>
      <c r="F121" s="27">
        <f t="shared" si="126"/>
        <v>3.589502176478117</v>
      </c>
      <c r="L121" t="str">
        <f t="shared" si="127"/>
        <v>21 Science, research, engineering and technology professionals</v>
      </c>
      <c r="M121" s="27">
        <f t="shared" si="128"/>
        <v>1.6292970012474228</v>
      </c>
      <c r="N121" s="27">
        <f t="shared" si="128"/>
        <v>0.20315012658666021</v>
      </c>
      <c r="O121" s="27">
        <f t="shared" si="128"/>
        <v>0.17334605062966091</v>
      </c>
      <c r="P121" s="27">
        <f t="shared" si="128"/>
        <v>1.3495657581566363</v>
      </c>
      <c r="Q121" s="27">
        <f t="shared" si="129"/>
        <v>1.5229118087862972</v>
      </c>
      <c r="W121" t="str">
        <f t="shared" si="130"/>
        <v>21 Science, research, engineering and technology professionals</v>
      </c>
      <c r="X121" s="27">
        <f t="shared" si="131"/>
        <v>0.20057815392378586</v>
      </c>
      <c r="Y121" s="27">
        <f t="shared" si="131"/>
        <v>0.9600691192414752</v>
      </c>
      <c r="Z121" s="27">
        <f t="shared" si="131"/>
        <v>0.81491507583131284</v>
      </c>
      <c r="AA121" s="27">
        <f t="shared" si="131"/>
        <v>1.2516752918604643</v>
      </c>
      <c r="AB121" s="27">
        <f t="shared" si="132"/>
        <v>2.0665903676917772</v>
      </c>
    </row>
    <row r="122" spans="1:28" x14ac:dyDescent="0.25">
      <c r="A122" t="str">
        <f t="shared" si="124"/>
        <v>22 Health professionals</v>
      </c>
      <c r="B122" s="27">
        <f t="shared" si="125"/>
        <v>5.6410307573032661</v>
      </c>
      <c r="C122" s="27">
        <f t="shared" si="125"/>
        <v>-0.48677180417442756</v>
      </c>
      <c r="D122" s="27">
        <f t="shared" si="125"/>
        <v>2.425727709497572</v>
      </c>
      <c r="E122" s="27">
        <f t="shared" si="125"/>
        <v>2.8972764880861419</v>
      </c>
      <c r="F122" s="27">
        <f t="shared" si="126"/>
        <v>5.3230041975837139</v>
      </c>
      <c r="L122" t="str">
        <f t="shared" si="127"/>
        <v>22 Health professionals</v>
      </c>
      <c r="M122" s="27">
        <f t="shared" si="128"/>
        <v>1.3776077723358791</v>
      </c>
      <c r="N122" s="27">
        <f t="shared" si="128"/>
        <v>0.32997469524796053</v>
      </c>
      <c r="O122" s="27">
        <f t="shared" si="128"/>
        <v>0.49101881228928246</v>
      </c>
      <c r="P122" s="27">
        <f t="shared" si="128"/>
        <v>0.58238786321289471</v>
      </c>
      <c r="Q122" s="27">
        <f t="shared" si="129"/>
        <v>1.0734066755021772</v>
      </c>
      <c r="W122" t="str">
        <f t="shared" si="130"/>
        <v>22 Health professionals</v>
      </c>
      <c r="X122" s="27">
        <f t="shared" si="131"/>
        <v>4.2634229849674057</v>
      </c>
      <c r="Y122" s="27">
        <f t="shared" si="131"/>
        <v>-0.81674649942238631</v>
      </c>
      <c r="Z122" s="27">
        <f t="shared" si="131"/>
        <v>1.9347088972082638</v>
      </c>
      <c r="AA122" s="27">
        <f t="shared" si="131"/>
        <v>2.3148886248732445</v>
      </c>
      <c r="AB122" s="27">
        <f t="shared" si="132"/>
        <v>4.2495975220815083</v>
      </c>
    </row>
    <row r="123" spans="1:28" x14ac:dyDescent="0.25">
      <c r="A123" t="str">
        <f t="shared" si="124"/>
        <v>23 Teaching and other educational professionals</v>
      </c>
      <c r="B123" s="27">
        <f t="shared" si="125"/>
        <v>1.2252230894892868</v>
      </c>
      <c r="C123" s="27">
        <f t="shared" si="125"/>
        <v>1.217341085337754</v>
      </c>
      <c r="D123" s="27">
        <f t="shared" si="125"/>
        <v>1.3837495694010009</v>
      </c>
      <c r="E123" s="27">
        <f t="shared" si="125"/>
        <v>2.6820556956726591</v>
      </c>
      <c r="F123" s="27">
        <f t="shared" si="126"/>
        <v>4.06580526507366</v>
      </c>
      <c r="L123" t="str">
        <f t="shared" si="127"/>
        <v>23 Teaching and other educational professionals</v>
      </c>
      <c r="M123" s="27">
        <f t="shared" si="128"/>
        <v>6.4330225263226737E-2</v>
      </c>
      <c r="N123" s="27">
        <f t="shared" si="128"/>
        <v>0.52910988298983863</v>
      </c>
      <c r="O123" s="27">
        <f t="shared" si="128"/>
        <v>0.54734249940034019</v>
      </c>
      <c r="P123" s="27">
        <f t="shared" si="128"/>
        <v>0.59868088754878102</v>
      </c>
      <c r="Q123" s="27">
        <f t="shared" si="129"/>
        <v>1.1460233869491212</v>
      </c>
      <c r="W123" t="str">
        <f t="shared" si="130"/>
        <v>23 Teaching and other educational professionals</v>
      </c>
      <c r="X123" s="27">
        <f t="shared" si="131"/>
        <v>1.160892864226053</v>
      </c>
      <c r="Y123" s="27">
        <f t="shared" si="131"/>
        <v>0.68823120234791624</v>
      </c>
      <c r="Z123" s="27">
        <f t="shared" si="131"/>
        <v>0.83640707000064829</v>
      </c>
      <c r="AA123" s="27">
        <f t="shared" si="131"/>
        <v>2.0833748081238799</v>
      </c>
      <c r="AB123" s="27">
        <f t="shared" si="132"/>
        <v>2.9197818781245282</v>
      </c>
    </row>
    <row r="124" spans="1:28" x14ac:dyDescent="0.25">
      <c r="A124" t="str">
        <f t="shared" si="124"/>
        <v>24 Business, media and public service professionals</v>
      </c>
      <c r="B124" s="27">
        <f t="shared" si="125"/>
        <v>2.6501399028007526</v>
      </c>
      <c r="C124" s="27">
        <f t="shared" si="125"/>
        <v>2.4298876477029516</v>
      </c>
      <c r="D124" s="27">
        <f t="shared" si="125"/>
        <v>3.194769481683803</v>
      </c>
      <c r="E124" s="27">
        <f t="shared" si="125"/>
        <v>4.127069324904884</v>
      </c>
      <c r="F124" s="27">
        <f t="shared" si="126"/>
        <v>7.321838806588687</v>
      </c>
      <c r="L124" t="str">
        <f t="shared" si="127"/>
        <v>24 Business, media and public service professionals</v>
      </c>
      <c r="M124" s="27">
        <f t="shared" si="128"/>
        <v>0.85492528622754449</v>
      </c>
      <c r="N124" s="27">
        <f t="shared" si="128"/>
        <v>1.3977405749651695</v>
      </c>
      <c r="O124" s="27">
        <f t="shared" si="128"/>
        <v>1.9212586990677103</v>
      </c>
      <c r="P124" s="27">
        <f t="shared" si="128"/>
        <v>1.674183337384644</v>
      </c>
      <c r="Q124" s="27">
        <f t="shared" si="129"/>
        <v>3.5954420364523543</v>
      </c>
      <c r="W124" t="str">
        <f t="shared" si="130"/>
        <v>24 Business, media and public service professionals</v>
      </c>
      <c r="X124" s="27">
        <f t="shared" si="131"/>
        <v>1.7952146165732472</v>
      </c>
      <c r="Y124" s="27">
        <f t="shared" si="131"/>
        <v>1.0321470727377484</v>
      </c>
      <c r="Z124" s="27">
        <f t="shared" si="131"/>
        <v>1.2735107826161354</v>
      </c>
      <c r="AA124" s="27">
        <f t="shared" si="131"/>
        <v>2.4528859875202365</v>
      </c>
      <c r="AB124" s="27">
        <f t="shared" si="132"/>
        <v>3.7263967701363718</v>
      </c>
    </row>
    <row r="125" spans="1:28" x14ac:dyDescent="0.25">
      <c r="A125" t="str">
        <f t="shared" si="124"/>
        <v>31 Science, engineering and technology associate professionals</v>
      </c>
      <c r="B125" s="27">
        <f t="shared" si="125"/>
        <v>0.43818397653701791</v>
      </c>
      <c r="C125" s="27">
        <f t="shared" si="125"/>
        <v>0.68056534290317394</v>
      </c>
      <c r="D125" s="27">
        <f t="shared" si="125"/>
        <v>-1.2424966320868185</v>
      </c>
      <c r="E125" s="27">
        <f t="shared" si="125"/>
        <v>0.27709620279805058</v>
      </c>
      <c r="F125" s="27">
        <f t="shared" si="126"/>
        <v>-0.9654004292887679</v>
      </c>
      <c r="L125" t="str">
        <f t="shared" si="127"/>
        <v>31 Science, engineering and technology associate professionals</v>
      </c>
      <c r="M125" s="27">
        <f t="shared" si="128"/>
        <v>0.47101007264137973</v>
      </c>
      <c r="N125" s="27">
        <f t="shared" si="128"/>
        <v>0.29577287499567184</v>
      </c>
      <c r="O125" s="27">
        <f t="shared" si="128"/>
        <v>-1.2776697003337576</v>
      </c>
      <c r="P125" s="27">
        <f t="shared" si="128"/>
        <v>-5.418489053316744E-2</v>
      </c>
      <c r="Q125" s="27">
        <f t="shared" si="129"/>
        <v>-1.331854590866925</v>
      </c>
      <c r="W125" t="str">
        <f t="shared" si="130"/>
        <v>31 Science, engineering and technology associate professionals</v>
      </c>
      <c r="X125" s="27">
        <f t="shared" si="131"/>
        <v>-3.2826096104352276E-2</v>
      </c>
      <c r="Y125" s="27">
        <f t="shared" si="131"/>
        <v>0.38479246790750232</v>
      </c>
      <c r="Z125" s="27">
        <f t="shared" si="131"/>
        <v>3.5173068246928896E-2</v>
      </c>
      <c r="AA125" s="27">
        <f t="shared" si="131"/>
        <v>0.3312810933312198</v>
      </c>
      <c r="AB125" s="27">
        <f t="shared" si="132"/>
        <v>0.3664541615781487</v>
      </c>
    </row>
    <row r="126" spans="1:28" x14ac:dyDescent="0.25">
      <c r="A126" t="str">
        <f t="shared" si="124"/>
        <v>32 Health and social care associate professionals</v>
      </c>
      <c r="B126" s="27">
        <f t="shared" si="125"/>
        <v>1.9238400124447015</v>
      </c>
      <c r="C126" s="27">
        <f t="shared" si="125"/>
        <v>7.6903785015865367E-2</v>
      </c>
      <c r="D126" s="27">
        <f t="shared" si="125"/>
        <v>0.32877238299617595</v>
      </c>
      <c r="E126" s="27">
        <f t="shared" si="125"/>
        <v>1.2258615712511247</v>
      </c>
      <c r="F126" s="27">
        <f t="shared" si="126"/>
        <v>1.5546339542473007</v>
      </c>
      <c r="L126" t="str">
        <f t="shared" si="127"/>
        <v>32 Health and social care associate professionals</v>
      </c>
      <c r="M126" s="27">
        <f t="shared" si="128"/>
        <v>0.24599112565927461</v>
      </c>
      <c r="N126" s="27">
        <f t="shared" si="128"/>
        <v>0.13063155818533856</v>
      </c>
      <c r="O126" s="27">
        <f t="shared" si="128"/>
        <v>-0.1435254708235596</v>
      </c>
      <c r="P126" s="27">
        <f t="shared" si="128"/>
        <v>0.12324726443870215</v>
      </c>
      <c r="Q126" s="27">
        <f t="shared" si="129"/>
        <v>-2.0278206384857445E-2</v>
      </c>
      <c r="W126" t="str">
        <f t="shared" si="130"/>
        <v>32 Health and social care associate professionals</v>
      </c>
      <c r="X126" s="27">
        <f t="shared" si="131"/>
        <v>1.6778488867853891</v>
      </c>
      <c r="Y126" s="27">
        <f t="shared" si="131"/>
        <v>-5.372777316945232E-2</v>
      </c>
      <c r="Z126" s="27">
        <f t="shared" si="131"/>
        <v>0.47229785381973421</v>
      </c>
      <c r="AA126" s="27">
        <f t="shared" si="131"/>
        <v>1.1026143068124199</v>
      </c>
      <c r="AB126" s="27">
        <f t="shared" si="132"/>
        <v>1.5749121606321541</v>
      </c>
    </row>
    <row r="127" spans="1:28" x14ac:dyDescent="0.25">
      <c r="A127" t="str">
        <f t="shared" si="124"/>
        <v>33 Protective service occupations</v>
      </c>
      <c r="B127" s="27">
        <f t="shared" si="125"/>
        <v>-1.7414704835952755E-2</v>
      </c>
      <c r="C127" s="27">
        <f t="shared" si="125"/>
        <v>0.27319063540242361</v>
      </c>
      <c r="D127" s="27">
        <f t="shared" si="125"/>
        <v>0.99715190083914162</v>
      </c>
      <c r="E127" s="27">
        <f t="shared" si="125"/>
        <v>1.008393189178511</v>
      </c>
      <c r="F127" s="27">
        <f t="shared" si="126"/>
        <v>2.0055450900176526</v>
      </c>
      <c r="L127" t="str">
        <f t="shared" si="127"/>
        <v>33 Protective service occupations</v>
      </c>
      <c r="M127" s="27">
        <f t="shared" si="128"/>
        <v>-0.15447146593366989</v>
      </c>
      <c r="N127" s="27">
        <f t="shared" si="128"/>
        <v>0.14452531633428567</v>
      </c>
      <c r="O127" s="27">
        <f t="shared" si="128"/>
        <v>0.57625247592734707</v>
      </c>
      <c r="P127" s="27">
        <f t="shared" si="128"/>
        <v>0.38903999267650002</v>
      </c>
      <c r="Q127" s="27">
        <f t="shared" si="129"/>
        <v>0.9652924686038471</v>
      </c>
      <c r="W127" t="str">
        <f t="shared" si="130"/>
        <v>33 Protective service occupations</v>
      </c>
      <c r="X127" s="27">
        <f t="shared" si="131"/>
        <v>0.13705676109771647</v>
      </c>
      <c r="Y127" s="27">
        <f t="shared" si="131"/>
        <v>0.12866531906813128</v>
      </c>
      <c r="Z127" s="27">
        <f t="shared" si="131"/>
        <v>0.42089942491180765</v>
      </c>
      <c r="AA127" s="27">
        <f t="shared" si="131"/>
        <v>0.61935319650201359</v>
      </c>
      <c r="AB127" s="27">
        <f t="shared" si="132"/>
        <v>1.0402526214138212</v>
      </c>
    </row>
    <row r="128" spans="1:28" x14ac:dyDescent="0.25">
      <c r="A128" t="str">
        <f t="shared" si="124"/>
        <v>34 Culture, media and sports occupations</v>
      </c>
      <c r="B128" s="27">
        <f t="shared" si="125"/>
        <v>-5.6285389313178946E-2</v>
      </c>
      <c r="C128" s="27">
        <f t="shared" si="125"/>
        <v>0.19553178735917776</v>
      </c>
      <c r="D128" s="27">
        <f t="shared" si="125"/>
        <v>-0.44393716828742669</v>
      </c>
      <c r="E128" s="27">
        <f t="shared" si="125"/>
        <v>0.80319913739370552</v>
      </c>
      <c r="F128" s="27">
        <f t="shared" si="126"/>
        <v>0.35926196910627883</v>
      </c>
      <c r="L128" t="str">
        <f t="shared" si="127"/>
        <v>34 Culture, media and sports occupations</v>
      </c>
      <c r="M128" s="27">
        <f t="shared" si="128"/>
        <v>-1.9550430095883087E-2</v>
      </c>
      <c r="N128" s="27">
        <f t="shared" si="128"/>
        <v>2.9220424553652258E-2</v>
      </c>
      <c r="O128" s="27">
        <f t="shared" si="128"/>
        <v>-0.25024426618911555</v>
      </c>
      <c r="P128" s="27">
        <f t="shared" si="128"/>
        <v>0.39034474388811802</v>
      </c>
      <c r="Q128" s="27">
        <f t="shared" si="129"/>
        <v>0.14010047769900247</v>
      </c>
      <c r="W128" t="str">
        <f t="shared" si="130"/>
        <v>34 Culture, media and sports occupations</v>
      </c>
      <c r="X128" s="27">
        <f t="shared" si="131"/>
        <v>-3.6734959217280316E-2</v>
      </c>
      <c r="Y128" s="27">
        <f t="shared" si="131"/>
        <v>0.1663113628055144</v>
      </c>
      <c r="Z128" s="27">
        <f t="shared" si="131"/>
        <v>-0.19369290209830714</v>
      </c>
      <c r="AA128" s="27">
        <f t="shared" si="131"/>
        <v>0.41285439350557862</v>
      </c>
      <c r="AB128" s="27">
        <f t="shared" si="132"/>
        <v>0.21916149140727148</v>
      </c>
    </row>
    <row r="129" spans="1:28" x14ac:dyDescent="0.25">
      <c r="A129" t="str">
        <f t="shared" si="124"/>
        <v>35 Business and public service associate professionals</v>
      </c>
      <c r="B129" s="27">
        <f t="shared" si="125"/>
        <v>0.30067277322459063</v>
      </c>
      <c r="C129" s="27">
        <f t="shared" si="125"/>
        <v>0.92798954751826201</v>
      </c>
      <c r="D129" s="27">
        <f t="shared" si="125"/>
        <v>-1.2651565178178998</v>
      </c>
      <c r="E129" s="27">
        <f t="shared" si="125"/>
        <v>1.1544258505775957</v>
      </c>
      <c r="F129" s="27">
        <f t="shared" si="126"/>
        <v>-0.11073066724030411</v>
      </c>
      <c r="L129" t="str">
        <f t="shared" si="127"/>
        <v>35 Business and public service associate professionals</v>
      </c>
      <c r="M129" s="27">
        <f t="shared" si="128"/>
        <v>-0.3505137509700802</v>
      </c>
      <c r="N129" s="27">
        <f t="shared" si="128"/>
        <v>0.60835865100614761</v>
      </c>
      <c r="O129" s="27">
        <f t="shared" si="128"/>
        <v>-1.160574396303474</v>
      </c>
      <c r="P129" s="27">
        <f t="shared" si="128"/>
        <v>-0.15426683822907705</v>
      </c>
      <c r="Q129" s="27">
        <f t="shared" si="129"/>
        <v>-1.3148412345325511</v>
      </c>
      <c r="W129" t="str">
        <f t="shared" si="130"/>
        <v>35 Business and public service associate professionals</v>
      </c>
      <c r="X129" s="27">
        <f t="shared" si="131"/>
        <v>0.65118652419471168</v>
      </c>
      <c r="Y129" s="27">
        <f t="shared" si="131"/>
        <v>0.31963089651206467</v>
      </c>
      <c r="Z129" s="27">
        <f t="shared" si="131"/>
        <v>-0.10458212151437785</v>
      </c>
      <c r="AA129" s="27">
        <f t="shared" si="131"/>
        <v>1.3086926888066888</v>
      </c>
      <c r="AB129" s="27">
        <f t="shared" si="132"/>
        <v>1.2041105672923109</v>
      </c>
    </row>
    <row r="130" spans="1:28" x14ac:dyDescent="0.25">
      <c r="A130" t="str">
        <f t="shared" si="124"/>
        <v>41 Administrative occupations</v>
      </c>
      <c r="B130" s="27">
        <f t="shared" si="125"/>
        <v>-3.9732476104116614</v>
      </c>
      <c r="C130" s="27">
        <f t="shared" si="125"/>
        <v>2.1523877290420614</v>
      </c>
      <c r="D130" s="27">
        <f t="shared" si="125"/>
        <v>-3.4672450530163204</v>
      </c>
      <c r="E130" s="27">
        <f t="shared" si="125"/>
        <v>-2.2416224348205063</v>
      </c>
      <c r="F130" s="27">
        <f t="shared" si="126"/>
        <v>-5.7088674878368266</v>
      </c>
      <c r="L130" t="str">
        <f t="shared" si="127"/>
        <v>41 Administrative occupations</v>
      </c>
      <c r="M130" s="27">
        <f t="shared" si="128"/>
        <v>-2.0113625483625199</v>
      </c>
      <c r="N130" s="27">
        <f t="shared" si="128"/>
        <v>2.6976190106982898</v>
      </c>
      <c r="O130" s="27">
        <f t="shared" si="128"/>
        <v>-0.51595619816060534</v>
      </c>
      <c r="P130" s="27">
        <f t="shared" si="128"/>
        <v>1.5448828223694662</v>
      </c>
      <c r="Q130" s="27">
        <f t="shared" si="129"/>
        <v>1.0289266242088608</v>
      </c>
      <c r="W130" t="str">
        <f t="shared" si="130"/>
        <v>41 Administrative occupations</v>
      </c>
      <c r="X130" s="27">
        <f t="shared" si="131"/>
        <v>-1.9618850620492623</v>
      </c>
      <c r="Y130" s="27">
        <f t="shared" si="131"/>
        <v>-0.5452312816562177</v>
      </c>
      <c r="Z130" s="27">
        <f t="shared" si="131"/>
        <v>-2.9512888548556866</v>
      </c>
      <c r="AA130" s="27">
        <f t="shared" si="131"/>
        <v>-3.7865052571900542</v>
      </c>
      <c r="AB130" s="27">
        <f t="shared" si="132"/>
        <v>-6.7377941120457407</v>
      </c>
    </row>
    <row r="131" spans="1:28" x14ac:dyDescent="0.25">
      <c r="A131" t="str">
        <f t="shared" si="124"/>
        <v>42 Secretarial and related occupations</v>
      </c>
      <c r="B131" s="27">
        <f t="shared" si="125"/>
        <v>-1.5046902102056432</v>
      </c>
      <c r="C131" s="27">
        <f t="shared" si="125"/>
        <v>-0.20647367977289122</v>
      </c>
      <c r="D131" s="27">
        <f t="shared" si="125"/>
        <v>0.46483697932594659</v>
      </c>
      <c r="E131" s="27">
        <f t="shared" si="125"/>
        <v>-3.2130547013957216</v>
      </c>
      <c r="F131" s="27">
        <f t="shared" si="126"/>
        <v>-2.748217722069775</v>
      </c>
      <c r="L131" t="str">
        <f t="shared" si="127"/>
        <v>42 Secretarial and related occupations</v>
      </c>
      <c r="M131" s="27">
        <f t="shared" si="128"/>
        <v>-0.28548208935722841</v>
      </c>
      <c r="N131" s="27">
        <f t="shared" si="128"/>
        <v>8.2792920237850787E-4</v>
      </c>
      <c r="O131" s="27">
        <f t="shared" si="128"/>
        <v>0.19556763203012828</v>
      </c>
      <c r="P131" s="27">
        <f t="shared" si="128"/>
        <v>0.17041798066952929</v>
      </c>
      <c r="Q131" s="27">
        <f t="shared" si="129"/>
        <v>0.36598561269965757</v>
      </c>
      <c r="W131" t="str">
        <f t="shared" si="130"/>
        <v>42 Secretarial and related occupations</v>
      </c>
      <c r="X131" s="27">
        <f t="shared" si="131"/>
        <v>-1.2192081208484051</v>
      </c>
      <c r="Y131" s="27">
        <f t="shared" si="131"/>
        <v>-0.20730160897527661</v>
      </c>
      <c r="Z131" s="27">
        <f t="shared" si="131"/>
        <v>0.26926934729581653</v>
      </c>
      <c r="AA131" s="27">
        <f t="shared" si="131"/>
        <v>-3.3834726820652499</v>
      </c>
      <c r="AB131" s="27">
        <f t="shared" si="132"/>
        <v>-3.1142033347694333</v>
      </c>
    </row>
    <row r="132" spans="1:28" x14ac:dyDescent="0.25">
      <c r="A132" t="str">
        <f t="shared" si="124"/>
        <v>51 Skilled agricultural and related trades</v>
      </c>
      <c r="B132" s="27">
        <f t="shared" si="125"/>
        <v>-0.52472461473943444</v>
      </c>
      <c r="C132" s="27">
        <f t="shared" si="125"/>
        <v>-0.62067700857336394</v>
      </c>
      <c r="D132" s="27">
        <f t="shared" si="125"/>
        <v>0.13105196544448683</v>
      </c>
      <c r="E132" s="27">
        <f t="shared" si="125"/>
        <v>0.39699691599756726</v>
      </c>
      <c r="F132" s="27">
        <f t="shared" si="126"/>
        <v>0.52804888144205409</v>
      </c>
      <c r="L132" t="str">
        <f t="shared" si="127"/>
        <v>51 Skilled agricultural and related trades</v>
      </c>
      <c r="M132" s="27">
        <f t="shared" si="128"/>
        <v>-0.485645557502977</v>
      </c>
      <c r="N132" s="27">
        <f t="shared" si="128"/>
        <v>-0.61797943294031921</v>
      </c>
      <c r="O132" s="27">
        <f t="shared" si="128"/>
        <v>4.5356618444106545E-2</v>
      </c>
      <c r="P132" s="27">
        <f t="shared" si="128"/>
        <v>0.27638401020355285</v>
      </c>
      <c r="Q132" s="27">
        <f t="shared" si="129"/>
        <v>0.3217406286476594</v>
      </c>
      <c r="W132" t="str">
        <f t="shared" si="130"/>
        <v>51 Skilled agricultural and related trades</v>
      </c>
      <c r="X132" s="27">
        <f t="shared" si="131"/>
        <v>-3.9079057236457992E-2</v>
      </c>
      <c r="Y132" s="27">
        <f t="shared" si="131"/>
        <v>-2.6975756330384071E-3</v>
      </c>
      <c r="Z132" s="27">
        <f t="shared" si="131"/>
        <v>8.5695347000383282E-2</v>
      </c>
      <c r="AA132" s="27">
        <f t="shared" si="131"/>
        <v>0.12061290579401251</v>
      </c>
      <c r="AB132" s="27">
        <f t="shared" si="132"/>
        <v>0.2063082527943958</v>
      </c>
    </row>
    <row r="133" spans="1:28" x14ac:dyDescent="0.25">
      <c r="A133" t="str">
        <f t="shared" si="124"/>
        <v>52 Skilled metal, electrical and electronic trades</v>
      </c>
      <c r="B133" s="27">
        <f t="shared" si="125"/>
        <v>-0.27904065005842327</v>
      </c>
      <c r="C133" s="27">
        <f t="shared" si="125"/>
        <v>-5.006639777676483</v>
      </c>
      <c r="D133" s="27">
        <f t="shared" si="125"/>
        <v>-0.74675716837793971</v>
      </c>
      <c r="E133" s="27">
        <f t="shared" si="125"/>
        <v>-1.7453396029066219</v>
      </c>
      <c r="F133" s="27">
        <f t="shared" si="126"/>
        <v>-2.4920967712845616</v>
      </c>
      <c r="L133" t="str">
        <f t="shared" si="127"/>
        <v>52 Skilled metal, electrical and electronic trades</v>
      </c>
      <c r="M133" s="27">
        <f t="shared" si="128"/>
        <v>-0.5011515424435693</v>
      </c>
      <c r="N133" s="27">
        <f t="shared" si="128"/>
        <v>-4.8808606790796389</v>
      </c>
      <c r="O133" s="27">
        <f t="shared" si="128"/>
        <v>-1.2543517618650917</v>
      </c>
      <c r="P133" s="27">
        <f t="shared" si="128"/>
        <v>-1.9387819742401575</v>
      </c>
      <c r="Q133" s="27">
        <f t="shared" si="129"/>
        <v>-3.1931337361052492</v>
      </c>
      <c r="W133" t="str">
        <f t="shared" si="130"/>
        <v>52 Skilled metal, electrical and electronic trades</v>
      </c>
      <c r="X133" s="27">
        <f t="shared" si="131"/>
        <v>0.22211089238517567</v>
      </c>
      <c r="Y133" s="27">
        <f t="shared" si="131"/>
        <v>-0.12577909859686848</v>
      </c>
      <c r="Z133" s="27">
        <f t="shared" si="131"/>
        <v>0.50759459348715419</v>
      </c>
      <c r="AA133" s="27">
        <f t="shared" si="131"/>
        <v>0.19344237133354969</v>
      </c>
      <c r="AB133" s="27">
        <f t="shared" si="132"/>
        <v>0.70103696482070377</v>
      </c>
    </row>
    <row r="134" spans="1:28" x14ac:dyDescent="0.25">
      <c r="A134" t="str">
        <f t="shared" si="124"/>
        <v>53 Skilled construction and building trades</v>
      </c>
      <c r="B134" s="27">
        <f t="shared" si="125"/>
        <v>2.6639263891725271</v>
      </c>
      <c r="C134" s="27">
        <f t="shared" si="125"/>
        <v>-3.9059572390308865</v>
      </c>
      <c r="D134" s="27">
        <f t="shared" si="125"/>
        <v>0.11971480258409173</v>
      </c>
      <c r="E134" s="27">
        <f t="shared" si="125"/>
        <v>-2.1954949609269612</v>
      </c>
      <c r="F134" s="27">
        <f t="shared" si="126"/>
        <v>-2.0757801583428694</v>
      </c>
      <c r="L134" t="str">
        <f t="shared" si="127"/>
        <v>53 Skilled construction and building trades</v>
      </c>
      <c r="M134" s="27">
        <f t="shared" si="128"/>
        <v>2.6763496748343982</v>
      </c>
      <c r="N134" s="27">
        <f t="shared" si="128"/>
        <v>-3.9536746065399235</v>
      </c>
      <c r="O134" s="27">
        <f t="shared" si="128"/>
        <v>0.10891589188755901</v>
      </c>
      <c r="P134" s="27">
        <f t="shared" si="128"/>
        <v>-2.2297460398588882</v>
      </c>
      <c r="Q134" s="27">
        <f t="shared" si="129"/>
        <v>-2.1208301479713292</v>
      </c>
      <c r="W134" t="str">
        <f t="shared" si="130"/>
        <v>53 Skilled construction and building trades</v>
      </c>
      <c r="X134" s="27">
        <f t="shared" si="131"/>
        <v>-1.2423285661846251E-2</v>
      </c>
      <c r="Y134" s="27">
        <f t="shared" si="131"/>
        <v>4.7717367509018144E-2</v>
      </c>
      <c r="Z134" s="27">
        <f t="shared" si="131"/>
        <v>1.0798910696539321E-2</v>
      </c>
      <c r="AA134" s="27">
        <f t="shared" si="131"/>
        <v>3.42510789319172E-2</v>
      </c>
      <c r="AB134" s="27">
        <f t="shared" si="132"/>
        <v>4.5049989628456522E-2</v>
      </c>
    </row>
    <row r="135" spans="1:28" x14ac:dyDescent="0.25">
      <c r="A135" t="str">
        <f t="shared" si="124"/>
        <v>54 Textiles, printing and other skilled trades</v>
      </c>
      <c r="B135" s="27">
        <f t="shared" si="125"/>
        <v>-1.2229982216363684</v>
      </c>
      <c r="C135" s="27">
        <f t="shared" si="125"/>
        <v>-9.5986001837102819E-2</v>
      </c>
      <c r="D135" s="27">
        <f t="shared" si="125"/>
        <v>-0.34902939195468896</v>
      </c>
      <c r="E135" s="27">
        <f t="shared" si="125"/>
        <v>-0.51603851369345399</v>
      </c>
      <c r="F135" s="27">
        <f t="shared" si="126"/>
        <v>-0.86506790564814295</v>
      </c>
      <c r="L135" t="str">
        <f t="shared" si="127"/>
        <v>54 Textiles, printing and other skilled trades</v>
      </c>
      <c r="M135" s="27">
        <f t="shared" si="128"/>
        <v>-0.83638701972756735</v>
      </c>
      <c r="N135" s="27">
        <f t="shared" si="128"/>
        <v>-0.54327020219686428</v>
      </c>
      <c r="O135" s="27">
        <f t="shared" si="128"/>
        <v>-0.26495224699427844</v>
      </c>
      <c r="P135" s="27">
        <f t="shared" si="128"/>
        <v>-0.44817788046987594</v>
      </c>
      <c r="Q135" s="27">
        <f t="shared" si="129"/>
        <v>-0.71313012746415438</v>
      </c>
      <c r="W135" t="str">
        <f t="shared" si="130"/>
        <v>54 Textiles, printing and other skilled trades</v>
      </c>
      <c r="X135" s="27">
        <f t="shared" si="131"/>
        <v>-0.38661120190880416</v>
      </c>
      <c r="Y135" s="27">
        <f t="shared" si="131"/>
        <v>0.44728420035977257</v>
      </c>
      <c r="Z135" s="27">
        <f t="shared" si="131"/>
        <v>-8.4077144960416295E-2</v>
      </c>
      <c r="AA135" s="27">
        <f t="shared" si="131"/>
        <v>-6.7860633223581601E-2</v>
      </c>
      <c r="AB135" s="27">
        <f t="shared" si="132"/>
        <v>-0.1519377781839979</v>
      </c>
    </row>
    <row r="136" spans="1:28" x14ac:dyDescent="0.25">
      <c r="A136" t="str">
        <f t="shared" si="124"/>
        <v>61 Caring personal service occupations</v>
      </c>
      <c r="B136" s="27">
        <f t="shared" si="125"/>
        <v>2.5126430525086434</v>
      </c>
      <c r="C136" s="27">
        <f t="shared" si="125"/>
        <v>-1.2560236635700548</v>
      </c>
      <c r="D136" s="27">
        <f t="shared" si="125"/>
        <v>3.5869317740942819</v>
      </c>
      <c r="E136" s="27">
        <f t="shared" si="125"/>
        <v>4.4137479945855986</v>
      </c>
      <c r="F136" s="27">
        <f t="shared" si="126"/>
        <v>8.0006797686798805</v>
      </c>
      <c r="L136" t="str">
        <f t="shared" si="127"/>
        <v>61 Caring personal service occupations</v>
      </c>
      <c r="M136" s="27">
        <f t="shared" si="128"/>
        <v>0.19692605122622542</v>
      </c>
      <c r="N136" s="27">
        <f t="shared" si="128"/>
        <v>-0.16795969548869039</v>
      </c>
      <c r="O136" s="27">
        <f t="shared" si="128"/>
        <v>0.98503753217570722</v>
      </c>
      <c r="P136" s="27">
        <f t="shared" si="128"/>
        <v>0.76633014487157958</v>
      </c>
      <c r="Q136" s="27">
        <f t="shared" si="129"/>
        <v>1.7513676770472868</v>
      </c>
      <c r="W136" t="str">
        <f t="shared" si="130"/>
        <v>61 Caring personal service occupations</v>
      </c>
      <c r="X136" s="27">
        <f t="shared" si="131"/>
        <v>2.3157170012824153</v>
      </c>
      <c r="Y136" s="27">
        <f t="shared" si="131"/>
        <v>-1.0880639680813786</v>
      </c>
      <c r="Z136" s="27">
        <f t="shared" si="131"/>
        <v>2.6018942419185862</v>
      </c>
      <c r="AA136" s="27">
        <f t="shared" si="131"/>
        <v>3.6474178497140315</v>
      </c>
      <c r="AB136" s="27">
        <f t="shared" si="132"/>
        <v>6.2493120916326177</v>
      </c>
    </row>
    <row r="137" spans="1:28" x14ac:dyDescent="0.25">
      <c r="A137" t="str">
        <f t="shared" si="124"/>
        <v>62 Leisure, travel and related personal service occupations</v>
      </c>
      <c r="B137" s="27">
        <f t="shared" si="125"/>
        <v>-1.4539175930585948</v>
      </c>
      <c r="C137" s="27">
        <f t="shared" si="125"/>
        <v>-0.88159300456862688</v>
      </c>
      <c r="D137" s="27">
        <f t="shared" si="125"/>
        <v>0.13101050282521243</v>
      </c>
      <c r="E137" s="27">
        <f t="shared" si="125"/>
        <v>0.16006917626022421</v>
      </c>
      <c r="F137" s="27">
        <f t="shared" si="126"/>
        <v>0.29107967908543664</v>
      </c>
      <c r="L137" t="str">
        <f t="shared" si="127"/>
        <v>62 Leisure, travel and related personal service occupations</v>
      </c>
      <c r="M137" s="27">
        <f t="shared" si="128"/>
        <v>-0.19194798118290146</v>
      </c>
      <c r="N137" s="27">
        <f t="shared" si="128"/>
        <v>-0.12627821029836195</v>
      </c>
      <c r="O137" s="27">
        <f t="shared" si="128"/>
        <v>6.1911350189296943E-2</v>
      </c>
      <c r="P137" s="27">
        <f t="shared" si="128"/>
        <v>0.12591764966615449</v>
      </c>
      <c r="Q137" s="27">
        <f t="shared" si="129"/>
        <v>0.18782899985545143</v>
      </c>
      <c r="W137" t="str">
        <f t="shared" si="130"/>
        <v>62 Leisure, travel and related personal service occupations</v>
      </c>
      <c r="X137" s="27">
        <f t="shared" si="131"/>
        <v>-1.2619696118756822</v>
      </c>
      <c r="Y137" s="27">
        <f t="shared" si="131"/>
        <v>-0.75531479427027381</v>
      </c>
      <c r="Z137" s="27">
        <f t="shared" si="131"/>
        <v>6.9099152635920369E-2</v>
      </c>
      <c r="AA137" s="27">
        <f t="shared" si="131"/>
        <v>3.4151526594071946E-2</v>
      </c>
      <c r="AB137" s="27">
        <f t="shared" si="132"/>
        <v>0.10325067922999231</v>
      </c>
    </row>
    <row r="138" spans="1:28" x14ac:dyDescent="0.25">
      <c r="A138" t="str">
        <f t="shared" si="124"/>
        <v>63 Community and civil enforcement occupations</v>
      </c>
      <c r="B138" s="27">
        <f t="shared" si="125"/>
        <v>-7.9207576698650251E-2</v>
      </c>
      <c r="C138" s="27">
        <f t="shared" si="125"/>
        <v>9.0549602910414362E-2</v>
      </c>
      <c r="D138" s="27">
        <f t="shared" si="125"/>
        <v>-7.5240120498232255E-2</v>
      </c>
      <c r="E138" s="27">
        <f t="shared" si="125"/>
        <v>3.5967334454015565E-2</v>
      </c>
      <c r="F138" s="27">
        <f t="shared" si="126"/>
        <v>-3.927278604421669E-2</v>
      </c>
      <c r="L138" t="str">
        <f t="shared" si="127"/>
        <v>63 Community and civil enforcement occupations</v>
      </c>
      <c r="M138" s="27">
        <f t="shared" si="128"/>
        <v>-0.10232238256175422</v>
      </c>
      <c r="N138" s="27">
        <f t="shared" si="128"/>
        <v>0.10631754066879193</v>
      </c>
      <c r="O138" s="27">
        <f t="shared" si="128"/>
        <v>-0.10917511168917785</v>
      </c>
      <c r="P138" s="27">
        <f t="shared" si="128"/>
        <v>3.4143602154661751E-2</v>
      </c>
      <c r="Q138" s="27">
        <f t="shared" si="129"/>
        <v>-7.5031509534516094E-2</v>
      </c>
      <c r="W138" t="str">
        <f t="shared" si="130"/>
        <v>63 Community and civil enforcement occupations</v>
      </c>
      <c r="X138" s="27">
        <f t="shared" si="131"/>
        <v>2.3114805863103785E-2</v>
      </c>
      <c r="Y138" s="27">
        <f t="shared" si="131"/>
        <v>-1.5767937758377343E-2</v>
      </c>
      <c r="Z138" s="27">
        <f t="shared" si="131"/>
        <v>3.3934991190945715E-2</v>
      </c>
      <c r="AA138" s="27">
        <f t="shared" si="131"/>
        <v>1.8237322993533422E-3</v>
      </c>
      <c r="AB138" s="27">
        <f t="shared" si="132"/>
        <v>3.5758723490299058E-2</v>
      </c>
    </row>
    <row r="139" spans="1:28" x14ac:dyDescent="0.25">
      <c r="A139" t="str">
        <f t="shared" si="124"/>
        <v>71 Sales occupations</v>
      </c>
      <c r="B139" s="27">
        <f t="shared" si="125"/>
        <v>-3.4875446843146634</v>
      </c>
      <c r="C139" s="27">
        <f t="shared" si="125"/>
        <v>-0.54444768878895999</v>
      </c>
      <c r="D139" s="27">
        <f t="shared" si="125"/>
        <v>-2.4646573752336423</v>
      </c>
      <c r="E139" s="27">
        <f t="shared" si="125"/>
        <v>-1.7572446584188413</v>
      </c>
      <c r="F139" s="27">
        <f t="shared" si="126"/>
        <v>-4.2219020336524835</v>
      </c>
      <c r="L139" t="str">
        <f t="shared" si="127"/>
        <v>71 Sales occupations</v>
      </c>
      <c r="M139" s="27">
        <f t="shared" si="128"/>
        <v>-0.72360475246281197</v>
      </c>
      <c r="N139" s="27">
        <f t="shared" si="128"/>
        <v>-0.11795764014116905</v>
      </c>
      <c r="O139" s="27">
        <f t="shared" si="128"/>
        <v>-0.87495774934167514</v>
      </c>
      <c r="P139" s="27">
        <f t="shared" si="128"/>
        <v>-0.55982438349916208</v>
      </c>
      <c r="Q139" s="27">
        <f t="shared" si="129"/>
        <v>-1.4347821328408372</v>
      </c>
      <c r="W139" t="str">
        <f t="shared" si="130"/>
        <v>71 Sales occupations</v>
      </c>
      <c r="X139" s="27">
        <f t="shared" si="131"/>
        <v>-2.7639399318519011</v>
      </c>
      <c r="Y139" s="27">
        <f t="shared" si="131"/>
        <v>-0.42649004864780693</v>
      </c>
      <c r="Z139" s="27">
        <f t="shared" si="131"/>
        <v>-1.5896996258919671</v>
      </c>
      <c r="AA139" s="27">
        <f t="shared" si="131"/>
        <v>-1.1974202749196561</v>
      </c>
      <c r="AB139" s="27">
        <f t="shared" si="132"/>
        <v>-2.7871199008116232</v>
      </c>
    </row>
    <row r="140" spans="1:28" x14ac:dyDescent="0.25">
      <c r="A140" t="str">
        <f t="shared" si="124"/>
        <v>72 Customer service occupations</v>
      </c>
      <c r="B140" s="27">
        <f t="shared" si="125"/>
        <v>-0.24068892588858226</v>
      </c>
      <c r="C140" s="27">
        <f t="shared" si="125"/>
        <v>0.26982904413141284</v>
      </c>
      <c r="D140" s="27">
        <f t="shared" si="125"/>
        <v>2.6682170773808593</v>
      </c>
      <c r="E140" s="27">
        <f t="shared" si="125"/>
        <v>1.654929127410492</v>
      </c>
      <c r="F140" s="27">
        <f t="shared" si="126"/>
        <v>4.3231462047913514</v>
      </c>
      <c r="L140" t="str">
        <f t="shared" si="127"/>
        <v>72 Customer service occupations</v>
      </c>
      <c r="M140" s="27">
        <f t="shared" si="128"/>
        <v>-0.70804104761483044</v>
      </c>
      <c r="N140" s="27">
        <f t="shared" si="128"/>
        <v>0.52172023650025112</v>
      </c>
      <c r="O140" s="27">
        <f t="shared" si="128"/>
        <v>1.4990116353554774</v>
      </c>
      <c r="P140" s="27">
        <f t="shared" si="128"/>
        <v>0.85456694434631686</v>
      </c>
      <c r="Q140" s="27">
        <f t="shared" si="129"/>
        <v>2.3535785797017943</v>
      </c>
      <c r="W140" t="str">
        <f t="shared" si="130"/>
        <v>72 Customer service occupations</v>
      </c>
      <c r="X140" s="27">
        <f t="shared" si="131"/>
        <v>0.46735212172626106</v>
      </c>
      <c r="Y140" s="27">
        <f t="shared" si="131"/>
        <v>-0.25189119236883961</v>
      </c>
      <c r="Z140" s="27">
        <f t="shared" si="131"/>
        <v>1.1692054420254028</v>
      </c>
      <c r="AA140" s="27">
        <f t="shared" si="131"/>
        <v>0.80036218306416806</v>
      </c>
      <c r="AB140" s="27">
        <f t="shared" si="132"/>
        <v>1.9695676250895708</v>
      </c>
    </row>
    <row r="141" spans="1:28" x14ac:dyDescent="0.25">
      <c r="A141" t="str">
        <f t="shared" si="124"/>
        <v>81 Process, plant and machine operatives</v>
      </c>
      <c r="B141" s="27">
        <f t="shared" si="125"/>
        <v>-1.2806228034954472</v>
      </c>
      <c r="C141" s="27">
        <f t="shared" si="125"/>
        <v>-3.4208001144243703</v>
      </c>
      <c r="D141" s="27">
        <f t="shared" si="125"/>
        <v>3.6268430213694636</v>
      </c>
      <c r="E141" s="27">
        <f t="shared" si="125"/>
        <v>-0.63007652122913882</v>
      </c>
      <c r="F141" s="27">
        <f t="shared" si="126"/>
        <v>2.9967665001403248</v>
      </c>
      <c r="L141" t="str">
        <f t="shared" si="127"/>
        <v>81 Process, plant and machine operatives</v>
      </c>
      <c r="M141" s="27">
        <f t="shared" si="128"/>
        <v>-1.4937625672057706</v>
      </c>
      <c r="N141" s="27">
        <f t="shared" si="128"/>
        <v>-2.7814411434609205</v>
      </c>
      <c r="O141" s="27">
        <f t="shared" si="128"/>
        <v>2.5581568502079222</v>
      </c>
      <c r="P141" s="27">
        <f t="shared" si="128"/>
        <v>-0.77972178057685682</v>
      </c>
      <c r="Q141" s="27">
        <f t="shared" si="129"/>
        <v>1.7784350696310653</v>
      </c>
      <c r="W141" t="str">
        <f t="shared" si="130"/>
        <v>81 Process, plant and machine operatives</v>
      </c>
      <c r="X141" s="27">
        <f t="shared" si="131"/>
        <v>0.2131397637103376</v>
      </c>
      <c r="Y141" s="27">
        <f t="shared" si="131"/>
        <v>-0.63935897096349326</v>
      </c>
      <c r="Z141" s="27">
        <f t="shared" si="131"/>
        <v>1.0686861711615609</v>
      </c>
      <c r="AA141" s="27">
        <f t="shared" si="131"/>
        <v>0.14964525934773221</v>
      </c>
      <c r="AB141" s="27">
        <f t="shared" si="132"/>
        <v>1.2183314305092932</v>
      </c>
    </row>
    <row r="142" spans="1:28" x14ac:dyDescent="0.25">
      <c r="A142" t="str">
        <f t="shared" si="124"/>
        <v>82 Transport and mobile machine drivers and operatives</v>
      </c>
      <c r="B142" s="27">
        <f t="shared" si="125"/>
        <v>0.71240758941423721</v>
      </c>
      <c r="C142" s="27">
        <f t="shared" si="125"/>
        <v>-2.8839134319899955</v>
      </c>
      <c r="D142" s="27">
        <f t="shared" si="125"/>
        <v>1.8954007635550738</v>
      </c>
      <c r="E142" s="27">
        <f t="shared" si="125"/>
        <v>0.30699831246132803</v>
      </c>
      <c r="F142" s="27">
        <f t="shared" si="126"/>
        <v>2.2023990760164018</v>
      </c>
      <c r="L142" t="str">
        <f t="shared" si="127"/>
        <v>82 Transport and mobile machine drivers and operatives</v>
      </c>
      <c r="M142" s="27">
        <f t="shared" si="128"/>
        <v>0.65055306345594843</v>
      </c>
      <c r="N142" s="27">
        <f t="shared" si="128"/>
        <v>-2.7052437859659442</v>
      </c>
      <c r="O142" s="27">
        <f t="shared" si="128"/>
        <v>1.3750634840802611</v>
      </c>
      <c r="P142" s="27">
        <f t="shared" si="128"/>
        <v>7.5701164142063959E-2</v>
      </c>
      <c r="Q142" s="27">
        <f t="shared" si="129"/>
        <v>1.4507646482223251</v>
      </c>
      <c r="W142" t="str">
        <f t="shared" si="130"/>
        <v>82 Transport and mobile machine drivers and operatives</v>
      </c>
      <c r="X142" s="27">
        <f t="shared" si="131"/>
        <v>6.1854525958303208E-2</v>
      </c>
      <c r="Y142" s="27">
        <f t="shared" si="131"/>
        <v>-0.17866964602407642</v>
      </c>
      <c r="Z142" s="27">
        <f t="shared" si="131"/>
        <v>0.52033727947480801</v>
      </c>
      <c r="AA142" s="27">
        <f t="shared" si="131"/>
        <v>0.23129714831925741</v>
      </c>
      <c r="AB142" s="27">
        <f t="shared" si="132"/>
        <v>0.75163442779406542</v>
      </c>
    </row>
    <row r="143" spans="1:28" x14ac:dyDescent="0.25">
      <c r="A143" t="str">
        <f t="shared" si="124"/>
        <v>91 Elementary trades and related occupations</v>
      </c>
      <c r="B143" s="27">
        <f t="shared" si="125"/>
        <v>-1.6554030260731096</v>
      </c>
      <c r="C143" s="27">
        <f t="shared" si="125"/>
        <v>-1.1891569560347985</v>
      </c>
      <c r="D143" s="27">
        <f t="shared" si="125"/>
        <v>-1.3240707592809953</v>
      </c>
      <c r="E143" s="27">
        <f t="shared" si="125"/>
        <v>-0.45407367138194132</v>
      </c>
      <c r="F143" s="27">
        <f t="shared" si="126"/>
        <v>-1.7781444306629366</v>
      </c>
      <c r="L143" t="str">
        <f t="shared" si="127"/>
        <v>91 Elementary trades and related occupations</v>
      </c>
      <c r="M143" s="27">
        <f t="shared" si="128"/>
        <v>-1.2313296656435586</v>
      </c>
      <c r="N143" s="27">
        <f t="shared" si="128"/>
        <v>-0.69805122584903234</v>
      </c>
      <c r="O143" s="27">
        <f t="shared" si="128"/>
        <v>-1.0641569028956939</v>
      </c>
      <c r="P143" s="27">
        <f t="shared" si="128"/>
        <v>-0.36793845136184888</v>
      </c>
      <c r="Q143" s="27">
        <f t="shared" si="129"/>
        <v>-1.4320953542575428</v>
      </c>
      <c r="W143" t="str">
        <f t="shared" si="130"/>
        <v>91 Elementary trades and related occupations</v>
      </c>
      <c r="X143" s="27">
        <f t="shared" si="131"/>
        <v>-0.42407336042955057</v>
      </c>
      <c r="Y143" s="27">
        <f t="shared" si="131"/>
        <v>-0.49110573018577708</v>
      </c>
      <c r="Z143" s="27">
        <f t="shared" si="131"/>
        <v>-0.25991385638527675</v>
      </c>
      <c r="AA143" s="27">
        <f t="shared" si="131"/>
        <v>-8.6135220020095327E-2</v>
      </c>
      <c r="AB143" s="27">
        <f t="shared" si="132"/>
        <v>-0.34604907640537208</v>
      </c>
    </row>
    <row r="144" spans="1:28" x14ac:dyDescent="0.25">
      <c r="A144" t="str">
        <f t="shared" si="124"/>
        <v>92 Elementary administration and service occupations</v>
      </c>
      <c r="B144" s="27">
        <f t="shared" si="125"/>
        <v>-3.7055840809137024</v>
      </c>
      <c r="C144" s="27">
        <f t="shared" si="125"/>
        <v>-4.0330403448163423</v>
      </c>
      <c r="D144" s="27">
        <f t="shared" si="125"/>
        <v>0.40753703336505254</v>
      </c>
      <c r="E144" s="27">
        <f t="shared" si="125"/>
        <v>-2.8914252382668622</v>
      </c>
      <c r="F144" s="27">
        <f t="shared" si="126"/>
        <v>-2.4838882049018096</v>
      </c>
      <c r="L144" t="str">
        <f t="shared" si="127"/>
        <v>92 Elementary administration and service occupations</v>
      </c>
      <c r="M144" s="27">
        <f t="shared" si="128"/>
        <v>-3.6565665761607953</v>
      </c>
      <c r="N144" s="27">
        <f t="shared" si="128"/>
        <v>-1.0982581437561798</v>
      </c>
      <c r="O144" s="27">
        <f t="shared" si="128"/>
        <v>1.2877282253402029</v>
      </c>
      <c r="P144" s="27">
        <f t="shared" si="128"/>
        <v>-1.3092864565988087</v>
      </c>
      <c r="Q144" s="27">
        <f t="shared" si="129"/>
        <v>-2.1558231258605787E-2</v>
      </c>
      <c r="W144" t="str">
        <f t="shared" si="130"/>
        <v>92 Elementary administration and service occupations</v>
      </c>
      <c r="X144" s="27">
        <f t="shared" si="131"/>
        <v>-4.9017504752885799E-2</v>
      </c>
      <c r="Y144" s="27">
        <f t="shared" si="131"/>
        <v>-2.9347822010601838</v>
      </c>
      <c r="Z144" s="27">
        <f t="shared" si="131"/>
        <v>-0.88019119197513973</v>
      </c>
      <c r="AA144" s="27">
        <f t="shared" si="131"/>
        <v>-1.5821387816680179</v>
      </c>
      <c r="AB144" s="27">
        <f t="shared" si="132"/>
        <v>-2.4623299736431576</v>
      </c>
    </row>
    <row r="145" spans="1:31" x14ac:dyDescent="0.25">
      <c r="C145" s="27"/>
      <c r="F145" s="27"/>
      <c r="N145" s="27"/>
      <c r="Q145" s="27"/>
      <c r="Y145" s="27"/>
      <c r="AB145" s="27"/>
    </row>
    <row r="146" spans="1:31" x14ac:dyDescent="0.25">
      <c r="A146" s="24" t="str">
        <f>A35</f>
        <v>All occupations</v>
      </c>
      <c r="B146" s="29">
        <f>C35-B35</f>
        <v>4.3689999999996871</v>
      </c>
      <c r="C146" s="29">
        <f t="shared" ref="C146" si="133">D35-C35</f>
        <v>-13.736999999999682</v>
      </c>
      <c r="D146" s="29">
        <f>E35-D35</f>
        <v>11.933999999999628</v>
      </c>
      <c r="E146" s="29">
        <f>F35-E35</f>
        <v>13.815999999999917</v>
      </c>
      <c r="F146" s="29">
        <f t="shared" ref="F146" si="134">F35-D35</f>
        <v>25.749999999999545</v>
      </c>
      <c r="L146" s="24" t="str">
        <f>L35</f>
        <v>All occupations</v>
      </c>
      <c r="M146" s="29">
        <f>N35-M35</f>
        <v>-2.571270079164492</v>
      </c>
      <c r="N146" s="29">
        <f t="shared" ref="N146" si="135">O35-N35</f>
        <v>-10.802327991900427</v>
      </c>
      <c r="O146" s="29">
        <f>P35-O35</f>
        <v>4.7755620650315223</v>
      </c>
      <c r="P146" s="29">
        <f>Q35-P35</f>
        <v>3.5695015380568407</v>
      </c>
      <c r="Q146" s="29">
        <f t="shared" ref="Q146" si="136">Q35-O35</f>
        <v>8.3450636030883629</v>
      </c>
      <c r="W146" s="24" t="str">
        <f>W35</f>
        <v>All occupations</v>
      </c>
      <c r="X146" s="29">
        <f>Y35-X35</f>
        <v>6.9402700791644065</v>
      </c>
      <c r="Y146" s="29">
        <f t="shared" ref="Y146" si="137">Z35-Y35</f>
        <v>-2.9346720080994544</v>
      </c>
      <c r="Z146" s="29">
        <f>AA35-Z35</f>
        <v>7.1584379349681626</v>
      </c>
      <c r="AA146" s="29">
        <f>AB35-AA35</f>
        <v>10.246498461943162</v>
      </c>
      <c r="AB146" s="29">
        <f t="shared" ref="AB146" si="138">AB35-Z35</f>
        <v>17.404936396911324</v>
      </c>
    </row>
    <row r="150" spans="1:31" ht="13" x14ac:dyDescent="0.3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ht="13" x14ac:dyDescent="0.3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29.880785800881412</v>
      </c>
      <c r="C153" s="11">
        <f t="shared" ref="C153:F153" si="143">C8</f>
        <v>33.670781149647787</v>
      </c>
      <c r="D153" s="11">
        <f t="shared" si="143"/>
        <v>34.458283214558655</v>
      </c>
      <c r="E153" s="11">
        <f t="shared" si="143"/>
        <v>32.22615843098864</v>
      </c>
      <c r="F153" s="11">
        <f t="shared" si="143"/>
        <v>35.408151196311948</v>
      </c>
      <c r="H153" s="40">
        <f>IF(D$151-B$151 &lt;&gt; 0,(EXP(LN(D153/B153)/(D$151-B$151))-1)*100,0)</f>
        <v>2.8916956355351076</v>
      </c>
      <c r="I153" s="40">
        <f>IF(F$151-D$151 &lt;&gt; 0,(EXP(LN(F153/D153)/(F$151-D$151))-1)*100,0)</f>
        <v>0.18144870741847452</v>
      </c>
      <c r="L153" s="10" t="str">
        <f>L8</f>
        <v>11 Corporate managers and directors</v>
      </c>
      <c r="M153" s="11">
        <f>M8</f>
        <v>21.454658057601161</v>
      </c>
      <c r="N153" s="11">
        <f t="shared" ref="N153:Q153" si="144">N8</f>
        <v>23.253971641556284</v>
      </c>
      <c r="O153" s="11">
        <f t="shared" si="144"/>
        <v>23.541090375319467</v>
      </c>
      <c r="P153" s="11">
        <f t="shared" si="144"/>
        <v>21.302033120243895</v>
      </c>
      <c r="Q153" s="11">
        <f t="shared" si="144"/>
        <v>22.470989594333808</v>
      </c>
      <c r="S153" s="40">
        <f>IF(O$151-M$151 &lt;&gt; 0,(EXP(LN(O153/M153)/(O$151-M$151))-1)*100,0)</f>
        <v>1.873445650800809</v>
      </c>
      <c r="T153" s="40">
        <f>IF(Q$151-O$151 &lt;&gt; 0,(EXP(LN(Q153/O153)/(Q$151-O$151))-1)*100,0)</f>
        <v>-0.3096681689573666</v>
      </c>
      <c r="W153" s="10" t="str">
        <f>W8</f>
        <v>11 Corporate managers and directors</v>
      </c>
      <c r="X153" s="11">
        <f>X8</f>
        <v>8.4261277432802597</v>
      </c>
      <c r="Y153" s="11">
        <f t="shared" ref="Y153:AB153" si="145">Y8</f>
        <v>10.416809508091498</v>
      </c>
      <c r="Z153" s="11">
        <f t="shared" si="145"/>
        <v>10.917192839239181</v>
      </c>
      <c r="AA153" s="11">
        <f t="shared" si="145"/>
        <v>10.92412531074471</v>
      </c>
      <c r="AB153" s="11">
        <f t="shared" si="145"/>
        <v>12.937161601978143</v>
      </c>
      <c r="AD153" s="40">
        <f>IF(Z$151-X$151 &lt;&gt; 0,(EXP(LN(Z153/X153)/(Z$151-X$151))-1)*100,0)</f>
        <v>5.3165414325864191</v>
      </c>
      <c r="AE153" s="40">
        <f>IF(AB$151-Z$151 &lt;&gt; 0,(EXP(LN(AB153/Z153)/(AB$151-Z$151))-1)*100,0)</f>
        <v>1.1381956656337788</v>
      </c>
    </row>
    <row r="154" spans="1:31" x14ac:dyDescent="0.25">
      <c r="A154" s="10" t="str">
        <f t="shared" si="142"/>
        <v>12 Other managers and proprietors</v>
      </c>
      <c r="B154" s="11">
        <f t="shared" si="142"/>
        <v>12.511934815118927</v>
      </c>
      <c r="C154" s="11">
        <f t="shared" ref="C154:F178" si="146">C9</f>
        <v>12.674366859929494</v>
      </c>
      <c r="D154" s="11">
        <f t="shared" si="146"/>
        <v>13.203950057125674</v>
      </c>
      <c r="E154" s="11">
        <f t="shared" si="146"/>
        <v>16.398688936426073</v>
      </c>
      <c r="F154" s="11">
        <f t="shared" si="146"/>
        <v>18.931739103093843</v>
      </c>
      <c r="H154" s="40">
        <f t="shared" ref="H154:H177" si="147">IF(D$151-B$151 &lt;&gt; 0,(EXP(LN(D154/B154)/(D$151-B$151))-1)*100,0)</f>
        <v>1.0824780049382143</v>
      </c>
      <c r="I154" s="40">
        <f t="shared" ref="I154:I180" si="148">IF(F$151-D$151 &lt;&gt; 0,(EXP(LN(F154/D154)/(F$151-D$151))-1)*100,0)</f>
        <v>2.4312429117910428</v>
      </c>
      <c r="L154" s="10" t="str">
        <f t="shared" ref="L154:Q154" si="149">L9</f>
        <v>12 Other managers and proprietors</v>
      </c>
      <c r="M154" s="11">
        <f t="shared" si="149"/>
        <v>7.5795667609880066</v>
      </c>
      <c r="N154" s="11">
        <f t="shared" si="149"/>
        <v>7.7941322022029595</v>
      </c>
      <c r="O154" s="11">
        <f t="shared" si="149"/>
        <v>7.4006914203220431</v>
      </c>
      <c r="P154" s="11">
        <f t="shared" si="149"/>
        <v>9.5049067880005289</v>
      </c>
      <c r="Q154" s="11">
        <f t="shared" si="149"/>
        <v>10.791586381605722</v>
      </c>
      <c r="S154" s="40">
        <f t="shared" ref="S154:S177" si="150">IF(O$151-M$151 &lt;&gt; 0,(EXP(LN(O154/M154)/(O$151-M$151))-1)*100,0)</f>
        <v>-0.4765132849467113</v>
      </c>
      <c r="T154" s="40">
        <f t="shared" ref="T154:T177" si="151">IF(Q$151-O$151 &lt;&gt; 0,(EXP(LN(Q154/O154)/(Q$151-O$151))-1)*100,0)</f>
        <v>2.5465057216306208</v>
      </c>
      <c r="W154" s="10" t="str">
        <f t="shared" ref="W154:AB154" si="152">W9</f>
        <v>12 Other managers and proprietors</v>
      </c>
      <c r="X154" s="11">
        <f t="shared" si="152"/>
        <v>4.9323680541309232</v>
      </c>
      <c r="Y154" s="11">
        <f t="shared" si="152"/>
        <v>4.8802346577265379</v>
      </c>
      <c r="Z154" s="11">
        <f t="shared" si="152"/>
        <v>5.8032586368036325</v>
      </c>
      <c r="AA154" s="11">
        <f t="shared" si="152"/>
        <v>6.8937821484255268</v>
      </c>
      <c r="AB154" s="11">
        <f t="shared" si="152"/>
        <v>8.1401527214881035</v>
      </c>
      <c r="AD154" s="40">
        <f t="shared" ref="AD154:AD177" si="153">IF(Z$151-X$151 &lt;&gt; 0,(EXP(LN(Z154/X154)/(Z$151-X$151))-1)*100,0)</f>
        <v>3.3054633668793576</v>
      </c>
      <c r="AE154" s="40">
        <f t="shared" ref="AE154:AE177" si="154">IF(AB$151-Z$151 &lt;&gt; 0,(EXP(LN(AB154/Z154)/(AB$151-Z$151))-1)*100,0)</f>
        <v>2.2815674970200428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23.692567314037618</v>
      </c>
      <c r="C155" s="11">
        <f t="shared" si="146"/>
        <v>25.522442469208741</v>
      </c>
      <c r="D155" s="11">
        <f t="shared" si="146"/>
        <v>26.685661715036868</v>
      </c>
      <c r="E155" s="11">
        <f t="shared" si="146"/>
        <v>27.673922841497888</v>
      </c>
      <c r="F155" s="11">
        <f t="shared" si="146"/>
        <v>30.275163891514985</v>
      </c>
      <c r="H155" s="40">
        <f t="shared" si="147"/>
        <v>2.4078316496529473</v>
      </c>
      <c r="I155" s="40">
        <f t="shared" si="148"/>
        <v>0.84489120237103421</v>
      </c>
      <c r="L155" s="10" t="str">
        <f t="shared" ref="L155:Q155" si="155">L10</f>
        <v>21 Science, research, engineering and technology professionals</v>
      </c>
      <c r="M155" s="11">
        <f t="shared" si="155"/>
        <v>19.986025304537044</v>
      </c>
      <c r="N155" s="11">
        <f t="shared" si="155"/>
        <v>21.615322305784467</v>
      </c>
      <c r="O155" s="11">
        <f t="shared" si="155"/>
        <v>21.818472432371127</v>
      </c>
      <c r="P155" s="11">
        <f t="shared" si="155"/>
        <v>21.991818483000788</v>
      </c>
      <c r="Q155" s="11">
        <f t="shared" si="155"/>
        <v>23.341384241157424</v>
      </c>
      <c r="S155" s="40">
        <f t="shared" si="150"/>
        <v>1.7699548068280668</v>
      </c>
      <c r="T155" s="40">
        <f t="shared" si="151"/>
        <v>0.45081956425274683</v>
      </c>
      <c r="W155" s="10" t="str">
        <f t="shared" ref="W155:AB155" si="156">W10</f>
        <v>21 Science, research, engineering and technology professionals</v>
      </c>
      <c r="X155" s="11">
        <f t="shared" si="156"/>
        <v>3.7065420095005166</v>
      </c>
      <c r="Y155" s="11">
        <f t="shared" si="156"/>
        <v>3.9071201634243025</v>
      </c>
      <c r="Z155" s="11">
        <f t="shared" si="156"/>
        <v>4.8671892826657777</v>
      </c>
      <c r="AA155" s="11">
        <f t="shared" si="156"/>
        <v>5.6821043584970905</v>
      </c>
      <c r="AB155" s="11">
        <f t="shared" si="156"/>
        <v>6.9337796503575548</v>
      </c>
      <c r="AD155" s="40">
        <f t="shared" si="153"/>
        <v>5.5994999989336547</v>
      </c>
      <c r="AE155" s="40">
        <f t="shared" si="154"/>
        <v>2.3873069293078197</v>
      </c>
    </row>
    <row r="156" spans="1:31" x14ac:dyDescent="0.25">
      <c r="A156" s="10" t="str">
        <f t="shared" si="142"/>
        <v>22 Health professionals</v>
      </c>
      <c r="B156" s="11">
        <f t="shared" si="142"/>
        <v>21.674771905892207</v>
      </c>
      <c r="C156" s="11">
        <f t="shared" si="146"/>
        <v>27.315802663195473</v>
      </c>
      <c r="D156" s="11">
        <f t="shared" si="146"/>
        <v>26.829030859021046</v>
      </c>
      <c r="E156" s="11">
        <f t="shared" si="146"/>
        <v>29.254758568518618</v>
      </c>
      <c r="F156" s="11">
        <f t="shared" si="146"/>
        <v>32.15203505660476</v>
      </c>
      <c r="H156" s="40">
        <f t="shared" si="147"/>
        <v>4.359043474068125</v>
      </c>
      <c r="I156" s="40">
        <f t="shared" si="148"/>
        <v>1.2139169166406338</v>
      </c>
      <c r="L156" s="10" t="str">
        <f t="shared" ref="L156:Q156" si="157">L11</f>
        <v>22 Health professionals</v>
      </c>
      <c r="M156" s="11">
        <f t="shared" si="157"/>
        <v>5.0825544000815421</v>
      </c>
      <c r="N156" s="11">
        <f t="shared" si="157"/>
        <v>6.4601621724174212</v>
      </c>
      <c r="O156" s="11">
        <f t="shared" si="157"/>
        <v>6.7901368676653817</v>
      </c>
      <c r="P156" s="11">
        <f t="shared" si="157"/>
        <v>7.2811556799546642</v>
      </c>
      <c r="Q156" s="11">
        <f t="shared" si="157"/>
        <v>7.8635435431675589</v>
      </c>
      <c r="S156" s="40">
        <f t="shared" si="150"/>
        <v>5.9642329037660868</v>
      </c>
      <c r="T156" s="40">
        <f t="shared" si="151"/>
        <v>0.98324398116860223</v>
      </c>
      <c r="W156" s="10" t="str">
        <f t="shared" ref="W156:AB156" si="158">W11</f>
        <v>22 Health professionals</v>
      </c>
      <c r="X156" s="11">
        <f t="shared" si="158"/>
        <v>16.592217505810645</v>
      </c>
      <c r="Y156" s="11">
        <f t="shared" si="158"/>
        <v>20.85564049077805</v>
      </c>
      <c r="Z156" s="11">
        <f t="shared" si="158"/>
        <v>20.038893991355664</v>
      </c>
      <c r="AA156" s="11">
        <f t="shared" si="158"/>
        <v>21.973602888563928</v>
      </c>
      <c r="AB156" s="11">
        <f t="shared" si="158"/>
        <v>24.288491513437172</v>
      </c>
      <c r="AD156" s="40">
        <f t="shared" si="153"/>
        <v>3.8469780607445658</v>
      </c>
      <c r="AE156" s="40">
        <f t="shared" si="154"/>
        <v>1.2904389080215184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19.540374765671238</v>
      </c>
      <c r="C157" s="11">
        <f t="shared" si="146"/>
        <v>20.765597855160525</v>
      </c>
      <c r="D157" s="11">
        <f t="shared" si="146"/>
        <v>21.982938940498279</v>
      </c>
      <c r="E157" s="11">
        <f t="shared" si="146"/>
        <v>23.36668850989928</v>
      </c>
      <c r="F157" s="11">
        <f t="shared" si="146"/>
        <v>26.048744205571939</v>
      </c>
      <c r="H157" s="40">
        <f t="shared" si="147"/>
        <v>2.3836416957406126</v>
      </c>
      <c r="I157" s="40">
        <f t="shared" si="148"/>
        <v>1.1377767326286925</v>
      </c>
      <c r="L157" s="10" t="str">
        <f t="shared" ref="L157:Q157" si="159">L12</f>
        <v>23 Teaching and other educational professionals</v>
      </c>
      <c r="M157" s="11">
        <f t="shared" si="159"/>
        <v>6.572340056959777</v>
      </c>
      <c r="N157" s="11">
        <f t="shared" si="159"/>
        <v>6.6366702822230037</v>
      </c>
      <c r="O157" s="11">
        <f t="shared" si="159"/>
        <v>7.1657801652128423</v>
      </c>
      <c r="P157" s="11">
        <f t="shared" si="159"/>
        <v>7.7131226646131825</v>
      </c>
      <c r="Q157" s="11">
        <f t="shared" si="159"/>
        <v>8.3118035521619635</v>
      </c>
      <c r="S157" s="40">
        <f t="shared" si="150"/>
        <v>1.7439726535976918</v>
      </c>
      <c r="T157" s="40">
        <f t="shared" si="151"/>
        <v>0.99397193119137306</v>
      </c>
      <c r="W157" s="10" t="str">
        <f t="shared" ref="W157:AB157" si="160">W12</f>
        <v>23 Teaching and other educational professionals</v>
      </c>
      <c r="X157" s="11">
        <f t="shared" si="160"/>
        <v>12.968034708711484</v>
      </c>
      <c r="Y157" s="11">
        <f t="shared" si="160"/>
        <v>14.128927572937537</v>
      </c>
      <c r="Z157" s="11">
        <f t="shared" si="160"/>
        <v>14.817158775285453</v>
      </c>
      <c r="AA157" s="11">
        <f t="shared" si="160"/>
        <v>15.653565845286101</v>
      </c>
      <c r="AB157" s="11">
        <f t="shared" si="160"/>
        <v>17.736940653409981</v>
      </c>
      <c r="AD157" s="40">
        <f t="shared" si="153"/>
        <v>2.7018233575176964</v>
      </c>
      <c r="AE157" s="40">
        <f t="shared" si="154"/>
        <v>1.206308723957128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22.80619365915933</v>
      </c>
      <c r="C158" s="11">
        <f t="shared" si="146"/>
        <v>25.456333561960083</v>
      </c>
      <c r="D158" s="11">
        <f t="shared" si="146"/>
        <v>27.886221209663034</v>
      </c>
      <c r="E158" s="11">
        <f t="shared" si="146"/>
        <v>31.080990691346837</v>
      </c>
      <c r="F158" s="11">
        <f t="shared" si="146"/>
        <v>35.208060016251721</v>
      </c>
      <c r="H158" s="40">
        <f t="shared" si="147"/>
        <v>4.1039892807151146</v>
      </c>
      <c r="I158" s="40">
        <f t="shared" si="148"/>
        <v>1.5664239951518555</v>
      </c>
      <c r="L158" s="10" t="str">
        <f t="shared" ref="L158:Q158" si="161">L13</f>
        <v>24 Business, media and public service professionals</v>
      </c>
      <c r="M158" s="11">
        <f t="shared" si="161"/>
        <v>13.893541405818603</v>
      </c>
      <c r="N158" s="11">
        <f t="shared" si="161"/>
        <v>14.748466692046147</v>
      </c>
      <c r="O158" s="11">
        <f t="shared" si="161"/>
        <v>16.146207267011317</v>
      </c>
      <c r="P158" s="11">
        <f t="shared" si="161"/>
        <v>18.067465966079027</v>
      </c>
      <c r="Q158" s="11">
        <f t="shared" si="161"/>
        <v>19.741649303463671</v>
      </c>
      <c r="S158" s="40">
        <f t="shared" si="150"/>
        <v>3.0508344220503636</v>
      </c>
      <c r="T158" s="40">
        <f t="shared" si="151"/>
        <v>1.3493250130477419</v>
      </c>
      <c r="W158" s="10" t="str">
        <f t="shared" ref="W158:AB158" si="162">W13</f>
        <v>24 Business, media and public service professionals</v>
      </c>
      <c r="X158" s="11">
        <f t="shared" si="162"/>
        <v>8.9126522533407133</v>
      </c>
      <c r="Y158" s="11">
        <f t="shared" si="162"/>
        <v>10.707866869913961</v>
      </c>
      <c r="Z158" s="11">
        <f t="shared" si="162"/>
        <v>11.740013942651709</v>
      </c>
      <c r="AA158" s="11">
        <f t="shared" si="162"/>
        <v>13.013524725267844</v>
      </c>
      <c r="AB158" s="11">
        <f t="shared" si="162"/>
        <v>15.466410712788081</v>
      </c>
      <c r="AD158" s="40">
        <f t="shared" si="153"/>
        <v>5.6652853417489268</v>
      </c>
      <c r="AE158" s="40">
        <f t="shared" si="154"/>
        <v>1.8547753111390897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7.6396337675645318</v>
      </c>
      <c r="C159" s="11">
        <f t="shared" si="146"/>
        <v>8.0778177441015497</v>
      </c>
      <c r="D159" s="11">
        <f t="shared" si="146"/>
        <v>8.7583830870047237</v>
      </c>
      <c r="E159" s="11">
        <f t="shared" si="146"/>
        <v>7.5158864549179052</v>
      </c>
      <c r="F159" s="11">
        <f t="shared" si="146"/>
        <v>7.7929826577159558</v>
      </c>
      <c r="H159" s="40">
        <f t="shared" si="147"/>
        <v>2.7709283196662549</v>
      </c>
      <c r="I159" s="40">
        <f t="shared" si="148"/>
        <v>-0.77556114572724377</v>
      </c>
      <c r="L159" s="10" t="str">
        <f t="shared" ref="L159:Q159" si="163">L14</f>
        <v>31 Science, engineering and technology associate professionals</v>
      </c>
      <c r="M159" s="11">
        <f t="shared" si="163"/>
        <v>5.9852648662886372</v>
      </c>
      <c r="N159" s="11">
        <f t="shared" si="163"/>
        <v>6.4562749389300169</v>
      </c>
      <c r="O159" s="11">
        <f t="shared" si="163"/>
        <v>6.7520478139256888</v>
      </c>
      <c r="P159" s="11">
        <f t="shared" si="163"/>
        <v>5.4743781135919312</v>
      </c>
      <c r="Q159" s="11">
        <f t="shared" si="163"/>
        <v>5.4201932230587637</v>
      </c>
      <c r="S159" s="40">
        <f t="shared" si="150"/>
        <v>2.4402021952278474</v>
      </c>
      <c r="T159" s="40">
        <f t="shared" si="151"/>
        <v>-1.4540870337219292</v>
      </c>
      <c r="W159" s="10" t="str">
        <f t="shared" ref="W159:AB159" si="164">W14</f>
        <v>31 Science, engineering and technology associate professionals</v>
      </c>
      <c r="X159" s="11">
        <f t="shared" si="164"/>
        <v>1.6543689012758924</v>
      </c>
      <c r="Y159" s="11">
        <f t="shared" si="164"/>
        <v>1.6215428051715401</v>
      </c>
      <c r="Z159" s="11">
        <f t="shared" si="164"/>
        <v>2.0063352730790425</v>
      </c>
      <c r="AA159" s="11">
        <f t="shared" si="164"/>
        <v>2.0415083413259714</v>
      </c>
      <c r="AB159" s="11">
        <f t="shared" si="164"/>
        <v>2.3727894346571912</v>
      </c>
      <c r="AD159" s="40">
        <f t="shared" si="153"/>
        <v>3.933183530178086</v>
      </c>
      <c r="AE159" s="40">
        <f t="shared" si="154"/>
        <v>1.1246533989362151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9.0328897579836394</v>
      </c>
      <c r="C160" s="11">
        <f t="shared" si="146"/>
        <v>10.956729770428341</v>
      </c>
      <c r="D160" s="11">
        <f t="shared" si="146"/>
        <v>11.033633555444206</v>
      </c>
      <c r="E160" s="11">
        <f t="shared" si="146"/>
        <v>11.362405938440382</v>
      </c>
      <c r="F160" s="11">
        <f t="shared" si="146"/>
        <v>12.588267509691507</v>
      </c>
      <c r="H160" s="40">
        <f t="shared" si="147"/>
        <v>4.0826567591197849</v>
      </c>
      <c r="I160" s="40">
        <f t="shared" si="148"/>
        <v>0.88265278414836335</v>
      </c>
      <c r="L160" s="10" t="str">
        <f t="shared" ref="L160:Q160" si="165">L15</f>
        <v>32 Health and social care associate professionals</v>
      </c>
      <c r="M160" s="11">
        <f t="shared" si="165"/>
        <v>2.0898092470984437</v>
      </c>
      <c r="N160" s="11">
        <f t="shared" si="165"/>
        <v>2.3358003727577183</v>
      </c>
      <c r="O160" s="11">
        <f t="shared" si="165"/>
        <v>2.4664319309430569</v>
      </c>
      <c r="P160" s="11">
        <f t="shared" si="165"/>
        <v>2.3229064601194973</v>
      </c>
      <c r="Q160" s="11">
        <f t="shared" si="165"/>
        <v>2.4461537245581995</v>
      </c>
      <c r="S160" s="40">
        <f t="shared" si="150"/>
        <v>3.3695195051152371</v>
      </c>
      <c r="T160" s="40">
        <f>IF(Q$151-O$151 &lt;&gt; 0,(EXP(LN(Q160/O160)/(Q$151-O$151))-1)*100,0)</f>
        <v>-5.5022598792098254E-2</v>
      </c>
      <c r="W160" s="10" t="str">
        <f t="shared" ref="W160:AB160" si="166">W15</f>
        <v>32 Health and social care associate professionals</v>
      </c>
      <c r="X160" s="11">
        <f t="shared" si="166"/>
        <v>6.9430805108852152</v>
      </c>
      <c r="Y160" s="11">
        <f t="shared" si="166"/>
        <v>8.6209293976706043</v>
      </c>
      <c r="Z160" s="11">
        <f t="shared" si="166"/>
        <v>8.567201624501152</v>
      </c>
      <c r="AA160" s="11">
        <f t="shared" si="166"/>
        <v>9.0394994783208862</v>
      </c>
      <c r="AB160" s="11">
        <f t="shared" si="166"/>
        <v>10.142113785133306</v>
      </c>
      <c r="AD160" s="40">
        <f t="shared" si="153"/>
        <v>4.2935276337582096</v>
      </c>
      <c r="AE160" s="40">
        <f t="shared" si="154"/>
        <v>1.1313875798486306</v>
      </c>
    </row>
    <row r="161" spans="1:31" x14ac:dyDescent="0.25">
      <c r="A161" s="10" t="str">
        <f t="shared" si="142"/>
        <v>33 Protective service occupations</v>
      </c>
      <c r="B161" s="11">
        <f t="shared" si="142"/>
        <v>4.4444232941510675</v>
      </c>
      <c r="C161" s="11">
        <f t="shared" si="146"/>
        <v>4.4270085893151148</v>
      </c>
      <c r="D161" s="11">
        <f t="shared" si="146"/>
        <v>4.7001992247175384</v>
      </c>
      <c r="E161" s="11">
        <f t="shared" si="146"/>
        <v>5.69735112555668</v>
      </c>
      <c r="F161" s="11">
        <f t="shared" si="146"/>
        <v>6.7057443147351909</v>
      </c>
      <c r="H161" s="40">
        <f t="shared" si="147"/>
        <v>1.1253808607709637</v>
      </c>
      <c r="I161" s="40">
        <f t="shared" si="148"/>
        <v>2.3973494046154453</v>
      </c>
      <c r="L161" s="10" t="str">
        <f t="shared" ref="L161:Q161" si="167">L16</f>
        <v>33 Protective service occupations</v>
      </c>
      <c r="M161" s="11">
        <f t="shared" si="167"/>
        <v>3.429150197042715</v>
      </c>
      <c r="N161" s="11">
        <f t="shared" si="167"/>
        <v>3.2746787311090451</v>
      </c>
      <c r="O161" s="11">
        <f t="shared" si="167"/>
        <v>3.4192040474433307</v>
      </c>
      <c r="P161" s="11">
        <f t="shared" si="167"/>
        <v>3.9954565233706778</v>
      </c>
      <c r="Q161" s="11">
        <f t="shared" si="167"/>
        <v>4.3844965160471778</v>
      </c>
      <c r="S161" s="40">
        <f t="shared" si="150"/>
        <v>-5.8076832777820275E-2</v>
      </c>
      <c r="T161" s="40">
        <f t="shared" si="151"/>
        <v>1.6715974910634479</v>
      </c>
      <c r="W161" s="10" t="str">
        <f t="shared" ref="W161:AB161" si="168">W16</f>
        <v>33 Protective service occupations</v>
      </c>
      <c r="X161" s="11">
        <f t="shared" si="168"/>
        <v>1.0152730971083521</v>
      </c>
      <c r="Y161" s="11">
        <f t="shared" si="168"/>
        <v>1.1523298582060686</v>
      </c>
      <c r="Z161" s="11">
        <f t="shared" si="168"/>
        <v>1.2809951772741999</v>
      </c>
      <c r="AA161" s="11">
        <f t="shared" si="168"/>
        <v>1.7018946021860075</v>
      </c>
      <c r="AB161" s="11">
        <f t="shared" si="168"/>
        <v>2.3212477986880211</v>
      </c>
      <c r="AD161" s="40">
        <f t="shared" si="153"/>
        <v>4.7593809193274383</v>
      </c>
      <c r="AE161" s="40">
        <f t="shared" si="154"/>
        <v>4.0426968098352667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7.5269975158661104</v>
      </c>
      <c r="C162" s="11">
        <f t="shared" si="146"/>
        <v>7.4707121265529315</v>
      </c>
      <c r="D162" s="11">
        <f t="shared" si="146"/>
        <v>7.6662439139121092</v>
      </c>
      <c r="E162" s="11">
        <f t="shared" si="146"/>
        <v>7.2223067456246826</v>
      </c>
      <c r="F162" s="11">
        <f t="shared" si="146"/>
        <v>8.0255058830183881</v>
      </c>
      <c r="H162" s="40">
        <f t="shared" si="147"/>
        <v>0.36728400179126819</v>
      </c>
      <c r="I162" s="40">
        <f t="shared" si="148"/>
        <v>0.30578605020139538</v>
      </c>
      <c r="L162" s="10" t="str">
        <f t="shared" ref="L162:Q162" si="169">L17</f>
        <v>34 Culture, media and sports occupations</v>
      </c>
      <c r="M162" s="11">
        <f t="shared" si="169"/>
        <v>4.5169862879842979</v>
      </c>
      <c r="N162" s="11">
        <f t="shared" si="169"/>
        <v>4.4974358578884148</v>
      </c>
      <c r="O162" s="11">
        <f t="shared" si="169"/>
        <v>4.5266562824420671</v>
      </c>
      <c r="P162" s="11">
        <f t="shared" si="169"/>
        <v>4.2764120162529515</v>
      </c>
      <c r="Q162" s="11">
        <f t="shared" si="169"/>
        <v>4.6667567601410695</v>
      </c>
      <c r="S162" s="40">
        <f t="shared" si="150"/>
        <v>4.2779516370794468E-2</v>
      </c>
      <c r="T162" s="40">
        <f t="shared" si="151"/>
        <v>0.20341198243036818</v>
      </c>
      <c r="W162" s="10" t="str">
        <f t="shared" ref="W162:AB162" si="170">W17</f>
        <v>34 Culture, media and sports occupations</v>
      </c>
      <c r="X162" s="11">
        <f t="shared" si="170"/>
        <v>3.0100112278818059</v>
      </c>
      <c r="Y162" s="11">
        <f t="shared" si="170"/>
        <v>2.9732762686645255</v>
      </c>
      <c r="Z162" s="11">
        <f t="shared" si="170"/>
        <v>3.1395876314700399</v>
      </c>
      <c r="AA162" s="11">
        <f t="shared" si="170"/>
        <v>2.9458947293717328</v>
      </c>
      <c r="AB162" s="11">
        <f t="shared" si="170"/>
        <v>3.3587491228773114</v>
      </c>
      <c r="AD162" s="40">
        <f t="shared" si="153"/>
        <v>0.84651594946445474</v>
      </c>
      <c r="AE162" s="40">
        <f t="shared" si="154"/>
        <v>0.45086104080309664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27.483441028271102</v>
      </c>
      <c r="C163" s="11">
        <f t="shared" si="146"/>
        <v>27.784113801495693</v>
      </c>
      <c r="D163" s="11">
        <f t="shared" si="146"/>
        <v>28.712103349013955</v>
      </c>
      <c r="E163" s="11">
        <f t="shared" si="146"/>
        <v>27.446946831196055</v>
      </c>
      <c r="F163" s="11">
        <f t="shared" si="146"/>
        <v>28.60137268177365</v>
      </c>
      <c r="H163" s="40">
        <f t="shared" si="147"/>
        <v>0.87853818106069514</v>
      </c>
      <c r="I163" s="40">
        <f t="shared" si="148"/>
        <v>-2.575695435677039E-2</v>
      </c>
      <c r="L163" s="10" t="str">
        <f t="shared" ref="L163:Q163" si="171">L18</f>
        <v>35 Business and public service associate professionals</v>
      </c>
      <c r="M163" s="11">
        <f t="shared" si="171"/>
        <v>15.423996768819533</v>
      </c>
      <c r="N163" s="11">
        <f t="shared" si="171"/>
        <v>15.073483017849453</v>
      </c>
      <c r="O163" s="11">
        <f t="shared" si="171"/>
        <v>15.681841668855601</v>
      </c>
      <c r="P163" s="11">
        <f t="shared" si="171"/>
        <v>14.521267272552127</v>
      </c>
      <c r="Q163" s="11">
        <f t="shared" si="171"/>
        <v>14.36700043432305</v>
      </c>
      <c r="S163" s="40">
        <f t="shared" si="150"/>
        <v>0.3321289904973268</v>
      </c>
      <c r="T163" s="40">
        <f t="shared" si="151"/>
        <v>-0.58209602533009219</v>
      </c>
      <c r="W163" s="10" t="str">
        <f t="shared" ref="W163:AB163" si="172">W18</f>
        <v>35 Business and public service associate professionals</v>
      </c>
      <c r="X163" s="11">
        <f t="shared" si="172"/>
        <v>12.059444259451528</v>
      </c>
      <c r="Y163" s="11">
        <f t="shared" si="172"/>
        <v>12.71063078364624</v>
      </c>
      <c r="Z163" s="11">
        <f t="shared" si="172"/>
        <v>13.030261680158304</v>
      </c>
      <c r="AA163" s="11">
        <f t="shared" si="172"/>
        <v>12.925679558643926</v>
      </c>
      <c r="AB163" s="11">
        <f t="shared" si="172"/>
        <v>14.234372247450615</v>
      </c>
      <c r="AD163" s="40">
        <f t="shared" si="153"/>
        <v>1.5605791101676703</v>
      </c>
      <c r="AE163" s="40">
        <f t="shared" si="154"/>
        <v>0.59097371136371812</v>
      </c>
    </row>
    <row r="164" spans="1:31" x14ac:dyDescent="0.25">
      <c r="A164" s="10" t="str">
        <f t="shared" si="142"/>
        <v>41 Administrative occupations</v>
      </c>
      <c r="B164" s="11">
        <f t="shared" si="142"/>
        <v>49.138399456658071</v>
      </c>
      <c r="C164" s="11">
        <f t="shared" si="146"/>
        <v>45.16515184624641</v>
      </c>
      <c r="D164" s="11">
        <f t="shared" si="146"/>
        <v>47.317539575288471</v>
      </c>
      <c r="E164" s="11">
        <f t="shared" si="146"/>
        <v>43.850294522272151</v>
      </c>
      <c r="F164" s="11">
        <f t="shared" si="146"/>
        <v>41.608672087451644</v>
      </c>
      <c r="H164" s="40">
        <f t="shared" si="147"/>
        <v>-0.75235063022514037</v>
      </c>
      <c r="I164" s="40">
        <f t="shared" si="148"/>
        <v>-0.85348650079991595</v>
      </c>
      <c r="L164" s="10" t="str">
        <f t="shared" ref="L164:Q164" si="173">L19</f>
        <v>41 Administrative occupations</v>
      </c>
      <c r="M164" s="11">
        <f t="shared" si="173"/>
        <v>15.614024343375871</v>
      </c>
      <c r="N164" s="11">
        <f t="shared" si="173"/>
        <v>13.602661795013351</v>
      </c>
      <c r="O164" s="11">
        <f t="shared" si="173"/>
        <v>16.30028080571164</v>
      </c>
      <c r="P164" s="11">
        <f t="shared" si="173"/>
        <v>15.784324607551035</v>
      </c>
      <c r="Q164" s="11">
        <f t="shared" si="173"/>
        <v>17.329207429920501</v>
      </c>
      <c r="S164" s="40">
        <f t="shared" si="150"/>
        <v>0.86396740482999057</v>
      </c>
      <c r="T164" s="40">
        <f t="shared" si="151"/>
        <v>0.40890731174170192</v>
      </c>
      <c r="W164" s="10" t="str">
        <f t="shared" ref="W164:AB164" si="174">W19</f>
        <v>41 Administrative occupations</v>
      </c>
      <c r="X164" s="11">
        <f t="shared" si="174"/>
        <v>33.524375113282296</v>
      </c>
      <c r="Y164" s="11">
        <f t="shared" si="174"/>
        <v>31.562490051233034</v>
      </c>
      <c r="Z164" s="11">
        <f t="shared" si="174"/>
        <v>31.017258769576816</v>
      </c>
      <c r="AA164" s="11">
        <f t="shared" si="174"/>
        <v>28.06596991472113</v>
      </c>
      <c r="AB164" s="11">
        <f t="shared" si="174"/>
        <v>24.279464657531076</v>
      </c>
      <c r="AD164" s="40">
        <f t="shared" si="153"/>
        <v>-1.5425588872177043</v>
      </c>
      <c r="AE164" s="40">
        <f t="shared" si="154"/>
        <v>-1.619495292962092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10.999553279205763</v>
      </c>
      <c r="C165" s="11">
        <f t="shared" si="146"/>
        <v>9.4948630690001199</v>
      </c>
      <c r="D165" s="11">
        <f t="shared" si="146"/>
        <v>9.2883893892272287</v>
      </c>
      <c r="E165" s="11">
        <f t="shared" si="146"/>
        <v>9.7532263685531753</v>
      </c>
      <c r="F165" s="11">
        <f t="shared" si="146"/>
        <v>6.5401716671574537</v>
      </c>
      <c r="H165" s="40">
        <f t="shared" si="147"/>
        <v>-3.3252465421505062</v>
      </c>
      <c r="I165" s="40">
        <f t="shared" si="148"/>
        <v>-2.3115432204955932</v>
      </c>
      <c r="L165" s="10" t="str">
        <f t="shared" ref="L165:Q165" si="175">L20</f>
        <v>42 Secretarial and related occupations</v>
      </c>
      <c r="M165" s="11">
        <f t="shared" si="175"/>
        <v>0.98392418673063786</v>
      </c>
      <c r="N165" s="11">
        <f t="shared" si="175"/>
        <v>0.69844209737340945</v>
      </c>
      <c r="O165" s="11">
        <f t="shared" si="175"/>
        <v>0.69927002657578796</v>
      </c>
      <c r="P165" s="11">
        <f t="shared" si="175"/>
        <v>0.89483765860591624</v>
      </c>
      <c r="Q165" s="11">
        <f t="shared" si="175"/>
        <v>1.0652556392754455</v>
      </c>
      <c r="S165" s="40">
        <f>IF(O$151-M$151 &lt;&gt; 0,(EXP(LN(O165/M165)/(O$151-M$151))-1)*100,0)</f>
        <v>-6.6021980975626615</v>
      </c>
      <c r="T165" s="40">
        <f t="shared" si="151"/>
        <v>2.8459660470623982</v>
      </c>
      <c r="W165" s="10" t="str">
        <f t="shared" ref="W165:AB165" si="176">W20</f>
        <v>42 Secretarial and related occupations</v>
      </c>
      <c r="X165" s="11">
        <f t="shared" si="176"/>
        <v>10.015629092475123</v>
      </c>
      <c r="Y165" s="11">
        <f t="shared" si="176"/>
        <v>8.7964209716267181</v>
      </c>
      <c r="Z165" s="11">
        <f t="shared" si="176"/>
        <v>8.5891193626514415</v>
      </c>
      <c r="AA165" s="11">
        <f t="shared" si="176"/>
        <v>8.858388709947258</v>
      </c>
      <c r="AB165" s="11">
        <f t="shared" si="176"/>
        <v>5.4749160278820082</v>
      </c>
      <c r="AD165" s="40">
        <f t="shared" si="153"/>
        <v>-3.0262743792530578</v>
      </c>
      <c r="AE165" s="40">
        <f t="shared" si="154"/>
        <v>-2.9575122076162197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4.3313158907234133</v>
      </c>
      <c r="C166" s="11">
        <f t="shared" si="146"/>
        <v>3.8065912759839788</v>
      </c>
      <c r="D166" s="11">
        <f t="shared" si="146"/>
        <v>3.1859142674106149</v>
      </c>
      <c r="E166" s="11">
        <f t="shared" si="146"/>
        <v>3.3169662328551017</v>
      </c>
      <c r="F166" s="11">
        <f t="shared" si="146"/>
        <v>3.713963148852669</v>
      </c>
      <c r="H166" s="40">
        <f t="shared" si="147"/>
        <v>-5.9577859556225743</v>
      </c>
      <c r="I166" s="40">
        <f t="shared" si="148"/>
        <v>1.027645973990321</v>
      </c>
      <c r="L166" s="10" t="str">
        <f t="shared" ref="L166:Q166" si="177">L21</f>
        <v>51 Skilled agricultural and related trades</v>
      </c>
      <c r="M166" s="11">
        <f t="shared" si="177"/>
        <v>3.720569195128824</v>
      </c>
      <c r="N166" s="11">
        <f t="shared" si="177"/>
        <v>3.234923637625847</v>
      </c>
      <c r="O166" s="11">
        <f t="shared" si="177"/>
        <v>2.6169442046855278</v>
      </c>
      <c r="P166" s="11">
        <f t="shared" si="177"/>
        <v>2.6623008231296343</v>
      </c>
      <c r="Q166" s="11">
        <f t="shared" si="177"/>
        <v>2.9386848333331872</v>
      </c>
      <c r="S166" s="40">
        <f t="shared" si="150"/>
        <v>-6.7954711445393778</v>
      </c>
      <c r="T166" s="40">
        <f t="shared" si="151"/>
        <v>0.77602789312092302</v>
      </c>
      <c r="W166" s="10" t="str">
        <f t="shared" ref="W166:AB166" si="178">W21</f>
        <v>51 Skilled agricultural and related trades</v>
      </c>
      <c r="X166" s="11">
        <f t="shared" si="178"/>
        <v>0.61074669559458628</v>
      </c>
      <c r="Y166" s="11">
        <f t="shared" si="178"/>
        <v>0.57166763835812828</v>
      </c>
      <c r="Z166" s="11">
        <f t="shared" si="178"/>
        <v>0.56897006272508988</v>
      </c>
      <c r="AA166" s="11">
        <f t="shared" si="178"/>
        <v>0.65466540972547316</v>
      </c>
      <c r="AB166" s="11">
        <f t="shared" si="178"/>
        <v>0.77527831551948567</v>
      </c>
      <c r="AD166" s="40">
        <f t="shared" si="153"/>
        <v>-1.4070961624888301</v>
      </c>
      <c r="AE166" s="40">
        <f t="shared" si="154"/>
        <v>2.0840476111623207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28.622677836919472</v>
      </c>
      <c r="C167" s="11">
        <f t="shared" si="146"/>
        <v>28.343637186861049</v>
      </c>
      <c r="D167" s="11">
        <f t="shared" si="146"/>
        <v>23.336997409184566</v>
      </c>
      <c r="E167" s="11">
        <f t="shared" si="146"/>
        <v>22.590240240806626</v>
      </c>
      <c r="F167" s="11">
        <f t="shared" si="146"/>
        <v>20.844900637900004</v>
      </c>
      <c r="H167" s="40">
        <f t="shared" si="147"/>
        <v>-4.0009482738341262</v>
      </c>
      <c r="I167" s="40">
        <f t="shared" si="148"/>
        <v>-0.75004388141534095</v>
      </c>
      <c r="L167" s="10" t="str">
        <f t="shared" ref="L167:Q167" si="179">L22</f>
        <v>52 Skilled metal, electrical and electronic trades</v>
      </c>
      <c r="M167" s="11">
        <f t="shared" si="179"/>
        <v>28.257827507545219</v>
      </c>
      <c r="N167" s="11">
        <f t="shared" si="179"/>
        <v>27.75667596510165</v>
      </c>
      <c r="O167" s="11">
        <f t="shared" si="179"/>
        <v>22.875815286022011</v>
      </c>
      <c r="P167" s="11">
        <f t="shared" si="179"/>
        <v>21.621463524156919</v>
      </c>
      <c r="Q167" s="11">
        <f t="shared" si="179"/>
        <v>19.682681549916762</v>
      </c>
      <c r="S167" s="40">
        <f t="shared" si="150"/>
        <v>-4.1377623406967707</v>
      </c>
      <c r="T167" s="40">
        <f t="shared" si="151"/>
        <v>-0.99726804861595131</v>
      </c>
      <c r="W167" s="10" t="str">
        <f t="shared" ref="W167:AB167" si="180">W22</f>
        <v>52 Skilled metal, electrical and electronic trades</v>
      </c>
      <c r="X167" s="11">
        <f t="shared" si="180"/>
        <v>0.3648503293742551</v>
      </c>
      <c r="Y167" s="11">
        <f t="shared" si="180"/>
        <v>0.58696122175943077</v>
      </c>
      <c r="Z167" s="11">
        <f t="shared" si="180"/>
        <v>0.4611821231625623</v>
      </c>
      <c r="AA167" s="11">
        <f t="shared" si="180"/>
        <v>0.96877671664971643</v>
      </c>
      <c r="AB167" s="11">
        <f t="shared" si="180"/>
        <v>1.1622190879832661</v>
      </c>
      <c r="AD167" s="40">
        <f t="shared" si="153"/>
        <v>4.7976500665823041</v>
      </c>
      <c r="AE167" s="40">
        <f t="shared" si="154"/>
        <v>6.3557650534874055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18.67563056886091</v>
      </c>
      <c r="C168" s="11">
        <f t="shared" si="146"/>
        <v>21.339556958033437</v>
      </c>
      <c r="D168" s="11">
        <f t="shared" si="146"/>
        <v>17.433599719002551</v>
      </c>
      <c r="E168" s="11">
        <f t="shared" si="146"/>
        <v>17.553314521586643</v>
      </c>
      <c r="F168" s="11">
        <f t="shared" si="146"/>
        <v>15.357819560659681</v>
      </c>
      <c r="H168" s="40">
        <f t="shared" si="147"/>
        <v>-1.3669735552202855</v>
      </c>
      <c r="I168" s="40">
        <f t="shared" si="148"/>
        <v>-0.84160253337166591</v>
      </c>
      <c r="L168" s="10" t="str">
        <f t="shared" ref="L168:Q168" si="181">L23</f>
        <v>53 Skilled construction and building trades</v>
      </c>
      <c r="M168" s="11">
        <f t="shared" si="181"/>
        <v>18.431515324301849</v>
      </c>
      <c r="N168" s="11">
        <f t="shared" si="181"/>
        <v>21.107864999136247</v>
      </c>
      <c r="O168" s="11">
        <f t="shared" si="181"/>
        <v>17.154190392596323</v>
      </c>
      <c r="P168" s="11">
        <f t="shared" si="181"/>
        <v>17.263106284483882</v>
      </c>
      <c r="Q168" s="11">
        <f t="shared" si="181"/>
        <v>15.033360244624994</v>
      </c>
      <c r="S168" s="40">
        <f t="shared" si="150"/>
        <v>-1.4261232789722134</v>
      </c>
      <c r="T168" s="40">
        <f t="shared" si="151"/>
        <v>-0.87594593269900711</v>
      </c>
      <c r="W168" s="10" t="str">
        <f t="shared" ref="W168:AB168" si="182">W23</f>
        <v>53 Skilled construction and building trades</v>
      </c>
      <c r="X168" s="11">
        <f t="shared" si="182"/>
        <v>0.24411524455905589</v>
      </c>
      <c r="Y168" s="11">
        <f t="shared" si="182"/>
        <v>0.23169195889720964</v>
      </c>
      <c r="Z168" s="11">
        <f t="shared" si="182"/>
        <v>0.27940932640622779</v>
      </c>
      <c r="AA168" s="11">
        <f t="shared" si="182"/>
        <v>0.29020823710276711</v>
      </c>
      <c r="AB168" s="11">
        <f t="shared" si="182"/>
        <v>0.32445931603468431</v>
      </c>
      <c r="AD168" s="40">
        <f t="shared" si="153"/>
        <v>2.7375487263703313</v>
      </c>
      <c r="AE168" s="40">
        <f t="shared" si="154"/>
        <v>1.0015309344751477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9.669103498426562</v>
      </c>
      <c r="C169" s="11">
        <f t="shared" si="146"/>
        <v>8.4461052767901936</v>
      </c>
      <c r="D169" s="11">
        <f t="shared" si="146"/>
        <v>8.3501192749530908</v>
      </c>
      <c r="E169" s="11">
        <f t="shared" si="146"/>
        <v>8.0010898829984018</v>
      </c>
      <c r="F169" s="11">
        <f t="shared" si="146"/>
        <v>7.4850513693049479</v>
      </c>
      <c r="H169" s="40">
        <f t="shared" si="147"/>
        <v>-2.8905948066148546</v>
      </c>
      <c r="I169" s="40">
        <f t="shared" si="148"/>
        <v>-0.72646798716868854</v>
      </c>
      <c r="L169" s="10" t="str">
        <f t="shared" ref="L169:Q169" si="183">L24</f>
        <v>54 Textiles, printing and other skilled trades</v>
      </c>
      <c r="M169" s="11">
        <f t="shared" si="183"/>
        <v>6.3445971972315238</v>
      </c>
      <c r="N169" s="11">
        <f t="shared" si="183"/>
        <v>5.5082101775039565</v>
      </c>
      <c r="O169" s="11">
        <f t="shared" si="183"/>
        <v>4.9649399753070922</v>
      </c>
      <c r="P169" s="11">
        <f t="shared" si="183"/>
        <v>4.6999877283128138</v>
      </c>
      <c r="Q169" s="11">
        <f t="shared" si="183"/>
        <v>4.2518098478429378</v>
      </c>
      <c r="S169" s="40">
        <f t="shared" si="150"/>
        <v>-4.7857415298617649</v>
      </c>
      <c r="T169" s="40">
        <f t="shared" si="151"/>
        <v>-1.0283853759017192</v>
      </c>
      <c r="W169" s="10" t="str">
        <f t="shared" ref="W169:AB169" si="184">W24</f>
        <v>54 Textiles, printing and other skilled trades</v>
      </c>
      <c r="X169" s="11">
        <f t="shared" si="184"/>
        <v>3.324506301195036</v>
      </c>
      <c r="Y169" s="11">
        <f t="shared" si="184"/>
        <v>2.9378950992862318</v>
      </c>
      <c r="Z169" s="11">
        <f t="shared" si="184"/>
        <v>3.3851792996460044</v>
      </c>
      <c r="AA169" s="11">
        <f t="shared" si="184"/>
        <v>3.3011021546855881</v>
      </c>
      <c r="AB169" s="11">
        <f t="shared" si="184"/>
        <v>3.2332415214620065</v>
      </c>
      <c r="AD169" s="40">
        <f t="shared" si="153"/>
        <v>0.36236880590969633</v>
      </c>
      <c r="AE169" s="40">
        <f t="shared" si="154"/>
        <v>-0.30567634111599018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38.549226321705412</v>
      </c>
      <c r="C170" s="11">
        <f t="shared" si="146"/>
        <v>41.061869374214055</v>
      </c>
      <c r="D170" s="11">
        <f t="shared" si="146"/>
        <v>39.805845710644</v>
      </c>
      <c r="E170" s="11">
        <f t="shared" si="146"/>
        <v>43.392777484738282</v>
      </c>
      <c r="F170" s="11">
        <f t="shared" si="146"/>
        <v>47.806525479323881</v>
      </c>
      <c r="H170" s="40">
        <f t="shared" si="147"/>
        <v>0.64361733842834834</v>
      </c>
      <c r="I170" s="40">
        <f t="shared" si="148"/>
        <v>1.2284736216228387</v>
      </c>
      <c r="L170" s="10" t="str">
        <f t="shared" ref="L170:Q170" si="185">L25</f>
        <v>61 Caring personal service occupations</v>
      </c>
      <c r="M170" s="11">
        <f t="shared" si="185"/>
        <v>4.2430476204005654</v>
      </c>
      <c r="N170" s="11">
        <f t="shared" si="185"/>
        <v>4.4399736716267908</v>
      </c>
      <c r="O170" s="11">
        <f t="shared" si="185"/>
        <v>4.2720139761381004</v>
      </c>
      <c r="P170" s="11">
        <f t="shared" si="185"/>
        <v>5.2570515083138076</v>
      </c>
      <c r="Q170" s="11">
        <f t="shared" si="185"/>
        <v>6.0233816531853872</v>
      </c>
      <c r="S170" s="40">
        <f t="shared" si="150"/>
        <v>0.13616429506326799</v>
      </c>
      <c r="T170" s="40">
        <f t="shared" si="151"/>
        <v>2.3168547012404339</v>
      </c>
      <c r="W170" s="10" t="str">
        <f t="shared" ref="W170:AB170" si="186">W25</f>
        <v>61 Caring personal service occupations</v>
      </c>
      <c r="X170" s="11">
        <f t="shared" si="186"/>
        <v>34.306178701304852</v>
      </c>
      <c r="Y170" s="11">
        <f t="shared" si="186"/>
        <v>36.621895702587267</v>
      </c>
      <c r="Z170" s="11">
        <f t="shared" si="186"/>
        <v>35.533831734505888</v>
      </c>
      <c r="AA170" s="11">
        <f t="shared" si="186"/>
        <v>38.135725976424474</v>
      </c>
      <c r="AB170" s="11">
        <f t="shared" si="186"/>
        <v>41.783143826138506</v>
      </c>
      <c r="AD170" s="40">
        <f t="shared" si="153"/>
        <v>0.70567370999201628</v>
      </c>
      <c r="AE170" s="40">
        <f t="shared" si="154"/>
        <v>1.0859052877191022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11.482295485656088</v>
      </c>
      <c r="C171" s="11">
        <f t="shared" si="146"/>
        <v>10.028377892597494</v>
      </c>
      <c r="D171" s="11">
        <f t="shared" si="146"/>
        <v>9.1467848880288667</v>
      </c>
      <c r="E171" s="11">
        <f t="shared" si="146"/>
        <v>9.2777953908540791</v>
      </c>
      <c r="F171" s="11">
        <f t="shared" si="146"/>
        <v>9.4378645671143033</v>
      </c>
      <c r="H171" s="40">
        <f t="shared" si="147"/>
        <v>-4.4462029664625309</v>
      </c>
      <c r="I171" s="40">
        <f t="shared" si="148"/>
        <v>0.20906693595830195</v>
      </c>
      <c r="L171" s="10" t="str">
        <f t="shared" ref="L171:Q171" si="187">L26</f>
        <v>62 Leisure, travel and related personal service occupations</v>
      </c>
      <c r="M171" s="11">
        <f t="shared" si="187"/>
        <v>3.058491608492754</v>
      </c>
      <c r="N171" s="11">
        <f t="shared" si="187"/>
        <v>2.8665436273098526</v>
      </c>
      <c r="O171" s="11">
        <f t="shared" si="187"/>
        <v>2.7402654170114906</v>
      </c>
      <c r="P171" s="11">
        <f t="shared" si="187"/>
        <v>2.8021767672007876</v>
      </c>
      <c r="Q171" s="11">
        <f t="shared" si="187"/>
        <v>2.9280944168669421</v>
      </c>
      <c r="S171" s="40">
        <f t="shared" si="150"/>
        <v>-2.1733757655635344</v>
      </c>
      <c r="T171" s="40">
        <f t="shared" si="151"/>
        <v>0.44295856421394664</v>
      </c>
      <c r="W171" s="10" t="str">
        <f t="shared" ref="W171:AB171" si="188">W26</f>
        <v>62 Leisure, travel and related personal service occupations</v>
      </c>
      <c r="X171" s="11">
        <f t="shared" si="188"/>
        <v>8.4238038771633335</v>
      </c>
      <c r="Y171" s="11">
        <f t="shared" si="188"/>
        <v>7.1618342652876512</v>
      </c>
      <c r="Z171" s="11">
        <f t="shared" si="188"/>
        <v>6.4065194710173774</v>
      </c>
      <c r="AA171" s="11">
        <f t="shared" si="188"/>
        <v>6.4756186236532978</v>
      </c>
      <c r="AB171" s="11">
        <f t="shared" si="188"/>
        <v>6.5097701502473697</v>
      </c>
      <c r="AD171" s="40">
        <f t="shared" si="153"/>
        <v>-5.32773214661092</v>
      </c>
      <c r="AE171" s="40">
        <f t="shared" si="154"/>
        <v>0.10664355179270668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0.44667082132503055</v>
      </c>
      <c r="C172" s="11">
        <f t="shared" si="146"/>
        <v>0.3674632446263803</v>
      </c>
      <c r="D172" s="11">
        <f t="shared" si="146"/>
        <v>0.45801284753679466</v>
      </c>
      <c r="E172" s="11">
        <f t="shared" si="146"/>
        <v>0.38277272703856241</v>
      </c>
      <c r="F172" s="11">
        <f t="shared" si="146"/>
        <v>0.41874006149257798</v>
      </c>
      <c r="H172" s="40">
        <f t="shared" si="147"/>
        <v>0.50276623722214087</v>
      </c>
      <c r="I172" s="40">
        <f t="shared" si="148"/>
        <v>-0.59586355601790597</v>
      </c>
      <c r="L172" s="10" t="str">
        <f t="shared" ref="L172:Q172" si="189">L27</f>
        <v>63 Community and civil enforcement occupations</v>
      </c>
      <c r="M172" s="11">
        <f t="shared" si="189"/>
        <v>0.3474536387372123</v>
      </c>
      <c r="N172" s="11">
        <f t="shared" si="189"/>
        <v>0.24513125617545808</v>
      </c>
      <c r="O172" s="11">
        <f t="shared" si="189"/>
        <v>0.35144879684425001</v>
      </c>
      <c r="P172" s="11">
        <f t="shared" si="189"/>
        <v>0.24227368515507217</v>
      </c>
      <c r="Q172" s="11">
        <f t="shared" si="189"/>
        <v>0.27641728730973392</v>
      </c>
      <c r="S172" s="40">
        <f t="shared" si="150"/>
        <v>0.22891737288268654</v>
      </c>
      <c r="T172" s="40">
        <f t="shared" si="151"/>
        <v>-1.588267834782342</v>
      </c>
      <c r="W172" s="10" t="str">
        <f t="shared" ref="W172:AB172" si="190">W27</f>
        <v>63 Community and civil enforcement occupations</v>
      </c>
      <c r="X172" s="11">
        <f t="shared" si="190"/>
        <v>9.9217182587818226E-2</v>
      </c>
      <c r="Y172" s="11">
        <f t="shared" si="190"/>
        <v>0.12233198845092201</v>
      </c>
      <c r="Z172" s="11">
        <f t="shared" si="190"/>
        <v>0.10656405069254467</v>
      </c>
      <c r="AA172" s="11">
        <f t="shared" si="190"/>
        <v>0.14049904188349038</v>
      </c>
      <c r="AB172" s="11">
        <f t="shared" si="190"/>
        <v>0.14232277418284373</v>
      </c>
      <c r="AD172" s="40">
        <f t="shared" si="153"/>
        <v>1.4389548682352427</v>
      </c>
      <c r="AE172" s="40">
        <f t="shared" si="154"/>
        <v>1.9477343626526089</v>
      </c>
    </row>
    <row r="173" spans="1:31" x14ac:dyDescent="0.25">
      <c r="A173" s="10" t="str">
        <f t="shared" si="142"/>
        <v>71 Sales occupations</v>
      </c>
      <c r="B173" s="11">
        <f t="shared" si="142"/>
        <v>34.223800198352485</v>
      </c>
      <c r="C173" s="11">
        <f t="shared" si="146"/>
        <v>30.736255514037822</v>
      </c>
      <c r="D173" s="11">
        <f t="shared" si="146"/>
        <v>30.191807825248862</v>
      </c>
      <c r="E173" s="11">
        <f t="shared" si="146"/>
        <v>27.72715045001522</v>
      </c>
      <c r="F173" s="11">
        <f t="shared" si="146"/>
        <v>25.969905791596378</v>
      </c>
      <c r="H173" s="40">
        <f t="shared" si="147"/>
        <v>-2.4758492005482191</v>
      </c>
      <c r="I173" s="40">
        <f t="shared" si="148"/>
        <v>-0.99918943505745705</v>
      </c>
      <c r="L173" s="10" t="str">
        <f t="shared" ref="L173:Q173" si="191">L28</f>
        <v>71 Sales occupations</v>
      </c>
      <c r="M173" s="11">
        <f t="shared" si="191"/>
        <v>13.780219937698439</v>
      </c>
      <c r="N173" s="11">
        <f t="shared" si="191"/>
        <v>13.056615185235627</v>
      </c>
      <c r="O173" s="11">
        <f t="shared" si="191"/>
        <v>12.938657545094458</v>
      </c>
      <c r="P173" s="11">
        <f t="shared" si="191"/>
        <v>12.063699795752783</v>
      </c>
      <c r="Q173" s="11">
        <f t="shared" si="191"/>
        <v>11.50387541225362</v>
      </c>
      <c r="S173" s="40">
        <f t="shared" si="150"/>
        <v>-1.252385296436731</v>
      </c>
      <c r="T173" s="40">
        <f t="shared" si="151"/>
        <v>-0.78050854359714705</v>
      </c>
      <c r="W173" s="10" t="str">
        <f t="shared" ref="W173:AB173" si="192">W28</f>
        <v>71 Sales occupations</v>
      </c>
      <c r="X173" s="11">
        <f t="shared" si="192"/>
        <v>20.443580260654084</v>
      </c>
      <c r="Y173" s="11">
        <f t="shared" si="192"/>
        <v>17.679640328802183</v>
      </c>
      <c r="Z173" s="11">
        <f t="shared" si="192"/>
        <v>17.253150280154376</v>
      </c>
      <c r="AA173" s="11">
        <f t="shared" si="192"/>
        <v>15.663450654262409</v>
      </c>
      <c r="AB173" s="11">
        <f t="shared" si="192"/>
        <v>14.466030379342753</v>
      </c>
      <c r="AD173" s="40">
        <f t="shared" si="153"/>
        <v>-3.3365503349018999</v>
      </c>
      <c r="AE173" s="40">
        <f t="shared" si="154"/>
        <v>-1.1677389365447599</v>
      </c>
    </row>
    <row r="174" spans="1:31" x14ac:dyDescent="0.25">
      <c r="A174" s="10" t="str">
        <f t="shared" si="142"/>
        <v>72 Customer service occupations</v>
      </c>
      <c r="B174" s="11">
        <f t="shared" si="142"/>
        <v>9.0886906437377402</v>
      </c>
      <c r="C174" s="11">
        <f t="shared" si="146"/>
        <v>8.8480017178491579</v>
      </c>
      <c r="D174" s="11">
        <f t="shared" si="146"/>
        <v>9.1178307619805707</v>
      </c>
      <c r="E174" s="11">
        <f t="shared" si="146"/>
        <v>11.78604783936143</v>
      </c>
      <c r="F174" s="11">
        <f t="shared" si="146"/>
        <v>13.440976966771922</v>
      </c>
      <c r="H174" s="40">
        <f t="shared" si="147"/>
        <v>6.4041828574912252E-2</v>
      </c>
      <c r="I174" s="40">
        <f t="shared" si="148"/>
        <v>2.6209318608694021</v>
      </c>
      <c r="L174" s="10" t="str">
        <f t="shared" ref="L174:Q174" si="193">L29</f>
        <v>72 Customer service occupations</v>
      </c>
      <c r="M174" s="11">
        <f t="shared" si="193"/>
        <v>3.9189141356413502</v>
      </c>
      <c r="N174" s="11">
        <f t="shared" si="193"/>
        <v>3.2108730880265197</v>
      </c>
      <c r="O174" s="11">
        <f t="shared" si="193"/>
        <v>3.7325933245267708</v>
      </c>
      <c r="P174" s="11">
        <f t="shared" si="193"/>
        <v>5.2316049598822483</v>
      </c>
      <c r="Q174" s="11">
        <f t="shared" si="193"/>
        <v>6.0861719042285651</v>
      </c>
      <c r="S174" s="40">
        <f t="shared" si="150"/>
        <v>-0.96949689859193722</v>
      </c>
      <c r="T174" s="40">
        <f t="shared" si="151"/>
        <v>3.313141914827411</v>
      </c>
      <c r="W174" s="10" t="str">
        <f t="shared" ref="W174:AB174" si="194">W29</f>
        <v>72 Customer service occupations</v>
      </c>
      <c r="X174" s="11">
        <f t="shared" si="194"/>
        <v>5.1697765080963771</v>
      </c>
      <c r="Y174" s="11">
        <f t="shared" si="194"/>
        <v>5.6371286298226382</v>
      </c>
      <c r="Z174" s="11">
        <f t="shared" si="194"/>
        <v>5.3852374374537986</v>
      </c>
      <c r="AA174" s="11">
        <f t="shared" si="194"/>
        <v>6.5544428794792013</v>
      </c>
      <c r="AB174" s="11">
        <f t="shared" si="194"/>
        <v>7.3548050625433694</v>
      </c>
      <c r="AD174" s="40">
        <f t="shared" si="153"/>
        <v>0.81998245135539438</v>
      </c>
      <c r="AE174" s="40">
        <f>IF(AB$151-Z$151 &lt;&gt; 0,(EXP(LN(AB174/Z174)/(AB$151-Z$151))-1)*100,0)</f>
        <v>2.0996893433706587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23.017676946693587</v>
      </c>
      <c r="C175" s="11">
        <f t="shared" si="146"/>
        <v>21.73705414319814</v>
      </c>
      <c r="D175" s="11">
        <f t="shared" si="146"/>
        <v>18.31625402877377</v>
      </c>
      <c r="E175" s="11">
        <f t="shared" si="146"/>
        <v>21.943097050143233</v>
      </c>
      <c r="F175" s="11">
        <f t="shared" si="146"/>
        <v>21.313020528914095</v>
      </c>
      <c r="H175" s="40">
        <f t="shared" si="147"/>
        <v>-4.4666441857345696</v>
      </c>
      <c r="I175" s="40">
        <f t="shared" si="148"/>
        <v>1.015315128919303</v>
      </c>
      <c r="L175" s="10" t="str">
        <f t="shared" ref="L175:Q175" si="195">L30</f>
        <v>81 Process, plant and machine operatives</v>
      </c>
      <c r="M175" s="11">
        <f t="shared" si="195"/>
        <v>18.516053173598376</v>
      </c>
      <c r="N175" s="11">
        <f t="shared" si="195"/>
        <v>17.022290606392605</v>
      </c>
      <c r="O175" s="11">
        <f t="shared" si="195"/>
        <v>14.240849462931685</v>
      </c>
      <c r="P175" s="11">
        <f t="shared" si="195"/>
        <v>16.799006313139607</v>
      </c>
      <c r="Q175" s="11">
        <f t="shared" si="195"/>
        <v>16.01928453256275</v>
      </c>
      <c r="S175" s="40">
        <f t="shared" si="150"/>
        <v>-5.1150145651997274</v>
      </c>
      <c r="T175" s="40">
        <f t="shared" si="151"/>
        <v>0.78761027440568121</v>
      </c>
      <c r="W175" s="10" t="str">
        <f t="shared" ref="W175:AB175" si="196">W30</f>
        <v>81 Process, plant and machine operatives</v>
      </c>
      <c r="X175" s="11">
        <f t="shared" si="196"/>
        <v>4.5016237730952104</v>
      </c>
      <c r="Y175" s="11">
        <f t="shared" si="196"/>
        <v>4.714763536805548</v>
      </c>
      <c r="Z175" s="11">
        <f t="shared" si="196"/>
        <v>4.0754045658420548</v>
      </c>
      <c r="AA175" s="11">
        <f t="shared" si="196"/>
        <v>5.1440907370036157</v>
      </c>
      <c r="AB175" s="11">
        <f t="shared" si="196"/>
        <v>5.2937359963513479</v>
      </c>
      <c r="AD175" s="40">
        <f t="shared" si="153"/>
        <v>-1.969705710692915</v>
      </c>
      <c r="AE175" s="40">
        <f t="shared" si="154"/>
        <v>1.7589858534655445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24.123007113083549</v>
      </c>
      <c r="C176" s="11">
        <f t="shared" si="146"/>
        <v>24.835414702497786</v>
      </c>
      <c r="D176" s="11">
        <f t="shared" si="146"/>
        <v>21.951501270507791</v>
      </c>
      <c r="E176" s="11">
        <f t="shared" si="146"/>
        <v>23.846902034062865</v>
      </c>
      <c r="F176" s="11">
        <f t="shared" si="146"/>
        <v>24.153900346524193</v>
      </c>
      <c r="H176" s="40">
        <f t="shared" si="147"/>
        <v>-1.8689250007423386</v>
      </c>
      <c r="I176" s="40">
        <f t="shared" si="148"/>
        <v>0.63943799718395589</v>
      </c>
      <c r="L176" s="10" t="str">
        <f t="shared" ref="L176:Q176" si="197">L31</f>
        <v>82 Transport and mobile machine drivers and operatives</v>
      </c>
      <c r="M176" s="11">
        <f t="shared" si="197"/>
        <v>23.025017983339353</v>
      </c>
      <c r="N176" s="11">
        <f t="shared" si="197"/>
        <v>23.675571046795302</v>
      </c>
      <c r="O176" s="11">
        <f t="shared" si="197"/>
        <v>20.970327260829357</v>
      </c>
      <c r="P176" s="11">
        <f t="shared" si="197"/>
        <v>22.345390744909619</v>
      </c>
      <c r="Q176" s="11">
        <f t="shared" si="197"/>
        <v>22.421091909051682</v>
      </c>
      <c r="S176" s="40">
        <f t="shared" si="150"/>
        <v>-1.8520922591669708</v>
      </c>
      <c r="T176" s="40">
        <f t="shared" si="151"/>
        <v>0.44695365809539478</v>
      </c>
      <c r="W176" s="10" t="str">
        <f t="shared" ref="W176:AB176" si="198">W31</f>
        <v>82 Transport and mobile machine drivers and operatives</v>
      </c>
      <c r="X176" s="11">
        <f t="shared" si="198"/>
        <v>1.0979891297442075</v>
      </c>
      <c r="Y176" s="11">
        <f t="shared" si="198"/>
        <v>1.1598436557025107</v>
      </c>
      <c r="Z176" s="11">
        <f t="shared" si="198"/>
        <v>0.98117400967843427</v>
      </c>
      <c r="AA176" s="11">
        <f t="shared" si="198"/>
        <v>1.5015112891532423</v>
      </c>
      <c r="AB176" s="11">
        <f t="shared" si="198"/>
        <v>1.7328084374724997</v>
      </c>
      <c r="AD176" s="40">
        <f t="shared" si="153"/>
        <v>-2.2246005199683672</v>
      </c>
      <c r="AE176" s="40">
        <f t="shared" si="154"/>
        <v>3.8644600889441216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11.487443580203083</v>
      </c>
      <c r="C177" s="11">
        <f t="shared" si="146"/>
        <v>9.8320405541299731</v>
      </c>
      <c r="D177" s="11">
        <f t="shared" si="146"/>
        <v>8.6428835980951746</v>
      </c>
      <c r="E177" s="11">
        <f t="shared" si="146"/>
        <v>7.3188128388141793</v>
      </c>
      <c r="F177" s="11">
        <f t="shared" si="146"/>
        <v>6.864739167432238</v>
      </c>
      <c r="H177" s="40">
        <f t="shared" si="147"/>
        <v>-5.5314923934030924</v>
      </c>
      <c r="I177" s="40">
        <f t="shared" si="148"/>
        <v>-1.5238581822931807</v>
      </c>
      <c r="L177" s="10" t="str">
        <f t="shared" ref="L177:Q178" si="199">L32</f>
        <v>91 Elementary trades and related occupations</v>
      </c>
      <c r="M177" s="11">
        <f t="shared" si="199"/>
        <v>8.64406650366473</v>
      </c>
      <c r="N177" s="11">
        <f t="shared" si="199"/>
        <v>7.4127368380211713</v>
      </c>
      <c r="O177" s="11">
        <f t="shared" si="199"/>
        <v>6.714685612172139</v>
      </c>
      <c r="P177" s="11">
        <f t="shared" si="199"/>
        <v>5.6505287092764451</v>
      </c>
      <c r="Q177" s="11">
        <f t="shared" si="199"/>
        <v>5.2825902579145962</v>
      </c>
      <c r="S177" s="40">
        <f t="shared" si="150"/>
        <v>-4.9260545893809233</v>
      </c>
      <c r="T177" s="40">
        <f t="shared" si="151"/>
        <v>-1.5864836652731307</v>
      </c>
      <c r="W177" s="10" t="str">
        <f t="shared" ref="W177:AB178" si="200">W32</f>
        <v>91 Elementary trades and related occupations</v>
      </c>
      <c r="X177" s="11">
        <f t="shared" si="200"/>
        <v>2.8433770765383439</v>
      </c>
      <c r="Y177" s="11">
        <f t="shared" si="200"/>
        <v>2.4193037161087934</v>
      </c>
      <c r="Z177" s="11">
        <f t="shared" si="200"/>
        <v>1.9281979859230163</v>
      </c>
      <c r="AA177" s="11">
        <f t="shared" si="200"/>
        <v>1.6682841295377395</v>
      </c>
      <c r="AB177" s="11">
        <f t="shared" si="200"/>
        <v>1.5821489095176442</v>
      </c>
      <c r="AD177" s="40">
        <f t="shared" si="153"/>
        <v>-7.4740754468616277</v>
      </c>
      <c r="AE177" s="40">
        <f t="shared" si="154"/>
        <v>-1.310022773374464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45.472494733851818</v>
      </c>
      <c r="C178" s="11">
        <f t="shared" si="146"/>
        <v>41.766910652938115</v>
      </c>
      <c r="D178" s="11">
        <f t="shared" si="146"/>
        <v>37.733870308121773</v>
      </c>
      <c r="E178" s="11">
        <f t="shared" si="146"/>
        <v>38.141407341486826</v>
      </c>
      <c r="F178" s="11">
        <f t="shared" si="146"/>
        <v>35.249982103219963</v>
      </c>
      <c r="H178" s="40">
        <f>IF(D$151-B$151 &lt;&gt; 0,(EXP(LN(D178/B178)/(D$151-B$151))-1)*100,0)</f>
        <v>-3.6622466247607899</v>
      </c>
      <c r="I178" s="40">
        <f t="shared" ref="I178" si="201">IF(F$151-D$151 &lt;&gt; 0,(EXP(LN(F178/D178)/(F$151-D$151))-1)*100,0)</f>
        <v>-0.4529250948293595</v>
      </c>
      <c r="L178" s="10" t="str">
        <f t="shared" si="199"/>
        <v>92 Elementary administration and service occupations</v>
      </c>
      <c r="M178" s="11">
        <f t="shared" si="199"/>
        <v>23.573386766069238</v>
      </c>
      <c r="N178" s="11">
        <f t="shared" si="199"/>
        <v>19.916820189908442</v>
      </c>
      <c r="O178" s="11">
        <f t="shared" si="199"/>
        <v>18.818562046152262</v>
      </c>
      <c r="P178" s="11">
        <f t="shared" si="199"/>
        <v>20.106290271492465</v>
      </c>
      <c r="Q178" s="11">
        <f t="shared" si="199"/>
        <v>18.797003814893657</v>
      </c>
      <c r="S178" s="40">
        <f t="shared" ref="S178" si="202">IF(O$151-M$151 &lt;&gt; 0,(EXP(LN(O178/M178)/(O$151-M$151))-1)*100,0)</f>
        <v>-4.4055033624889823</v>
      </c>
      <c r="T178" s="40">
        <f t="shared" ref="T178" si="203">IF(Q$151-O$151 &lt;&gt; 0,(EXP(LN(Q178/O178)/(Q$151-O$151))-1)*100,0)</f>
        <v>-7.6413082189086268E-3</v>
      </c>
      <c r="W178" s="10" t="str">
        <f t="shared" si="200"/>
        <v>92 Elementary administration and service occupations</v>
      </c>
      <c r="X178" s="11">
        <f t="shared" si="200"/>
        <v>21.899107967782566</v>
      </c>
      <c r="Y178" s="11">
        <f t="shared" si="200"/>
        <v>21.85009046302968</v>
      </c>
      <c r="Z178" s="11">
        <f t="shared" si="200"/>
        <v>18.915308261969496</v>
      </c>
      <c r="AA178" s="11">
        <f t="shared" si="200"/>
        <v>18.035117069994357</v>
      </c>
      <c r="AB178" s="11">
        <f t="shared" si="200"/>
        <v>16.452978288326339</v>
      </c>
      <c r="AD178" s="40">
        <f t="shared" ref="AD178" si="204">IF(Z$151-X$151 &lt;&gt; 0,(EXP(LN(Z178/X178)/(Z$151-X$151))-1)*100,0)</f>
        <v>-2.886993463673948</v>
      </c>
      <c r="AE178" s="40">
        <f t="shared" ref="AE178" si="205">IF(AB$151-Z$151 &lt;&gt; 0,(EXP(LN(AB178/Z178)/(AB$151-Z$151))-1)*100,0)</f>
        <v>-0.92545798776163535</v>
      </c>
    </row>
    <row r="179" spans="1:31" x14ac:dyDescent="0.25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5">
      <c r="A180" s="231" t="str">
        <f t="shared" ref="A180:F180" si="206">A35</f>
        <v>All occupations</v>
      </c>
      <c r="B180" s="34">
        <f t="shared" si="206"/>
        <v>505.56200000000018</v>
      </c>
      <c r="C180" s="34">
        <f t="shared" si="206"/>
        <v>509.93099999999987</v>
      </c>
      <c r="D180" s="34">
        <f t="shared" si="206"/>
        <v>496.19400000000019</v>
      </c>
      <c r="E180" s="34">
        <f t="shared" si="206"/>
        <v>508.12799999999982</v>
      </c>
      <c r="F180" s="34">
        <f t="shared" si="206"/>
        <v>521.94399999999973</v>
      </c>
      <c r="H180" s="43">
        <f>IF(D$151-B$151 &lt;&gt; 0,(EXP(LN(D180/B180)/(D$151-B$151))-1)*100,0)</f>
        <v>-0.37337526450476055</v>
      </c>
      <c r="I180" s="43">
        <f t="shared" si="148"/>
        <v>0.33785827979151417</v>
      </c>
      <c r="L180" s="231" t="str">
        <f t="shared" ref="L180:Q180" si="207">L35</f>
        <v>All occupations</v>
      </c>
      <c r="M180" s="34">
        <f t="shared" si="207"/>
        <v>278.47300247517569</v>
      </c>
      <c r="N180" s="34">
        <f t="shared" si="207"/>
        <v>275.9017323960112</v>
      </c>
      <c r="O180" s="34">
        <f t="shared" si="207"/>
        <v>265.09940440411077</v>
      </c>
      <c r="P180" s="34">
        <f t="shared" si="207"/>
        <v>269.87496646914229</v>
      </c>
      <c r="Q180" s="34">
        <f t="shared" si="207"/>
        <v>273.44446800719913</v>
      </c>
      <c r="S180" s="43">
        <f t="shared" ref="S180" si="208">IF(O$151-M$151 &lt;&gt; 0,(EXP(LN(O180/M180)/(O$151-M$151))-1)*100,0)</f>
        <v>-0.97949635800508306</v>
      </c>
      <c r="T180" s="43">
        <f t="shared" ref="T180" si="209">IF(Q$151-O$151 &lt;&gt; 0,(EXP(LN(Q180/O180)/(Q$151-O$151))-1)*100,0)</f>
        <v>0.20683823320759576</v>
      </c>
      <c r="W180" s="231" t="str">
        <f t="shared" ref="W180:AB180" si="210">W35</f>
        <v>All occupations</v>
      </c>
      <c r="X180" s="34">
        <f t="shared" si="210"/>
        <v>227.08899752482441</v>
      </c>
      <c r="Y180" s="34">
        <f t="shared" si="210"/>
        <v>234.02926760398881</v>
      </c>
      <c r="Z180" s="34">
        <f t="shared" si="210"/>
        <v>231.09459559588936</v>
      </c>
      <c r="AA180" s="34">
        <f t="shared" si="210"/>
        <v>238.25303353085752</v>
      </c>
      <c r="AB180" s="34">
        <f t="shared" si="210"/>
        <v>248.49953199280068</v>
      </c>
      <c r="AD180" s="43">
        <f t="shared" ref="AD180" si="211">IF(Z$151-X$151 &lt;&gt; 0,(EXP(LN(Z180/X180)/(Z$151-X$151))-1)*100,0)</f>
        <v>0.35031479731157944</v>
      </c>
      <c r="AE180" s="43">
        <f t="shared" ref="AE180" si="212">IF(AB$151-Z$151 &lt;&gt; 0,(EXP(LN(AB180/Z180)/(AB$151-Z$151))-1)*100,0)</f>
        <v>0.48526582444701205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Black Country</v>
      </c>
    </row>
    <row r="2" spans="1:12" ht="12.75" customHeight="1" x14ac:dyDescent="0.3">
      <c r="A2" s="182" t="s">
        <v>523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'Occ T1'!A8</f>
        <v>Managers, directors and senior officials</v>
      </c>
      <c r="B7" s="31">
        <f>'Occ T1'!B8</f>
        <v>42.392720616000339</v>
      </c>
      <c r="C7" s="31">
        <f>'Occ T1'!C8</f>
        <v>46.345148009577279</v>
      </c>
      <c r="D7" s="31">
        <f>'Occ T1'!D8</f>
        <v>47.662233271684329</v>
      </c>
      <c r="E7" s="31">
        <f>'Occ T1'!E8</f>
        <v>48.624847367414716</v>
      </c>
      <c r="F7" s="31">
        <f>'Occ T1'!F8</f>
        <v>54.339890299405795</v>
      </c>
      <c r="H7" s="31">
        <f>C7-B7</f>
        <v>3.9524273935769401</v>
      </c>
      <c r="I7" s="31">
        <f>D7-C7</f>
        <v>1.3170852621070495</v>
      </c>
      <c r="J7" s="31">
        <f>E7-D7</f>
        <v>0.96261409573038748</v>
      </c>
      <c r="K7" s="31">
        <f>F7-E7</f>
        <v>5.7150429319910785</v>
      </c>
      <c r="L7" s="31">
        <f>F7-D7</f>
        <v>6.677657027721466</v>
      </c>
    </row>
    <row r="8" spans="1:12" s="30" customFormat="1" ht="13" x14ac:dyDescent="0.3">
      <c r="A8" s="10" t="str">
        <f>'Occ T2'!A8</f>
        <v>11 Corporate managers and directors</v>
      </c>
      <c r="B8" s="32">
        <f>'Occ T2'!B8</f>
        <v>29.880785800881412</v>
      </c>
      <c r="C8" s="32">
        <f>'Occ T2'!C8</f>
        <v>33.670781149647787</v>
      </c>
      <c r="D8" s="32">
        <f>'Occ T2'!D8</f>
        <v>34.458283214558655</v>
      </c>
      <c r="E8" s="32">
        <f>'Occ T2'!E8</f>
        <v>32.22615843098864</v>
      </c>
      <c r="F8" s="32">
        <f>'Occ T2'!F8</f>
        <v>35.408151196311948</v>
      </c>
      <c r="H8" s="31">
        <f t="shared" ref="H8:H9" si="0">C8-B8</f>
        <v>3.7899953487663751</v>
      </c>
      <c r="I8" s="31">
        <f t="shared" ref="I8:I9" si="1">D8-C8</f>
        <v>0.78750206491086772</v>
      </c>
      <c r="J8" s="31">
        <f t="shared" ref="J8:J9" si="2">E8-D8</f>
        <v>-2.2321247835700149</v>
      </c>
      <c r="K8" s="31">
        <f t="shared" ref="K8:K9" si="3">F8-E8</f>
        <v>3.181992765323308</v>
      </c>
      <c r="L8" s="31">
        <f t="shared" ref="L8:L49" si="4">F8-D8</f>
        <v>0.94986798175329312</v>
      </c>
    </row>
    <row r="9" spans="1:12" s="30" customFormat="1" ht="13" x14ac:dyDescent="0.3">
      <c r="A9" s="10" t="str">
        <f>'Occ T2'!A9</f>
        <v>12 Other managers and proprietors</v>
      </c>
      <c r="B9" s="32">
        <f>'Occ T2'!B9</f>
        <v>12.511934815118927</v>
      </c>
      <c r="C9" s="32">
        <f>'Occ T2'!C9</f>
        <v>12.674366859929494</v>
      </c>
      <c r="D9" s="32">
        <f>'Occ T2'!D9</f>
        <v>13.203950057125674</v>
      </c>
      <c r="E9" s="32">
        <f>'Occ T2'!E9</f>
        <v>16.398688936426073</v>
      </c>
      <c r="F9" s="32">
        <f>'Occ T2'!F9</f>
        <v>18.931739103093843</v>
      </c>
      <c r="H9" s="31">
        <f t="shared" si="0"/>
        <v>0.16243204481056672</v>
      </c>
      <c r="I9" s="31">
        <f t="shared" si="1"/>
        <v>0.52958319719617997</v>
      </c>
      <c r="J9" s="31">
        <f t="shared" si="2"/>
        <v>3.1947388793003988</v>
      </c>
      <c r="K9" s="31">
        <f t="shared" si="3"/>
        <v>2.5330501666677705</v>
      </c>
      <c r="L9" s="31">
        <f t="shared" si="4"/>
        <v>5.7277890459681693</v>
      </c>
    </row>
    <row r="10" spans="1:12" ht="13" x14ac:dyDescent="0.3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ht="13" x14ac:dyDescent="0.3">
      <c r="A11" s="30" t="str">
        <f>'Occ T1'!A9</f>
        <v>Professional occupations</v>
      </c>
      <c r="B11" s="31">
        <f>'Occ T1'!B9</f>
        <v>87.713907644760397</v>
      </c>
      <c r="C11" s="31">
        <f>'Occ T1'!C9</f>
        <v>99.060176549524812</v>
      </c>
      <c r="D11" s="31">
        <f>'Occ T1'!D9</f>
        <v>103.38385272421922</v>
      </c>
      <c r="E11" s="31">
        <f>'Occ T1'!E9</f>
        <v>111.37636061126263</v>
      </c>
      <c r="F11" s="31">
        <f>'Occ T1'!F9</f>
        <v>123.68400316994341</v>
      </c>
      <c r="H11" s="31">
        <f>C11-B11</f>
        <v>11.346268904764415</v>
      </c>
      <c r="I11" s="31">
        <f t="shared" ref="I11:I49" si="5">D11-C11</f>
        <v>4.3236761746944126</v>
      </c>
      <c r="J11" s="31">
        <f>E11-D11</f>
        <v>7.9925078870434021</v>
      </c>
      <c r="K11" s="31">
        <f>F11-E11</f>
        <v>12.307642558680783</v>
      </c>
      <c r="L11" s="31">
        <f t="shared" si="4"/>
        <v>20.300150445724185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23.692567314037618</v>
      </c>
      <c r="C12" s="10">
        <f>'Occ T2'!C10</f>
        <v>25.522442469208741</v>
      </c>
      <c r="D12" s="10">
        <f>'Occ T2'!D10</f>
        <v>26.685661715036868</v>
      </c>
      <c r="E12" s="10">
        <f>'Occ T2'!E10</f>
        <v>27.673922841497888</v>
      </c>
      <c r="F12" s="10">
        <f>'Occ T2'!F10</f>
        <v>30.275163891514985</v>
      </c>
      <c r="H12" s="11">
        <f t="shared" ref="H12:K14" si="6">C12-B12</f>
        <v>1.8298751551711234</v>
      </c>
      <c r="I12" s="31">
        <f t="shared" si="5"/>
        <v>1.1632192458281274</v>
      </c>
      <c r="J12" s="11">
        <f t="shared" si="6"/>
        <v>0.98826112646101905</v>
      </c>
      <c r="K12" s="11">
        <f t="shared" si="6"/>
        <v>2.6012410500170979</v>
      </c>
      <c r="L12" s="31">
        <f t="shared" si="4"/>
        <v>3.589502176478117</v>
      </c>
    </row>
    <row r="13" spans="1:12" ht="13" x14ac:dyDescent="0.3">
      <c r="A13" s="10" t="str">
        <f>'Occ T2'!A11</f>
        <v>22 Health professionals</v>
      </c>
      <c r="B13" s="10">
        <f>'Occ T2'!B11</f>
        <v>21.674771905892207</v>
      </c>
      <c r="C13" s="10">
        <f>'Occ T2'!C11</f>
        <v>27.315802663195473</v>
      </c>
      <c r="D13" s="10">
        <f>'Occ T2'!D11</f>
        <v>26.829030859021046</v>
      </c>
      <c r="E13" s="10">
        <f>'Occ T2'!E11</f>
        <v>29.254758568518618</v>
      </c>
      <c r="F13" s="10">
        <f>'Occ T2'!F11</f>
        <v>32.15203505660476</v>
      </c>
      <c r="H13" s="11">
        <f t="shared" si="6"/>
        <v>5.6410307573032661</v>
      </c>
      <c r="I13" s="31">
        <f t="shared" si="5"/>
        <v>-0.48677180417442756</v>
      </c>
      <c r="J13" s="11">
        <f t="shared" si="6"/>
        <v>2.425727709497572</v>
      </c>
      <c r="K13" s="11">
        <f t="shared" si="6"/>
        <v>2.8972764880861419</v>
      </c>
      <c r="L13" s="31">
        <f t="shared" si="4"/>
        <v>5.3230041975837139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19.540374765671238</v>
      </c>
      <c r="C14" s="10">
        <f>'Occ T2'!C12</f>
        <v>20.765597855160525</v>
      </c>
      <c r="D14" s="10">
        <f>'Occ T2'!D12</f>
        <v>21.982938940498279</v>
      </c>
      <c r="E14" s="10">
        <f>'Occ T2'!E12</f>
        <v>23.36668850989928</v>
      </c>
      <c r="F14" s="10">
        <f>'Occ T2'!F12</f>
        <v>26.048744205571939</v>
      </c>
      <c r="H14" s="11">
        <f t="shared" si="6"/>
        <v>1.2252230894892868</v>
      </c>
      <c r="I14" s="31">
        <f t="shared" si="5"/>
        <v>1.217341085337754</v>
      </c>
      <c r="J14" s="11">
        <f t="shared" si="6"/>
        <v>1.3837495694010009</v>
      </c>
      <c r="K14" s="11">
        <f t="shared" si="6"/>
        <v>2.6820556956726591</v>
      </c>
      <c r="L14" s="31">
        <f t="shared" si="4"/>
        <v>4.06580526507366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22.80619365915933</v>
      </c>
      <c r="C15" s="10">
        <f>'Occ T2'!C13</f>
        <v>25.456333561960083</v>
      </c>
      <c r="D15" s="10">
        <f>'Occ T2'!D13</f>
        <v>27.886221209663034</v>
      </c>
      <c r="E15" s="10">
        <f>'Occ T2'!E13</f>
        <v>31.080990691346837</v>
      </c>
      <c r="F15" s="10">
        <f>'Occ T2'!F13</f>
        <v>35.208060016251721</v>
      </c>
      <c r="H15" s="11">
        <f t="shared" ref="H15" si="7">C15-B15</f>
        <v>2.6501399028007526</v>
      </c>
      <c r="I15" s="31">
        <f t="shared" si="5"/>
        <v>2.4298876477029516</v>
      </c>
      <c r="J15" s="11">
        <f t="shared" ref="J15" si="8">E15-D15</f>
        <v>3.194769481683803</v>
      </c>
      <c r="K15" s="11">
        <f t="shared" ref="K15" si="9">F15-E15</f>
        <v>4.127069324904884</v>
      </c>
      <c r="L15" s="31">
        <f t="shared" si="4"/>
        <v>7.321838806588687</v>
      </c>
    </row>
    <row r="16" spans="1:12" ht="13" x14ac:dyDescent="0.3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ht="13" x14ac:dyDescent="0.3">
      <c r="A17" s="30" t="str">
        <f>'Occ T1'!A10</f>
        <v>Associate professional occupations</v>
      </c>
      <c r="B17" s="31">
        <f>'Occ T1'!B10</f>
        <v>56.127385363836453</v>
      </c>
      <c r="C17" s="31">
        <f>'Occ T1'!C10</f>
        <v>58.71638203189363</v>
      </c>
      <c r="D17" s="31">
        <f>'Occ T1'!D10</f>
        <v>60.870563130092535</v>
      </c>
      <c r="E17" s="31">
        <f>'Occ T1'!E10</f>
        <v>59.244897095735702</v>
      </c>
      <c r="F17" s="31">
        <f>'Occ T1'!F10</f>
        <v>63.713873046934694</v>
      </c>
      <c r="H17" s="31">
        <f t="shared" ref="H17:K21" si="10">C17-B17</f>
        <v>2.5889966680571774</v>
      </c>
      <c r="I17" s="31">
        <f t="shared" si="5"/>
        <v>2.1541810981989045</v>
      </c>
      <c r="J17" s="31">
        <f t="shared" si="10"/>
        <v>-1.6256660343568328</v>
      </c>
      <c r="K17" s="31">
        <f t="shared" si="10"/>
        <v>4.4689759511989919</v>
      </c>
      <c r="L17" s="31">
        <f t="shared" si="4"/>
        <v>2.8433099168421592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7.6396337675645318</v>
      </c>
      <c r="C18" s="10">
        <f>'Occ T2'!C14</f>
        <v>8.0778177441015497</v>
      </c>
      <c r="D18" s="10">
        <f>'Occ T2'!D14</f>
        <v>8.7583830870047237</v>
      </c>
      <c r="E18" s="10">
        <f>'Occ T2'!E14</f>
        <v>7.5158864549179052</v>
      </c>
      <c r="F18" s="10">
        <f>'Occ T2'!F14</f>
        <v>7.7929826577159558</v>
      </c>
      <c r="H18" s="11">
        <f t="shared" si="10"/>
        <v>0.43818397653701791</v>
      </c>
      <c r="I18" s="31">
        <f t="shared" si="5"/>
        <v>0.68056534290317394</v>
      </c>
      <c r="J18" s="11">
        <f t="shared" si="10"/>
        <v>-1.2424966320868185</v>
      </c>
      <c r="K18" s="11">
        <f t="shared" si="10"/>
        <v>0.27709620279805058</v>
      </c>
      <c r="L18" s="31">
        <f t="shared" si="4"/>
        <v>-0.9654004292887679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9.0328897579836394</v>
      </c>
      <c r="C19" s="10">
        <f>'Occ T2'!C15</f>
        <v>10.956729770428341</v>
      </c>
      <c r="D19" s="10">
        <f>'Occ T2'!D15</f>
        <v>11.033633555444206</v>
      </c>
      <c r="E19" s="10">
        <f>'Occ T2'!E15</f>
        <v>11.362405938440382</v>
      </c>
      <c r="F19" s="10">
        <f>'Occ T2'!F15</f>
        <v>12.588267509691507</v>
      </c>
      <c r="H19" s="11">
        <f t="shared" si="10"/>
        <v>1.9238400124447015</v>
      </c>
      <c r="I19" s="31">
        <f t="shared" si="5"/>
        <v>7.6903785015865367E-2</v>
      </c>
      <c r="J19" s="11">
        <f t="shared" si="10"/>
        <v>0.32877238299617595</v>
      </c>
      <c r="K19" s="11">
        <f t="shared" si="10"/>
        <v>1.2258615712511247</v>
      </c>
      <c r="L19" s="31">
        <f t="shared" si="4"/>
        <v>1.5546339542473007</v>
      </c>
    </row>
    <row r="20" spans="1:12" ht="13" x14ac:dyDescent="0.3">
      <c r="A20" s="10" t="str">
        <f>'Occ T2'!A16</f>
        <v>33 Protective service occupations</v>
      </c>
      <c r="B20" s="10">
        <f>'Occ T2'!B16</f>
        <v>4.4444232941510675</v>
      </c>
      <c r="C20" s="10">
        <f>'Occ T2'!C16</f>
        <v>4.4270085893151148</v>
      </c>
      <c r="D20" s="10">
        <f>'Occ T2'!D16</f>
        <v>4.7001992247175384</v>
      </c>
      <c r="E20" s="10">
        <f>'Occ T2'!E16</f>
        <v>5.69735112555668</v>
      </c>
      <c r="F20" s="10">
        <f>'Occ T2'!F16</f>
        <v>6.7057443147351909</v>
      </c>
      <c r="H20" s="11">
        <f t="shared" si="10"/>
        <v>-1.7414704835952755E-2</v>
      </c>
      <c r="I20" s="31">
        <f t="shared" si="5"/>
        <v>0.27319063540242361</v>
      </c>
      <c r="J20" s="11">
        <f t="shared" si="10"/>
        <v>0.99715190083914162</v>
      </c>
      <c r="K20" s="11">
        <f t="shared" si="10"/>
        <v>1.008393189178511</v>
      </c>
      <c r="L20" s="31">
        <f t="shared" si="4"/>
        <v>2.0055450900176526</v>
      </c>
    </row>
    <row r="21" spans="1:12" ht="13" x14ac:dyDescent="0.3">
      <c r="A21" s="10" t="str">
        <f>'Occ T2'!A17</f>
        <v>34 Culture, media and sports occupations</v>
      </c>
      <c r="B21" s="10">
        <f>'Occ T2'!B17</f>
        <v>7.5269975158661104</v>
      </c>
      <c r="C21" s="10">
        <f>'Occ T2'!C17</f>
        <v>7.4707121265529315</v>
      </c>
      <c r="D21" s="10">
        <f>'Occ T2'!D17</f>
        <v>7.6662439139121092</v>
      </c>
      <c r="E21" s="10">
        <f>'Occ T2'!E17</f>
        <v>7.2223067456246826</v>
      </c>
      <c r="F21" s="10">
        <f>'Occ T2'!F17</f>
        <v>8.0255058830183881</v>
      </c>
      <c r="H21" s="11">
        <f t="shared" si="10"/>
        <v>-5.6285389313178946E-2</v>
      </c>
      <c r="I21" s="31">
        <f t="shared" si="5"/>
        <v>0.19553178735917776</v>
      </c>
      <c r="J21" s="11">
        <f t="shared" si="10"/>
        <v>-0.44393716828742669</v>
      </c>
      <c r="K21" s="11">
        <f t="shared" si="10"/>
        <v>0.80319913739370552</v>
      </c>
      <c r="L21" s="31">
        <f t="shared" si="4"/>
        <v>0.35926196910627883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27.483441028271102</v>
      </c>
      <c r="C22" s="10">
        <f>'Occ T2'!C18</f>
        <v>27.784113801495693</v>
      </c>
      <c r="D22" s="10">
        <f>'Occ T2'!D18</f>
        <v>28.712103349013955</v>
      </c>
      <c r="E22" s="10">
        <f>'Occ T2'!E18</f>
        <v>27.446946831196055</v>
      </c>
      <c r="F22" s="10">
        <f>'Occ T2'!F18</f>
        <v>28.60137268177365</v>
      </c>
      <c r="H22" s="11">
        <f t="shared" ref="H22" si="11">C22-B22</f>
        <v>0.30067277322459063</v>
      </c>
      <c r="I22" s="31">
        <f t="shared" si="5"/>
        <v>0.92798954751826201</v>
      </c>
      <c r="J22" s="11">
        <f t="shared" ref="J22" si="12">E22-D22</f>
        <v>-1.2651565178178998</v>
      </c>
      <c r="K22" s="11">
        <f t="shared" ref="K22" si="13">F22-E22</f>
        <v>1.1544258505775957</v>
      </c>
      <c r="L22" s="31">
        <f t="shared" si="4"/>
        <v>-0.11073066724030411</v>
      </c>
    </row>
    <row r="23" spans="1:12" ht="13" x14ac:dyDescent="0.3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ht="13" x14ac:dyDescent="0.3">
      <c r="A24" s="30" t="str">
        <f>'Occ T1'!A11</f>
        <v>Administrative and secretarial occupations</v>
      </c>
      <c r="B24" s="31">
        <f>'Occ T1'!B11</f>
        <v>60.137952735863834</v>
      </c>
      <c r="C24" s="31">
        <f>'Occ T1'!C11</f>
        <v>54.660014915246528</v>
      </c>
      <c r="D24" s="31">
        <f>'Occ T1'!D11</f>
        <v>56.605928964515698</v>
      </c>
      <c r="E24" s="31">
        <f>'Occ T1'!E11</f>
        <v>53.603520890825322</v>
      </c>
      <c r="F24" s="31">
        <f>'Occ T1'!F11</f>
        <v>48.148843754609096</v>
      </c>
      <c r="H24" s="31">
        <f t="shared" ref="H24:K26" si="14">C24-B24</f>
        <v>-5.4779378206173064</v>
      </c>
      <c r="I24" s="31">
        <f t="shared" si="5"/>
        <v>1.9459140492691702</v>
      </c>
      <c r="J24" s="31">
        <f t="shared" si="14"/>
        <v>-3.0024080736903755</v>
      </c>
      <c r="K24" s="31">
        <f t="shared" si="14"/>
        <v>-5.4546771362162261</v>
      </c>
      <c r="L24" s="31">
        <f t="shared" si="4"/>
        <v>-8.4570852099066016</v>
      </c>
    </row>
    <row r="25" spans="1:12" ht="13" x14ac:dyDescent="0.3">
      <c r="A25" t="str">
        <f>'Occ T2'!A19</f>
        <v>41 Administrative occupations</v>
      </c>
      <c r="B25" s="32">
        <f>'Occ T2'!B19</f>
        <v>49.138399456658071</v>
      </c>
      <c r="C25" s="32">
        <f>'Occ T2'!C19</f>
        <v>45.16515184624641</v>
      </c>
      <c r="D25" s="32">
        <f>'Occ T2'!D19</f>
        <v>47.317539575288471</v>
      </c>
      <c r="E25" s="32">
        <f>'Occ T2'!E19</f>
        <v>43.850294522272151</v>
      </c>
      <c r="F25" s="32">
        <f>'Occ T2'!F19</f>
        <v>41.608672087451644</v>
      </c>
      <c r="H25" s="11">
        <f t="shared" si="14"/>
        <v>-3.9732476104116614</v>
      </c>
      <c r="I25" s="31">
        <f t="shared" si="5"/>
        <v>2.1523877290420614</v>
      </c>
      <c r="J25" s="11">
        <f t="shared" si="14"/>
        <v>-3.4672450530163204</v>
      </c>
      <c r="K25" s="11">
        <f t="shared" si="14"/>
        <v>-2.2416224348205063</v>
      </c>
      <c r="L25" s="31">
        <f t="shared" si="4"/>
        <v>-5.7088674878368266</v>
      </c>
    </row>
    <row r="26" spans="1:12" ht="13" x14ac:dyDescent="0.3">
      <c r="A26" t="str">
        <f>'Occ T2'!A20</f>
        <v>42 Secretarial and related occupations</v>
      </c>
      <c r="B26" s="32">
        <f>'Occ T2'!B20</f>
        <v>10.999553279205763</v>
      </c>
      <c r="C26" s="32">
        <f>'Occ T2'!C20</f>
        <v>9.4948630690001199</v>
      </c>
      <c r="D26" s="32">
        <f>'Occ T2'!D20</f>
        <v>9.2883893892272287</v>
      </c>
      <c r="E26" s="32">
        <f>'Occ T2'!E20</f>
        <v>9.7532263685531753</v>
      </c>
      <c r="F26" s="32">
        <f>'Occ T2'!F20</f>
        <v>6.5401716671574537</v>
      </c>
      <c r="H26" s="11">
        <f t="shared" si="14"/>
        <v>-1.5046902102056432</v>
      </c>
      <c r="I26" s="31">
        <f t="shared" si="5"/>
        <v>-0.20647367977289122</v>
      </c>
      <c r="J26" s="11">
        <f t="shared" si="14"/>
        <v>0.46483697932594659</v>
      </c>
      <c r="K26" s="11">
        <f t="shared" si="14"/>
        <v>-3.2130547013957216</v>
      </c>
      <c r="L26" s="31">
        <f t="shared" si="4"/>
        <v>-2.748217722069775</v>
      </c>
    </row>
    <row r="27" spans="1:12" ht="13" x14ac:dyDescent="0.3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ht="13" x14ac:dyDescent="0.3">
      <c r="A28" s="30" t="str">
        <f>'Occ T1'!A12</f>
        <v>Skilled trades occupations</v>
      </c>
      <c r="B28" s="31">
        <f>'Occ T1'!B12</f>
        <v>61.298727794930358</v>
      </c>
      <c r="C28" s="31">
        <f>'Occ T1'!C12</f>
        <v>61.935890697668654</v>
      </c>
      <c r="D28" s="31">
        <f>'Occ T1'!D12</f>
        <v>52.306630670550817</v>
      </c>
      <c r="E28" s="31">
        <f>'Occ T1'!E12</f>
        <v>51.461610878246773</v>
      </c>
      <c r="F28" s="31">
        <f>'Occ T1'!F12</f>
        <v>47.401734716717307</v>
      </c>
      <c r="H28" s="31">
        <f t="shared" ref="H28:K30" si="15">C28-B28</f>
        <v>0.63716290273829657</v>
      </c>
      <c r="I28" s="31">
        <f t="shared" si="5"/>
        <v>-9.6292600271178372</v>
      </c>
      <c r="J28" s="31">
        <f t="shared" si="15"/>
        <v>-0.84501979230404345</v>
      </c>
      <c r="K28" s="31">
        <f t="shared" si="15"/>
        <v>-4.0598761615294663</v>
      </c>
      <c r="L28" s="31">
        <f t="shared" si="4"/>
        <v>-4.9048959538335097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4.3313158907234133</v>
      </c>
      <c r="C29" s="10">
        <f>'Occ T2'!C21</f>
        <v>3.8065912759839788</v>
      </c>
      <c r="D29" s="10">
        <f>'Occ T2'!D21</f>
        <v>3.1859142674106149</v>
      </c>
      <c r="E29" s="10">
        <f>'Occ T2'!E21</f>
        <v>3.3169662328551017</v>
      </c>
      <c r="F29" s="10">
        <f>'Occ T2'!F21</f>
        <v>3.713963148852669</v>
      </c>
      <c r="H29" s="11">
        <f t="shared" si="15"/>
        <v>-0.52472461473943444</v>
      </c>
      <c r="I29" s="31">
        <f t="shared" si="5"/>
        <v>-0.62067700857336394</v>
      </c>
      <c r="J29" s="11">
        <f t="shared" si="15"/>
        <v>0.13105196544448683</v>
      </c>
      <c r="K29" s="11">
        <f t="shared" si="15"/>
        <v>0.39699691599756726</v>
      </c>
      <c r="L29" s="31">
        <f t="shared" si="4"/>
        <v>0.52804888144205409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28.622677836919472</v>
      </c>
      <c r="C30" s="10">
        <f>'Occ T2'!C22</f>
        <v>28.343637186861049</v>
      </c>
      <c r="D30" s="10">
        <f>'Occ T2'!D22</f>
        <v>23.336997409184566</v>
      </c>
      <c r="E30" s="10">
        <f>'Occ T2'!E22</f>
        <v>22.590240240806626</v>
      </c>
      <c r="F30" s="10">
        <f>'Occ T2'!F22</f>
        <v>20.844900637900004</v>
      </c>
      <c r="H30" s="11">
        <f t="shared" si="15"/>
        <v>-0.27904065005842327</v>
      </c>
      <c r="I30" s="31">
        <f t="shared" si="5"/>
        <v>-5.006639777676483</v>
      </c>
      <c r="J30" s="11">
        <f t="shared" si="15"/>
        <v>-0.74675716837793971</v>
      </c>
      <c r="K30" s="11">
        <f t="shared" si="15"/>
        <v>-1.7453396029066219</v>
      </c>
      <c r="L30" s="31">
        <f t="shared" si="4"/>
        <v>-2.4920967712845616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18.67563056886091</v>
      </c>
      <c r="C31" s="10">
        <f>'Occ T2'!C23</f>
        <v>21.339556958033437</v>
      </c>
      <c r="D31" s="10">
        <f>'Occ T2'!D23</f>
        <v>17.433599719002551</v>
      </c>
      <c r="E31" s="10">
        <f>'Occ T2'!E23</f>
        <v>17.553314521586643</v>
      </c>
      <c r="F31" s="10">
        <f>'Occ T2'!F23</f>
        <v>15.357819560659681</v>
      </c>
      <c r="H31" s="11">
        <f t="shared" ref="H31:H32" si="16">C31-B31</f>
        <v>2.6639263891725271</v>
      </c>
      <c r="I31" s="31">
        <f t="shared" si="5"/>
        <v>-3.9059572390308865</v>
      </c>
      <c r="J31" s="11">
        <f t="shared" ref="J31:J32" si="17">E31-D31</f>
        <v>0.11971480258409173</v>
      </c>
      <c r="K31" s="11">
        <f t="shared" ref="K31:K32" si="18">F31-E31</f>
        <v>-2.1954949609269612</v>
      </c>
      <c r="L31" s="31">
        <f t="shared" si="4"/>
        <v>-2.0757801583428694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9.669103498426562</v>
      </c>
      <c r="C32" s="10">
        <f>'Occ T2'!C24</f>
        <v>8.4461052767901936</v>
      </c>
      <c r="D32" s="10">
        <f>'Occ T2'!D24</f>
        <v>8.3501192749530908</v>
      </c>
      <c r="E32" s="10">
        <f>'Occ T2'!E24</f>
        <v>8.0010898829984018</v>
      </c>
      <c r="F32" s="10">
        <f>'Occ T2'!F24</f>
        <v>7.4850513693049479</v>
      </c>
      <c r="H32" s="11">
        <f t="shared" si="16"/>
        <v>-1.2229982216363684</v>
      </c>
      <c r="I32" s="31">
        <f t="shared" si="5"/>
        <v>-9.5986001837102819E-2</v>
      </c>
      <c r="J32" s="11">
        <f t="shared" si="17"/>
        <v>-0.34902939195468896</v>
      </c>
      <c r="K32" s="11">
        <f t="shared" si="18"/>
        <v>-0.51603851369345399</v>
      </c>
      <c r="L32" s="31">
        <f t="shared" si="4"/>
        <v>-0.86506790564814295</v>
      </c>
    </row>
    <row r="33" spans="1:12" ht="13" x14ac:dyDescent="0.3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ht="13" x14ac:dyDescent="0.3">
      <c r="A34" s="30" t="str">
        <f>'Occ T1'!A13</f>
        <v>Caring, leisure and other service occupations</v>
      </c>
      <c r="B34" s="31">
        <f>'Occ T1'!B13</f>
        <v>50.478192628686529</v>
      </c>
      <c r="C34" s="31">
        <f>'Occ T1'!C13</f>
        <v>51.457710511437924</v>
      </c>
      <c r="D34" s="31">
        <f>'Occ T1'!D13</f>
        <v>49.410643446209662</v>
      </c>
      <c r="E34" s="31">
        <f>'Occ T1'!E13</f>
        <v>53.053345602630927</v>
      </c>
      <c r="F34" s="31">
        <f>'Occ T1'!F13</f>
        <v>57.663130107930762</v>
      </c>
      <c r="H34" s="31">
        <f t="shared" ref="H34:K36" si="19">C34-B34</f>
        <v>0.97951788275139506</v>
      </c>
      <c r="I34" s="31">
        <f t="shared" si="5"/>
        <v>-2.0470670652282621</v>
      </c>
      <c r="J34" s="31">
        <f t="shared" si="19"/>
        <v>3.6427021564212652</v>
      </c>
      <c r="K34" s="31">
        <f t="shared" si="19"/>
        <v>4.6097845052998352</v>
      </c>
      <c r="L34" s="31">
        <f t="shared" si="4"/>
        <v>8.2524866617211003</v>
      </c>
    </row>
    <row r="35" spans="1:12" ht="13" x14ac:dyDescent="0.3">
      <c r="A35" s="10" t="str">
        <f>'Occ T2'!A25</f>
        <v>61 Caring personal service occupations</v>
      </c>
      <c r="B35" s="10">
        <f>'Occ T2'!B25</f>
        <v>38.549226321705412</v>
      </c>
      <c r="C35" s="10">
        <f>'Occ T2'!C25</f>
        <v>41.061869374214055</v>
      </c>
      <c r="D35" s="10">
        <f>'Occ T2'!D25</f>
        <v>39.805845710644</v>
      </c>
      <c r="E35" s="10">
        <f>'Occ T2'!E25</f>
        <v>43.392777484738282</v>
      </c>
      <c r="F35" s="10">
        <f>'Occ T2'!F25</f>
        <v>47.806525479323881</v>
      </c>
      <c r="G35" s="10"/>
      <c r="H35" s="11">
        <f t="shared" si="19"/>
        <v>2.5126430525086434</v>
      </c>
      <c r="I35" s="31">
        <f t="shared" si="5"/>
        <v>-1.2560236635700548</v>
      </c>
      <c r="J35" s="11">
        <f t="shared" si="19"/>
        <v>3.5869317740942819</v>
      </c>
      <c r="K35" s="11">
        <f t="shared" si="19"/>
        <v>4.4137479945855986</v>
      </c>
      <c r="L35" s="31">
        <f t="shared" si="4"/>
        <v>8.0006797686798805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11.482295485656088</v>
      </c>
      <c r="C36" s="10">
        <f>'Occ T2'!C26</f>
        <v>10.028377892597494</v>
      </c>
      <c r="D36" s="10">
        <f>'Occ T2'!D26</f>
        <v>9.1467848880288667</v>
      </c>
      <c r="E36" s="10">
        <f>'Occ T2'!E26</f>
        <v>9.2777953908540791</v>
      </c>
      <c r="F36" s="10">
        <f>'Occ T2'!F26</f>
        <v>9.4378645671143033</v>
      </c>
      <c r="G36" s="10"/>
      <c r="H36" s="11">
        <f t="shared" si="19"/>
        <v>-1.4539175930585948</v>
      </c>
      <c r="I36" s="31">
        <f t="shared" si="5"/>
        <v>-0.88159300456862688</v>
      </c>
      <c r="J36" s="11">
        <f t="shared" si="19"/>
        <v>0.13101050282521243</v>
      </c>
      <c r="K36" s="11">
        <f t="shared" si="19"/>
        <v>0.16006917626022421</v>
      </c>
      <c r="L36" s="31">
        <f t="shared" si="4"/>
        <v>0.29107967908543664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0.44667082132503055</v>
      </c>
      <c r="C37" s="10">
        <f>'Occ T2'!C27</f>
        <v>0.3674632446263803</v>
      </c>
      <c r="D37" s="10">
        <f>'Occ T2'!D27</f>
        <v>0.45801284753679466</v>
      </c>
      <c r="E37" s="10">
        <f>'Occ T2'!E27</f>
        <v>0.38277272703856241</v>
      </c>
      <c r="F37" s="10">
        <f>'Occ T2'!F27</f>
        <v>0.41874006149257798</v>
      </c>
      <c r="G37" s="10"/>
      <c r="H37" s="11">
        <f t="shared" ref="H37" si="20">C37-B37</f>
        <v>-7.9207576698650251E-2</v>
      </c>
      <c r="I37" s="31">
        <f t="shared" ref="I37" si="21">D37-C37</f>
        <v>9.0549602910414362E-2</v>
      </c>
      <c r="J37" s="11">
        <f t="shared" ref="J37" si="22">E37-D37</f>
        <v>-7.5240120498232255E-2</v>
      </c>
      <c r="K37" s="11">
        <f t="shared" ref="K37" si="23">F37-E37</f>
        <v>3.5967334454015565E-2</v>
      </c>
      <c r="L37" s="31">
        <f t="shared" ref="L37" si="24">F37-D37</f>
        <v>-3.927278604421669E-2</v>
      </c>
    </row>
    <row r="38" spans="1:12" ht="13" x14ac:dyDescent="0.3">
      <c r="I38" s="31"/>
      <c r="L38" s="31"/>
    </row>
    <row r="39" spans="1:12" s="30" customFormat="1" ht="13" x14ac:dyDescent="0.3">
      <c r="A39" s="30" t="str">
        <f>'Occ T1'!A14</f>
        <v>Sales and customer service occupations</v>
      </c>
      <c r="B39" s="31">
        <f>'Occ T1'!B14</f>
        <v>43.312490842090227</v>
      </c>
      <c r="C39" s="31">
        <f>'Occ T1'!C14</f>
        <v>39.58425723188698</v>
      </c>
      <c r="D39" s="31">
        <f>'Occ T1'!D14</f>
        <v>39.309638587229429</v>
      </c>
      <c r="E39" s="31">
        <f>'Occ T1'!E14</f>
        <v>39.513198289376646</v>
      </c>
      <c r="F39" s="31">
        <f>'Occ T1'!F14</f>
        <v>39.410882758368302</v>
      </c>
      <c r="H39" s="31">
        <f>C39-B39</f>
        <v>-3.7282336102032474</v>
      </c>
      <c r="I39" s="31">
        <f t="shared" si="5"/>
        <v>-0.2746186446575507</v>
      </c>
      <c r="J39" s="31">
        <f>E39-D39</f>
        <v>0.20355970214721708</v>
      </c>
      <c r="K39" s="31">
        <f>F39-E39</f>
        <v>-0.1023155310083439</v>
      </c>
      <c r="L39" s="31">
        <f t="shared" si="4"/>
        <v>0.10124417113887318</v>
      </c>
    </row>
    <row r="40" spans="1:12" s="30" customFormat="1" ht="13" x14ac:dyDescent="0.3">
      <c r="A40" s="126" t="str">
        <f>'Occ T2'!A28</f>
        <v>71 Sales occupations</v>
      </c>
      <c r="B40" s="126">
        <f>'Occ T2'!B28</f>
        <v>34.223800198352485</v>
      </c>
      <c r="C40" s="126">
        <f>'Occ T2'!C28</f>
        <v>30.736255514037822</v>
      </c>
      <c r="D40" s="126">
        <f>'Occ T2'!D28</f>
        <v>30.191807825248862</v>
      </c>
      <c r="E40" s="126">
        <f>'Occ T2'!E28</f>
        <v>27.72715045001522</v>
      </c>
      <c r="F40" s="126">
        <f>'Occ T2'!F28</f>
        <v>25.969905791596378</v>
      </c>
      <c r="G40"/>
      <c r="H40" s="11">
        <f>C40-B40</f>
        <v>-3.4875446843146634</v>
      </c>
      <c r="I40" s="31">
        <f t="shared" si="5"/>
        <v>-0.54444768878895999</v>
      </c>
      <c r="J40" s="11">
        <f t="shared" ref="J40" si="25">E40-D40</f>
        <v>-2.4646573752336423</v>
      </c>
      <c r="K40" s="11">
        <f t="shared" ref="K40" si="26">F40-E40</f>
        <v>-1.7572446584188413</v>
      </c>
      <c r="L40" s="31">
        <f t="shared" si="4"/>
        <v>-4.2219020336524835</v>
      </c>
    </row>
    <row r="41" spans="1:12" s="30" customFormat="1" ht="13" x14ac:dyDescent="0.3">
      <c r="A41" s="126" t="str">
        <f>'Occ T2'!A29</f>
        <v>72 Customer service occupations</v>
      </c>
      <c r="B41" s="126">
        <f>'Occ T2'!B29</f>
        <v>9.0886906437377402</v>
      </c>
      <c r="C41" s="126">
        <f>'Occ T2'!C29</f>
        <v>8.8480017178491579</v>
      </c>
      <c r="D41" s="126">
        <f>'Occ T2'!D29</f>
        <v>9.1178307619805707</v>
      </c>
      <c r="E41" s="126">
        <f>'Occ T2'!E29</f>
        <v>11.78604783936143</v>
      </c>
      <c r="F41" s="126">
        <f>'Occ T2'!F29</f>
        <v>13.440976966771922</v>
      </c>
      <c r="G41"/>
      <c r="H41" s="11">
        <f t="shared" ref="H41" si="27">C41-B41</f>
        <v>-0.24068892588858226</v>
      </c>
      <c r="I41" s="31">
        <f t="shared" si="5"/>
        <v>0.26982904413141284</v>
      </c>
      <c r="J41" s="11">
        <f t="shared" ref="J41" si="28">E41-D41</f>
        <v>2.6682170773808593</v>
      </c>
      <c r="K41" s="11">
        <f t="shared" ref="K41" si="29">F41-E41</f>
        <v>1.654929127410492</v>
      </c>
      <c r="L41" s="31">
        <f t="shared" si="4"/>
        <v>4.3231462047913514</v>
      </c>
    </row>
    <row r="42" spans="1:12" ht="13" x14ac:dyDescent="0.3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ht="13" x14ac:dyDescent="0.3">
      <c r="A43" s="30" t="str">
        <f>'Occ T1'!A15</f>
        <v>Process, plant and machine operatives</v>
      </c>
      <c r="B43" s="31">
        <f>'Occ T1'!B15</f>
        <v>47.140684059777136</v>
      </c>
      <c r="C43" s="31">
        <f>'Occ T1'!C15</f>
        <v>46.572468845695923</v>
      </c>
      <c r="D43" s="31">
        <f>'Occ T1'!D15</f>
        <v>40.267755299281561</v>
      </c>
      <c r="E43" s="31">
        <f>'Occ T1'!E15</f>
        <v>45.789999084206102</v>
      </c>
      <c r="F43" s="31">
        <f>'Occ T1'!F15</f>
        <v>45.466920875438291</v>
      </c>
      <c r="H43" s="31">
        <f t="shared" ref="H43:K45" si="30">C43-B43</f>
        <v>-0.56821521408121356</v>
      </c>
      <c r="I43" s="31">
        <f t="shared" si="5"/>
        <v>-6.3047135464143622</v>
      </c>
      <c r="J43" s="31">
        <f t="shared" si="30"/>
        <v>5.5222437849245409</v>
      </c>
      <c r="K43" s="31">
        <f t="shared" si="30"/>
        <v>-0.32307820876781079</v>
      </c>
      <c r="L43" s="31">
        <f t="shared" si="4"/>
        <v>5.1991655761567301</v>
      </c>
    </row>
    <row r="44" spans="1:12" ht="13" x14ac:dyDescent="0.3">
      <c r="A44" s="10" t="str">
        <f>'Occ T2'!A30</f>
        <v>81 Process, plant and machine operatives</v>
      </c>
      <c r="B44" s="10">
        <f>'Occ T2'!B30</f>
        <v>23.017676946693587</v>
      </c>
      <c r="C44" s="10">
        <f>'Occ T2'!C30</f>
        <v>21.73705414319814</v>
      </c>
      <c r="D44" s="10">
        <f>'Occ T2'!D30</f>
        <v>18.31625402877377</v>
      </c>
      <c r="E44" s="10">
        <f>'Occ T2'!E30</f>
        <v>21.943097050143233</v>
      </c>
      <c r="F44" s="10">
        <f>'Occ T2'!F30</f>
        <v>21.313020528914095</v>
      </c>
      <c r="H44" s="11">
        <f t="shared" si="30"/>
        <v>-1.2806228034954472</v>
      </c>
      <c r="I44" s="31">
        <f t="shared" si="5"/>
        <v>-3.4208001144243703</v>
      </c>
      <c r="J44" s="11">
        <f t="shared" si="30"/>
        <v>3.6268430213694636</v>
      </c>
      <c r="K44" s="11">
        <f t="shared" si="30"/>
        <v>-0.63007652122913882</v>
      </c>
      <c r="L44" s="31">
        <f t="shared" si="4"/>
        <v>2.9967665001403248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24.123007113083549</v>
      </c>
      <c r="C45" s="10">
        <f>'Occ T2'!C31</f>
        <v>24.835414702497786</v>
      </c>
      <c r="D45" s="10">
        <f>'Occ T2'!D31</f>
        <v>21.951501270507791</v>
      </c>
      <c r="E45" s="10">
        <f>'Occ T2'!E31</f>
        <v>23.846902034062865</v>
      </c>
      <c r="F45" s="10">
        <f>'Occ T2'!F31</f>
        <v>24.153900346524193</v>
      </c>
      <c r="H45" s="11">
        <f t="shared" si="30"/>
        <v>0.71240758941423721</v>
      </c>
      <c r="I45" s="31">
        <f t="shared" si="5"/>
        <v>-2.8839134319899955</v>
      </c>
      <c r="J45" s="11">
        <f t="shared" si="30"/>
        <v>1.8954007635550738</v>
      </c>
      <c r="K45" s="11">
        <f t="shared" si="30"/>
        <v>0.30699831246132803</v>
      </c>
      <c r="L45" s="31">
        <f t="shared" si="4"/>
        <v>2.2023990760164018</v>
      </c>
    </row>
    <row r="46" spans="1:12" ht="13" x14ac:dyDescent="0.3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ht="13" x14ac:dyDescent="0.3">
      <c r="A47" s="30" t="str">
        <f>'Occ T1'!A16</f>
        <v>Elementary occupations</v>
      </c>
      <c r="B47" s="31">
        <f>'Occ T1'!B16</f>
        <v>56.959938314054902</v>
      </c>
      <c r="C47" s="31">
        <f>'Occ T1'!C16</f>
        <v>51.59895120706809</v>
      </c>
      <c r="D47" s="31">
        <f>'Occ T1'!D16</f>
        <v>46.376753906216948</v>
      </c>
      <c r="E47" s="31">
        <f>'Occ T1'!E16</f>
        <v>45.460220180301008</v>
      </c>
      <c r="F47" s="31">
        <f>'Occ T1'!F16</f>
        <v>42.114721270652204</v>
      </c>
      <c r="H47" s="31">
        <f t="shared" ref="H47:K49" si="31">C47-B47</f>
        <v>-5.360987106986812</v>
      </c>
      <c r="I47" s="31">
        <f t="shared" si="5"/>
        <v>-5.2221973008511426</v>
      </c>
      <c r="J47" s="31">
        <f t="shared" si="31"/>
        <v>-0.91653372591594007</v>
      </c>
      <c r="K47" s="31">
        <f t="shared" si="31"/>
        <v>-3.3454989096488035</v>
      </c>
      <c r="L47" s="31">
        <f t="shared" si="4"/>
        <v>-4.2620326355647435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11.487443580203083</v>
      </c>
      <c r="C48" s="10">
        <f>'Occ T2'!C32</f>
        <v>9.8320405541299731</v>
      </c>
      <c r="D48" s="10">
        <f>'Occ T2'!D32</f>
        <v>8.6428835980951746</v>
      </c>
      <c r="E48" s="10">
        <f>'Occ T2'!E32</f>
        <v>7.3188128388141793</v>
      </c>
      <c r="F48" s="10">
        <f>'Occ T2'!F32</f>
        <v>6.864739167432238</v>
      </c>
      <c r="H48" s="11">
        <f t="shared" si="31"/>
        <v>-1.6554030260731096</v>
      </c>
      <c r="I48" s="31">
        <f t="shared" si="5"/>
        <v>-1.1891569560347985</v>
      </c>
      <c r="J48" s="11">
        <f t="shared" si="31"/>
        <v>-1.3240707592809953</v>
      </c>
      <c r="K48" s="11">
        <f t="shared" si="31"/>
        <v>-0.45407367138194132</v>
      </c>
      <c r="L48" s="31">
        <f t="shared" si="4"/>
        <v>-1.7781444306629366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45.472494733851818</v>
      </c>
      <c r="C49" s="10">
        <f>'Occ T2'!C33</f>
        <v>41.766910652938115</v>
      </c>
      <c r="D49" s="10">
        <f>'Occ T2'!D33</f>
        <v>37.733870308121773</v>
      </c>
      <c r="E49" s="10">
        <f>'Occ T2'!E33</f>
        <v>38.141407341486826</v>
      </c>
      <c r="F49" s="10">
        <f>'Occ T2'!F33</f>
        <v>35.249982103219963</v>
      </c>
      <c r="H49" s="11">
        <f t="shared" si="31"/>
        <v>-3.7055840809137024</v>
      </c>
      <c r="I49" s="31">
        <f t="shared" si="5"/>
        <v>-4.0330403448163423</v>
      </c>
      <c r="J49" s="11">
        <f t="shared" si="31"/>
        <v>0.40753703336505254</v>
      </c>
      <c r="K49" s="11">
        <f t="shared" si="31"/>
        <v>-2.8914252382668622</v>
      </c>
      <c r="L49" s="31">
        <f t="shared" si="4"/>
        <v>-2.4838882049018096</v>
      </c>
    </row>
    <row r="50" spans="1:12" ht="13" x14ac:dyDescent="0.3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ht="13" x14ac:dyDescent="0.3">
      <c r="A51" s="39" t="str">
        <f>'Occ T1'!A18</f>
        <v>All occupations</v>
      </c>
      <c r="B51" s="34">
        <f>'Occ T1'!B18</f>
        <v>505.56200000000024</v>
      </c>
      <c r="C51" s="34">
        <f>'Occ T1'!C18</f>
        <v>509.93099999999981</v>
      </c>
      <c r="D51" s="34">
        <f>'Occ T1'!D18</f>
        <v>496.19400000000024</v>
      </c>
      <c r="E51" s="34">
        <f>'Occ T1'!E18</f>
        <v>508.12799999999987</v>
      </c>
      <c r="F51" s="34">
        <f>'Occ T1'!F18</f>
        <v>521.94399999999996</v>
      </c>
      <c r="G51" s="24"/>
      <c r="H51" s="34">
        <f>C51-B51</f>
        <v>4.3689999999995734</v>
      </c>
      <c r="I51" s="205">
        <f>D51-C51</f>
        <v>-13.736999999999568</v>
      </c>
      <c r="J51" s="34">
        <f>E51-D51</f>
        <v>11.933999999999628</v>
      </c>
      <c r="K51" s="34">
        <f>F51-E51</f>
        <v>13.816000000000088</v>
      </c>
      <c r="L51" s="205">
        <f>F51-D51</f>
        <v>25.749999999999716</v>
      </c>
    </row>
    <row r="53" spans="1:12" ht="15.5" x14ac:dyDescent="0.35">
      <c r="A53" s="19" t="str">
        <f>CONCATENATE(A1," (Continued)")</f>
        <v>Occupation Table 3  Employment Change by Occupation in Occupation Group (SOC 2020), 2015-2035, Black Country (Continued)</v>
      </c>
    </row>
    <row r="55" spans="1:12" x14ac:dyDescent="0.25">
      <c r="L55" s="16" t="s">
        <v>22</v>
      </c>
    </row>
    <row r="56" spans="1:12" ht="13" x14ac:dyDescent="0.3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ht="13" x14ac:dyDescent="0.3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ht="13" x14ac:dyDescent="0.3">
      <c r="A59" s="30" t="str">
        <f>A7</f>
        <v>Managers, directors and senior officials</v>
      </c>
      <c r="B59" s="44">
        <f>IF(AND(C$5-B$5 &lt;&gt; 0,C7 &lt;&gt; 0,B7 &lt;&gt; 0),(EXP(LN(C7/B7)/(C$5-B$5))-1)*100,0)</f>
        <v>2.2535150400792014</v>
      </c>
      <c r="C59" s="44">
        <f>IF(AND(D$5-C$5 &lt;&gt; 0,D7 &lt;&gt; 0,C7 &lt;&gt; 0),(EXP(LN(D7/C7)/(D$5-C$5))-1)*100,0)</f>
        <v>2.8419053960834662</v>
      </c>
      <c r="D59" s="44">
        <f>IF(AND(E$5-D$5 &lt;&gt; 0,E7 &lt;&gt; 0,D7 &lt;&gt; 0),(EXP(LN(E7/D7)/(E$5-D$5))-1)*100,0)</f>
        <v>0.40070737335460294</v>
      </c>
      <c r="E59" s="44">
        <f>IF(AND(F$5-E$5 &lt;&gt; 0,F7 &lt;&gt; 0,E7 &lt;&gt; 0),(EXP(LN(F7/E7)/(F$5-E$5))-1)*100,0)</f>
        <v>1.1174364195466913</v>
      </c>
      <c r="F59" s="44">
        <f>IF(AND(F$5-D$5 &lt;&gt; 0,F7 &lt;&gt; 0,D7 &lt;&gt; 0),(EXP(LN(F7/D7)/(F$5-D$5))-1)*100,0)</f>
        <v>0.87796003337696771</v>
      </c>
      <c r="H59" s="44">
        <f>(B7/B$51)*100</f>
        <v>8.3852664195490014</v>
      </c>
      <c r="I59" s="44">
        <f>(C7/C$51)*100</f>
        <v>9.0885135458674391</v>
      </c>
      <c r="J59" s="44">
        <f>(D7/D$51)*100</f>
        <v>9.605564209096503</v>
      </c>
      <c r="K59" s="44">
        <f>(E7/E$51)*100</f>
        <v>9.5694091582071295</v>
      </c>
      <c r="L59" s="44">
        <f>(F7/F$51)*100</f>
        <v>10.411057565448745</v>
      </c>
    </row>
    <row r="60" spans="1:12" s="30" customFormat="1" ht="13" x14ac:dyDescent="0.3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3.0303782938927215</v>
      </c>
      <c r="C60" s="44">
        <f t="shared" si="32"/>
        <v>2.3388292104387531</v>
      </c>
      <c r="D60" s="44">
        <f t="shared" si="32"/>
        <v>-1.3304879854512341</v>
      </c>
      <c r="E60" s="44">
        <f t="shared" si="32"/>
        <v>0.9460829063097087</v>
      </c>
      <c r="F60" s="44">
        <f>IF(AND(F$5-D$5 &lt;&gt; 0,F8 &lt;&gt; 0,D8 &lt;&gt; 0),(EXP(LN(F8/D8)/(F$5-D$5))-1)*100,0)</f>
        <v>0.18144870741847452</v>
      </c>
      <c r="H60" s="44">
        <f t="shared" ref="H60:L60" si="33">(B8/B$51)*100</f>
        <v>5.9104097619839706</v>
      </c>
      <c r="I60" s="44">
        <f t="shared" si="33"/>
        <v>6.603007298957662</v>
      </c>
      <c r="J60" s="44">
        <f t="shared" si="33"/>
        <v>6.9445183163356754</v>
      </c>
      <c r="K60" s="44">
        <f t="shared" si="33"/>
        <v>6.3421339565992527</v>
      </c>
      <c r="L60" s="44">
        <f t="shared" si="33"/>
        <v>6.7838985018147451</v>
      </c>
    </row>
    <row r="61" spans="1:12" s="30" customFormat="1" ht="13" x14ac:dyDescent="0.3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0.322986038237838</v>
      </c>
      <c r="C61" s="44">
        <f>IF(AND(D$5-C$5 &lt;&gt; 0,D9 &lt;&gt; 0,C9 &lt;&gt; 0),(EXP(LN(D9/C9)/(D$5-C$5))-1)*100,0)</f>
        <v>4.178379898963458</v>
      </c>
      <c r="D61" s="44">
        <f t="shared" si="34"/>
        <v>4.4289835801952782</v>
      </c>
      <c r="E61" s="44">
        <f t="shared" si="34"/>
        <v>1.4467499962206753</v>
      </c>
      <c r="F61" s="44">
        <f>IF(AND(F$5-D$5 &lt;&gt; 0,F9 &lt;&gt; 0,D9 &lt;&gt; 0),(EXP(LN(F9/D9)/(F$5-D$5))-1)*100,0)</f>
        <v>2.4312429117910428</v>
      </c>
      <c r="H61" s="44">
        <f t="shared" ref="H61:L61" si="35">(B9/B$51)*100</f>
        <v>2.4748566575650308</v>
      </c>
      <c r="I61" s="44">
        <f t="shared" si="35"/>
        <v>2.4855062469097779</v>
      </c>
      <c r="J61" s="44">
        <f t="shared" si="35"/>
        <v>2.6610458927608289</v>
      </c>
      <c r="K61" s="44">
        <f t="shared" si="35"/>
        <v>3.2272752016078781</v>
      </c>
      <c r="L61" s="44">
        <f t="shared" si="35"/>
        <v>3.6271590636340001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3.0878921424440708</v>
      </c>
      <c r="C63" s="44">
        <f t="shared" si="36"/>
        <v>4.3646966170434842</v>
      </c>
      <c r="D63" s="44">
        <f t="shared" si="36"/>
        <v>1.5004720382954639</v>
      </c>
      <c r="E63" s="44">
        <f t="shared" si="36"/>
        <v>1.0536608112592383</v>
      </c>
      <c r="F63" s="44">
        <f>IF(AND(F$5-D$5 &lt;&gt; 0,F11 &lt;&gt; 0,D11 &lt;&gt; 0),(EXP(LN(F11/D11)/(F$5-D$5))-1)*100,0)</f>
        <v>1.2023789149196329</v>
      </c>
      <c r="H63" s="44">
        <f>(B11/B$51)*100</f>
        <v>17.349782547889351</v>
      </c>
      <c r="I63" s="44">
        <f>(C11/C$51)*100</f>
        <v>19.42619227886221</v>
      </c>
      <c r="J63" s="44">
        <f>(D11/D$51)*100</f>
        <v>20.835369376538043</v>
      </c>
      <c r="K63" s="44">
        <f>(E11/E$51)*100</f>
        <v>21.918957548346608</v>
      </c>
      <c r="L63" s="44">
        <f>(F11/F$51)*100</f>
        <v>23.696795665807716</v>
      </c>
    </row>
    <row r="64" spans="1:12" ht="13" x14ac:dyDescent="0.3">
      <c r="A64" t="str">
        <f>A12</f>
        <v>21 Science, research, engineering and technology professionals</v>
      </c>
      <c r="B64" s="49">
        <f t="shared" si="36"/>
        <v>1.8773236967932538</v>
      </c>
      <c r="C64" s="44">
        <f t="shared" si="36"/>
        <v>4.5576329429735329</v>
      </c>
      <c r="D64" s="49">
        <f t="shared" si="36"/>
        <v>0.72993411341675252</v>
      </c>
      <c r="E64" s="49">
        <f t="shared" si="36"/>
        <v>0.90241893513023363</v>
      </c>
      <c r="F64" s="44">
        <f>IF(AND(F$5-D$5 &lt;&gt; 0,F12 &lt;&gt; 0,D12 &lt;&gt; 0),(EXP(LN(F12/D12)/(F$5-D$5))-1)*100,0)</f>
        <v>0.84489120237103421</v>
      </c>
      <c r="H64" s="40">
        <f t="shared" ref="H64:L67" si="37">(B12/B$11)*100</f>
        <v>27.011186652397299</v>
      </c>
      <c r="I64" s="40">
        <f t="shared" si="37"/>
        <v>25.764584072237017</v>
      </c>
      <c r="J64" s="40">
        <f t="shared" si="37"/>
        <v>25.812214395048706</v>
      </c>
      <c r="K64" s="40">
        <f t="shared" si="37"/>
        <v>24.847214157130072</v>
      </c>
      <c r="L64" s="40">
        <f t="shared" si="37"/>
        <v>24.477833119547821</v>
      </c>
    </row>
    <row r="65" spans="1:12" ht="13" x14ac:dyDescent="0.3">
      <c r="A65" t="str">
        <f>A13</f>
        <v>22 Health professionals</v>
      </c>
      <c r="B65" s="49">
        <f t="shared" si="36"/>
        <v>5.9533902611244693</v>
      </c>
      <c r="C65" s="44">
        <f t="shared" si="36"/>
        <v>-1.7820153783373538</v>
      </c>
      <c r="D65" s="49">
        <f t="shared" si="36"/>
        <v>1.7462254020997214</v>
      </c>
      <c r="E65" s="49">
        <f t="shared" si="36"/>
        <v>0.94880792108946732</v>
      </c>
      <c r="F65" s="44">
        <f>IF(AND(F$5-D$5 &lt;&gt; 0,F13 &lt;&gt; 0,D13 &lt;&gt; 0),(EXP(LN(F13/D13)/(F$5-D$5))-1)*100,0)</f>
        <v>1.2139169166406338</v>
      </c>
      <c r="H65" s="40">
        <f t="shared" si="37"/>
        <v>24.71075851924715</v>
      </c>
      <c r="I65" s="40">
        <f t="shared" si="37"/>
        <v>27.574958590487697</v>
      </c>
      <c r="J65" s="40">
        <f t="shared" si="37"/>
        <v>25.950890929349107</v>
      </c>
      <c r="K65" s="40">
        <f t="shared" si="37"/>
        <v>26.266577941639358</v>
      </c>
      <c r="L65" s="40">
        <f t="shared" si="37"/>
        <v>25.995305967278121</v>
      </c>
    </row>
    <row r="66" spans="1:12" ht="13" x14ac:dyDescent="0.3">
      <c r="A66" t="str">
        <f>A14</f>
        <v>23 Teaching and other educational professionals</v>
      </c>
      <c r="B66" s="49">
        <f t="shared" si="36"/>
        <v>1.5319874948684697</v>
      </c>
      <c r="C66" s="44">
        <f t="shared" si="36"/>
        <v>5.8622973141860601</v>
      </c>
      <c r="D66" s="49">
        <f t="shared" si="36"/>
        <v>1.2283791641005015</v>
      </c>
      <c r="E66" s="49">
        <f t="shared" si="36"/>
        <v>1.0925059308892981</v>
      </c>
      <c r="F66" s="44">
        <f>IF(AND(F$5-D$5 &lt;&gt; 0,F14 &lt;&gt; 0,D14 &lt;&gt; 0),(EXP(LN(F14/D14)/(F$5-D$5))-1)*100,0)</f>
        <v>1.1377767326286925</v>
      </c>
      <c r="H66" s="40">
        <f t="shared" si="37"/>
        <v>22.2773962423489</v>
      </c>
      <c r="I66" s="40">
        <f t="shared" si="37"/>
        <v>20.962609373887833</v>
      </c>
      <c r="J66" s="40">
        <f t="shared" si="37"/>
        <v>21.263416250445506</v>
      </c>
      <c r="K66" s="40">
        <f t="shared" si="37"/>
        <v>20.979935402500832</v>
      </c>
      <c r="L66" s="40">
        <f t="shared" si="37"/>
        <v>21.060722112770421</v>
      </c>
    </row>
    <row r="67" spans="1:12" ht="13" x14ac:dyDescent="0.3">
      <c r="A67" t="str">
        <f>A15</f>
        <v>24 Business, media and public service professionals</v>
      </c>
      <c r="B67" s="49">
        <f t="shared" si="36"/>
        <v>2.7864250271628199</v>
      </c>
      <c r="C67" s="44">
        <f t="shared" si="36"/>
        <v>9.5453166568102432</v>
      </c>
      <c r="D67" s="49">
        <f t="shared" si="36"/>
        <v>2.192973750881233</v>
      </c>
      <c r="E67" s="49">
        <f t="shared" si="36"/>
        <v>1.2545911195317228</v>
      </c>
      <c r="F67" s="44">
        <f>IF(AND(F$5-D$5 &lt;&gt; 0,F15 &lt;&gt; 0,D15 &lt;&gt; 0),(EXP(LN(F15/D15)/(F$5-D$5))-1)*100,0)</f>
        <v>1.5664239951518555</v>
      </c>
      <c r="H67" s="40">
        <f t="shared" si="37"/>
        <v>26.000658586006644</v>
      </c>
      <c r="I67" s="40">
        <f t="shared" si="37"/>
        <v>25.69784796338746</v>
      </c>
      <c r="J67" s="40">
        <f t="shared" si="37"/>
        <v>26.973478425156681</v>
      </c>
      <c r="K67" s="40">
        <f t="shared" si="37"/>
        <v>27.906272498729734</v>
      </c>
      <c r="L67" s="40">
        <f t="shared" si="37"/>
        <v>28.466138800403634</v>
      </c>
    </row>
    <row r="68" spans="1:12" ht="13" x14ac:dyDescent="0.3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ht="13" x14ac:dyDescent="0.3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1.1337518594024765</v>
      </c>
      <c r="C69" s="44">
        <f t="shared" si="39"/>
        <v>3.6687905890195882</v>
      </c>
      <c r="D69" s="44">
        <f t="shared" si="39"/>
        <v>-0.53993791650410738</v>
      </c>
      <c r="E69" s="44">
        <f t="shared" si="39"/>
        <v>0.72987746300836598</v>
      </c>
      <c r="F69" s="44">
        <f t="shared" ref="F69:F74" si="40">IF(AND(F$5-D$5 &lt;&gt; 0,F17 &lt;&gt; 0,D17 &lt;&gt; 0),(EXP(LN(F17/D17)/(F$5-D$5))-1)*100,0)</f>
        <v>0.30481449939876448</v>
      </c>
      <c r="H69" s="44">
        <f>(B17/B$51)*100</f>
        <v>11.101978662129754</v>
      </c>
      <c r="I69" s="44">
        <f>(C17/C$51)*100</f>
        <v>11.514573938806162</v>
      </c>
      <c r="J69" s="44">
        <f>(D17/D$51)*100</f>
        <v>12.26749278106799</v>
      </c>
      <c r="K69" s="44">
        <f>(E17/E$51)*100</f>
        <v>11.659443505521388</v>
      </c>
      <c r="L69" s="44">
        <f>(F17/F$51)*100</f>
        <v>12.207032372617503</v>
      </c>
    </row>
    <row r="70" spans="1:12" ht="13" x14ac:dyDescent="0.3">
      <c r="A70" t="str">
        <f t="shared" si="38"/>
        <v>31 Science, engineering and technology associate professionals</v>
      </c>
      <c r="B70" s="49">
        <f t="shared" si="39"/>
        <v>1.4040679544263135</v>
      </c>
      <c r="C70" s="44">
        <f t="shared" si="39"/>
        <v>8.4251138669243275</v>
      </c>
      <c r="D70" s="49">
        <f t="shared" si="39"/>
        <v>-3.0135072223906767</v>
      </c>
      <c r="E70" s="49">
        <f t="shared" si="39"/>
        <v>0.36270313333977011</v>
      </c>
      <c r="F70" s="44">
        <f t="shared" si="40"/>
        <v>-0.77556114572724377</v>
      </c>
      <c r="H70" s="40">
        <f t="shared" ref="H70:L74" si="41">(B18/B$17)*100</f>
        <v>13.611241140206113</v>
      </c>
      <c r="I70" s="40">
        <f t="shared" si="41"/>
        <v>13.757349251719617</v>
      </c>
      <c r="J70" s="40">
        <f t="shared" si="41"/>
        <v>14.388536324670287</v>
      </c>
      <c r="K70" s="40">
        <f t="shared" si="41"/>
        <v>12.686133023022636</v>
      </c>
      <c r="L70" s="40">
        <f t="shared" si="41"/>
        <v>12.231217920114936</v>
      </c>
    </row>
    <row r="71" spans="1:12" ht="13" x14ac:dyDescent="0.3">
      <c r="A71" t="str">
        <f t="shared" si="38"/>
        <v>32 Health and social care associate professionals</v>
      </c>
      <c r="B71" s="49">
        <f t="shared" si="39"/>
        <v>4.9454369661250164</v>
      </c>
      <c r="C71" s="44">
        <f t="shared" si="39"/>
        <v>0.7018862984412122</v>
      </c>
      <c r="D71" s="49">
        <f t="shared" si="39"/>
        <v>0.58896717988521363</v>
      </c>
      <c r="E71" s="49">
        <f t="shared" si="39"/>
        <v>1.0298169782964051</v>
      </c>
      <c r="F71" s="44">
        <f t="shared" si="40"/>
        <v>0.88265278414836335</v>
      </c>
      <c r="H71" s="40">
        <f t="shared" si="41"/>
        <v>16.093551658302687</v>
      </c>
      <c r="I71" s="40">
        <f t="shared" si="41"/>
        <v>18.660430686067905</v>
      </c>
      <c r="J71" s="40">
        <f t="shared" si="41"/>
        <v>18.12638652917196</v>
      </c>
      <c r="K71" s="40">
        <f t="shared" si="41"/>
        <v>19.178708201787423</v>
      </c>
      <c r="L71" s="40">
        <f t="shared" si="41"/>
        <v>19.757498497098716</v>
      </c>
    </row>
    <row r="72" spans="1:12" ht="13" x14ac:dyDescent="0.3">
      <c r="A72" t="str">
        <f t="shared" si="38"/>
        <v>33 Protective service occupations</v>
      </c>
      <c r="B72" s="49">
        <f t="shared" si="39"/>
        <v>-9.8102447829717665E-2</v>
      </c>
      <c r="C72" s="44">
        <f t="shared" si="39"/>
        <v>6.1709985397766731</v>
      </c>
      <c r="D72" s="49">
        <f t="shared" si="39"/>
        <v>3.9229206936418182</v>
      </c>
      <c r="E72" s="49">
        <f t="shared" si="39"/>
        <v>1.6429825966895351</v>
      </c>
      <c r="F72" s="44">
        <f t="shared" si="40"/>
        <v>2.3973494046154453</v>
      </c>
      <c r="H72" s="40">
        <f t="shared" si="41"/>
        <v>7.9184577463226411</v>
      </c>
      <c r="I72" s="40">
        <f t="shared" si="41"/>
        <v>7.5396481120216965</v>
      </c>
      <c r="J72" s="40">
        <f t="shared" si="41"/>
        <v>7.7216292786256551</v>
      </c>
      <c r="K72" s="40">
        <f t="shared" si="41"/>
        <v>9.6166107206670475</v>
      </c>
      <c r="L72" s="40">
        <f t="shared" si="41"/>
        <v>10.524778975209086</v>
      </c>
    </row>
    <row r="73" spans="1:12" ht="13" x14ac:dyDescent="0.3">
      <c r="A73" t="str">
        <f t="shared" si="38"/>
        <v>34 Culture, media and sports occupations</v>
      </c>
      <c r="B73" s="49">
        <f t="shared" si="39"/>
        <v>-0.18747154936610277</v>
      </c>
      <c r="C73" s="44">
        <f t="shared" si="39"/>
        <v>2.61731122879445</v>
      </c>
      <c r="D73" s="49">
        <f t="shared" si="39"/>
        <v>-1.1859591701642302</v>
      </c>
      <c r="E73" s="49">
        <f t="shared" si="39"/>
        <v>1.0600825753877441</v>
      </c>
      <c r="F73" s="44">
        <f t="shared" si="40"/>
        <v>0.30578605020139538</v>
      </c>
      <c r="H73" s="40">
        <f t="shared" si="41"/>
        <v>13.410561470258411</v>
      </c>
      <c r="I73" s="40">
        <f t="shared" si="41"/>
        <v>12.72338633278696</v>
      </c>
      <c r="J73" s="40">
        <f t="shared" si="41"/>
        <v>12.59433709776566</v>
      </c>
      <c r="K73" s="40">
        <f t="shared" si="41"/>
        <v>12.190597164771726</v>
      </c>
      <c r="L73" s="40">
        <f t="shared" si="41"/>
        <v>12.596167050002464</v>
      </c>
    </row>
    <row r="74" spans="1:12" ht="13" x14ac:dyDescent="0.3">
      <c r="A74" t="str">
        <f t="shared" si="38"/>
        <v>35 Business and public service associate professionals</v>
      </c>
      <c r="B74" s="49">
        <f t="shared" si="39"/>
        <v>0.27238861763787536</v>
      </c>
      <c r="C74" s="44">
        <f t="shared" si="39"/>
        <v>3.3400005274536015</v>
      </c>
      <c r="D74" s="49">
        <f t="shared" si="39"/>
        <v>-0.8972270414259631</v>
      </c>
      <c r="E74" s="49">
        <f t="shared" si="39"/>
        <v>0.41284765079452335</v>
      </c>
      <c r="F74" s="44">
        <f t="shared" si="40"/>
        <v>-2.575695435677039E-2</v>
      </c>
      <c r="H74" s="40">
        <f t="shared" si="41"/>
        <v>48.96618798491015</v>
      </c>
      <c r="I74" s="40">
        <f t="shared" si="41"/>
        <v>47.319185617403818</v>
      </c>
      <c r="J74" s="40">
        <f t="shared" si="41"/>
        <v>47.169110769766434</v>
      </c>
      <c r="K74" s="40">
        <f t="shared" si="41"/>
        <v>46.327950889751172</v>
      </c>
      <c r="L74" s="40">
        <f t="shared" si="41"/>
        <v>44.890337557574796</v>
      </c>
    </row>
    <row r="75" spans="1:12" ht="13" x14ac:dyDescent="0.3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ht="13" x14ac:dyDescent="0.3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-2.3594366184096605</v>
      </c>
      <c r="C76" s="44">
        <f t="shared" si="42"/>
        <v>3.5600320495455806</v>
      </c>
      <c r="D76" s="44">
        <f t="shared" si="42"/>
        <v>-1.0840607981116968</v>
      </c>
      <c r="E76" s="44">
        <f t="shared" si="42"/>
        <v>-1.0674383040765401</v>
      </c>
      <c r="F76" s="44">
        <f>IF(AND(F$5-D$5 &lt;&gt; 0,F24 &lt;&gt; 0,D24 &lt;&gt; 0),(EXP(LN(F24/D24)/(F$5-D$5))-1)*100,0)</f>
        <v>-1.0729794457711606</v>
      </c>
      <c r="H76" s="44">
        <f>(B24/B$51)*100</f>
        <v>11.895267590496083</v>
      </c>
      <c r="I76" s="44">
        <f>(C24/C$51)*100</f>
        <v>10.719100214587179</v>
      </c>
      <c r="J76" s="44">
        <f>(D24/D$51)*100</f>
        <v>11.408023669072112</v>
      </c>
      <c r="K76" s="44">
        <f>(E24/E$51)*100</f>
        <v>10.549216120903656</v>
      </c>
      <c r="L76" s="44">
        <f>(F24/F$51)*100</f>
        <v>9.2249060731820087</v>
      </c>
    </row>
    <row r="77" spans="1:12" ht="13" x14ac:dyDescent="0.3">
      <c r="A77" t="str">
        <f>A25</f>
        <v>41 Administrative occupations</v>
      </c>
      <c r="B77" s="49">
        <f t="shared" si="42"/>
        <v>-2.0858141688019027</v>
      </c>
      <c r="C77" s="44">
        <f t="shared" si="42"/>
        <v>4.7655939171185269</v>
      </c>
      <c r="D77" s="49">
        <f t="shared" si="42"/>
        <v>-1.5104683758524362</v>
      </c>
      <c r="E77" s="49">
        <f t="shared" si="42"/>
        <v>-0.5233539680629673</v>
      </c>
      <c r="F77" s="44">
        <f>IF(AND(F$5-D$5 &lt;&gt; 0,F25 &lt;&gt; 0,D25 &lt;&gt; 0),(EXP(LN(F25/D25)/(F$5-D$5))-1)*100,0)</f>
        <v>-0.85348650079991595</v>
      </c>
      <c r="H77" s="40">
        <f t="shared" ref="H77:L78" si="43">(B25/B$24)*100</f>
        <v>81.709465023663711</v>
      </c>
      <c r="I77" s="40">
        <f t="shared" si="43"/>
        <v>82.629234397900461</v>
      </c>
      <c r="J77" s="40">
        <f t="shared" si="43"/>
        <v>83.591136901843271</v>
      </c>
      <c r="K77" s="40">
        <f t="shared" si="43"/>
        <v>81.804877354199107</v>
      </c>
      <c r="L77" s="40">
        <f t="shared" si="43"/>
        <v>86.416762777337951</v>
      </c>
    </row>
    <row r="78" spans="1:12" ht="13" x14ac:dyDescent="0.3">
      <c r="A78" t="str">
        <f>A26</f>
        <v>42 Secretarial and related occupations</v>
      </c>
      <c r="B78" s="49">
        <f t="shared" si="42"/>
        <v>-3.6107913934231628</v>
      </c>
      <c r="C78" s="44">
        <f t="shared" si="42"/>
        <v>-2.1745830168631852</v>
      </c>
      <c r="D78" s="49">
        <f t="shared" si="42"/>
        <v>0.98144433194469194</v>
      </c>
      <c r="E78" s="49">
        <f t="shared" si="42"/>
        <v>-3.9175465060873438</v>
      </c>
      <c r="F78" s="44">
        <f>IF(AND(F$5-D$5 &lt;&gt; 0,F26 &lt;&gt; 0,D26 &lt;&gt; 0),(EXP(LN(F26/D26)/(F$5-D$5))-1)*100,0)</f>
        <v>-2.3115432204955932</v>
      </c>
      <c r="H78" s="40">
        <f t="shared" si="43"/>
        <v>18.290534976336293</v>
      </c>
      <c r="I78" s="40">
        <f t="shared" si="43"/>
        <v>17.370765602099535</v>
      </c>
      <c r="J78" s="40">
        <f t="shared" si="43"/>
        <v>16.408863098156733</v>
      </c>
      <c r="K78" s="40">
        <f t="shared" si="43"/>
        <v>18.1951226458009</v>
      </c>
      <c r="L78" s="40">
        <f t="shared" si="43"/>
        <v>13.583237222662047</v>
      </c>
    </row>
    <row r="79" spans="1:12" ht="13" x14ac:dyDescent="0.3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ht="13" x14ac:dyDescent="0.3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0.25885294966077055</v>
      </c>
      <c r="C80" s="44">
        <f t="shared" si="44"/>
        <v>-15.547140629851786</v>
      </c>
      <c r="D80" s="44">
        <f t="shared" si="44"/>
        <v>-0.32521073323633631</v>
      </c>
      <c r="E80" s="44">
        <f t="shared" si="44"/>
        <v>-0.81840552154786028</v>
      </c>
      <c r="F80" s="44">
        <f>IF(AND(F$5-D$5 &lt;&gt; 0,F28 &lt;&gt; 0,D28 &lt;&gt; 0),(EXP(LN(F28/D28)/(F$5-D$5))-1)*100,0)</f>
        <v>-0.65427900649316362</v>
      </c>
      <c r="H80" s="44">
        <f>(B28/B$51)*100</f>
        <v>12.124868521552317</v>
      </c>
      <c r="I80" s="44">
        <f>(C28/C$51)*100</f>
        <v>12.1459355672961</v>
      </c>
      <c r="J80" s="44">
        <f>(D28/D$51)*100</f>
        <v>10.541568553942771</v>
      </c>
      <c r="K80" s="44">
        <f>(E28/E$51)*100</f>
        <v>10.127686503842888</v>
      </c>
      <c r="L80" s="44">
        <f>(F28/F$51)*100</f>
        <v>9.0817663804387667</v>
      </c>
    </row>
    <row r="81" spans="1:12" ht="13" x14ac:dyDescent="0.3">
      <c r="A81" t="str">
        <f>A29</f>
        <v>51 Skilled agricultural and related trades</v>
      </c>
      <c r="B81" s="49">
        <f t="shared" si="44"/>
        <v>-3.1768746082801003</v>
      </c>
      <c r="C81" s="44">
        <f t="shared" si="44"/>
        <v>-16.305323150642781</v>
      </c>
      <c r="D81" s="49">
        <f t="shared" si="44"/>
        <v>0.80948430846314867</v>
      </c>
      <c r="E81" s="49">
        <f t="shared" si="44"/>
        <v>1.136903789207544</v>
      </c>
      <c r="F81" s="44">
        <f>IF(AND(F$5-D$5 &lt;&gt; 0,F29 &lt;&gt; 0,D29 &lt;&gt; 0),(EXP(LN(F29/D29)/(F$5-D$5))-1)*100,0)</f>
        <v>1.027645973990321</v>
      </c>
      <c r="H81" s="40">
        <f t="shared" ref="H81:L84" si="45">(B29/B$28)*100</f>
        <v>7.0659148183522831</v>
      </c>
      <c r="I81" s="40">
        <f t="shared" si="45"/>
        <v>6.1460184605486976</v>
      </c>
      <c r="J81" s="40">
        <f t="shared" si="45"/>
        <v>6.0908420721587753</v>
      </c>
      <c r="K81" s="40">
        <f t="shared" si="45"/>
        <v>6.4455157470735323</v>
      </c>
      <c r="L81" s="40">
        <f t="shared" si="45"/>
        <v>7.8350785494414721</v>
      </c>
    </row>
    <row r="82" spans="1:12" ht="13" x14ac:dyDescent="0.3">
      <c r="A82" t="str">
        <f>A30</f>
        <v>52 Skilled metal, electrical and electronic trades</v>
      </c>
      <c r="B82" s="49">
        <f t="shared" si="44"/>
        <v>-0.24461951394743053</v>
      </c>
      <c r="C82" s="44">
        <f t="shared" si="44"/>
        <v>-17.664069521738579</v>
      </c>
      <c r="D82" s="49">
        <f t="shared" si="44"/>
        <v>-0.6483293694203307</v>
      </c>
      <c r="E82" s="49">
        <f t="shared" si="44"/>
        <v>-0.80086208066670883</v>
      </c>
      <c r="F82" s="44">
        <f>IF(AND(F$5-D$5 &lt;&gt; 0,F30 &lt;&gt; 0,D30 &lt;&gt; 0),(EXP(LN(F30/D30)/(F$5-D$5))-1)*100,0)</f>
        <v>-0.75004388141534095</v>
      </c>
      <c r="H82" s="40">
        <f t="shared" si="45"/>
        <v>46.693755101531941</v>
      </c>
      <c r="I82" s="40">
        <f t="shared" si="45"/>
        <v>45.762863612015416</v>
      </c>
      <c r="J82" s="40">
        <f t="shared" si="45"/>
        <v>44.61575350966649</v>
      </c>
      <c r="K82" s="40">
        <f t="shared" si="45"/>
        <v>43.897266049935681</v>
      </c>
      <c r="L82" s="40">
        <f t="shared" si="45"/>
        <v>43.974974254578434</v>
      </c>
    </row>
    <row r="83" spans="1:12" ht="13" x14ac:dyDescent="0.3">
      <c r="A83" t="str">
        <f>A31</f>
        <v>53 Skilled construction and building trades</v>
      </c>
      <c r="B83" s="49">
        <f t="shared" si="44"/>
        <v>3.3897609176739563</v>
      </c>
      <c r="C83" s="44">
        <f t="shared" si="44"/>
        <v>-18.303834736177404</v>
      </c>
      <c r="D83" s="49">
        <f t="shared" si="44"/>
        <v>0.13696233132565183</v>
      </c>
      <c r="E83" s="49">
        <f t="shared" si="44"/>
        <v>-1.3272930556326168</v>
      </c>
      <c r="F83" s="44">
        <f>IF(AND(F$5-D$5 &lt;&gt; 0,F31 &lt;&gt; 0,D31 &lt;&gt; 0),(EXP(LN(F31/D31)/(F$5-D$5))-1)*100,0)</f>
        <v>-0.84160253337166591</v>
      </c>
      <c r="H83" s="40">
        <f t="shared" si="45"/>
        <v>30.466587547034635</v>
      </c>
      <c r="I83" s="40">
        <f t="shared" si="45"/>
        <v>34.454266690374226</v>
      </c>
      <c r="J83" s="40">
        <f t="shared" si="45"/>
        <v>33.32961709731736</v>
      </c>
      <c r="K83" s="40">
        <f t="shared" si="45"/>
        <v>34.109531788882585</v>
      </c>
      <c r="L83" s="40">
        <f t="shared" si="45"/>
        <v>32.399277478854366</v>
      </c>
    </row>
    <row r="84" spans="1:12" ht="13" x14ac:dyDescent="0.3">
      <c r="A84" t="str">
        <f>A32</f>
        <v>54 Textiles, printing and other skilled trades</v>
      </c>
      <c r="B84" s="49">
        <f t="shared" si="44"/>
        <v>-3.3242454604982097</v>
      </c>
      <c r="C84" s="44">
        <f t="shared" si="44"/>
        <v>-1.1364528228279491</v>
      </c>
      <c r="D84" s="49">
        <f t="shared" si="44"/>
        <v>-0.85032521740354694</v>
      </c>
      <c r="E84" s="49">
        <f t="shared" si="44"/>
        <v>-0.6644813634605562</v>
      </c>
      <c r="F84" s="44">
        <f>IF(AND(F$5-D$5 &lt;&gt; 0,F32 &lt;&gt; 0,D32 &lt;&gt; 0),(EXP(LN(F32/D32)/(F$5-D$5))-1)*100,0)</f>
        <v>-0.72646798716868854</v>
      </c>
      <c r="H84" s="40">
        <f t="shared" si="45"/>
        <v>15.773742533081142</v>
      </c>
      <c r="I84" s="40">
        <f t="shared" si="45"/>
        <v>13.636851237061673</v>
      </c>
      <c r="J84" s="40">
        <f t="shared" si="45"/>
        <v>15.963787320857383</v>
      </c>
      <c r="K84" s="40">
        <f t="shared" si="45"/>
        <v>15.547686414108203</v>
      </c>
      <c r="L84" s="40">
        <f t="shared" si="45"/>
        <v>15.790669717125718</v>
      </c>
    </row>
    <row r="85" spans="1:12" ht="13" x14ac:dyDescent="0.3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ht="13" x14ac:dyDescent="0.3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0.48162865360099616</v>
      </c>
      <c r="C86" s="44">
        <f t="shared" si="46"/>
        <v>-3.9781541869672643</v>
      </c>
      <c r="D86" s="44">
        <f t="shared" si="46"/>
        <v>1.4328091588033942</v>
      </c>
      <c r="E86" s="44">
        <f t="shared" si="46"/>
        <v>0.83668125764770895</v>
      </c>
      <c r="F86" s="44">
        <f>IF(AND(F$5-D$5 &lt;&gt; 0,F34 &lt;&gt; 0,D34 &lt;&gt; 0),(EXP(LN(F34/D34)/(F$5-D$5))-1)*100,0)</f>
        <v>1.0350002614567977</v>
      </c>
      <c r="H86" s="44">
        <f>(B34/B$51)*100</f>
        <v>9.984570167197397</v>
      </c>
      <c r="I86" s="44">
        <f>(C34/C$51)*100</f>
        <v>10.091112427257402</v>
      </c>
      <c r="J86" s="44">
        <f>(D34/D$51)*100</f>
        <v>9.9579284405312514</v>
      </c>
      <c r="K86" s="44">
        <f>(E34/E$51)*100</f>
        <v>10.440941180692844</v>
      </c>
      <c r="L86" s="44">
        <f>(F34/F$51)*100</f>
        <v>11.047761849533813</v>
      </c>
    </row>
    <row r="87" spans="1:12" ht="13" x14ac:dyDescent="0.3">
      <c r="A87" t="str">
        <f>A35</f>
        <v>61 Caring personal service occupations</v>
      </c>
      <c r="B87" s="49">
        <f t="shared" si="46"/>
        <v>1.5911233789775547</v>
      </c>
      <c r="C87" s="44">
        <f t="shared" si="46"/>
        <v>-3.0588565077819152</v>
      </c>
      <c r="D87" s="49">
        <f t="shared" si="46"/>
        <v>1.7405588423765828</v>
      </c>
      <c r="E87" s="49">
        <f t="shared" si="46"/>
        <v>0.97339836759686715</v>
      </c>
      <c r="F87" s="44">
        <f>IF(AND(F$5-D$5 &lt;&gt; 0,F35 &lt;&gt; 0,D35 &lt;&gt; 0),(EXP(LN(F35/D35)/(F$5-D$5))-1)*100,0)</f>
        <v>1.2284736216228387</v>
      </c>
      <c r="H87" s="40">
        <f t="shared" ref="H87:L89" si="47">(B35/B$34)*100</f>
        <v>76.368079588883816</v>
      </c>
      <c r="I87" s="40">
        <f t="shared" si="47"/>
        <v>79.797311163089731</v>
      </c>
      <c r="J87" s="40">
        <f t="shared" si="47"/>
        <v>80.561277761902019</v>
      </c>
      <c r="K87" s="40">
        <f t="shared" si="47"/>
        <v>81.790840882589748</v>
      </c>
      <c r="L87" s="40">
        <f t="shared" si="47"/>
        <v>82.906573732369679</v>
      </c>
    </row>
    <row r="88" spans="1:12" ht="13" x14ac:dyDescent="0.3">
      <c r="A88" t="str">
        <f>A36</f>
        <v>62 Leisure, travel and related personal service occupations</v>
      </c>
      <c r="B88" s="49">
        <f t="shared" si="46"/>
        <v>-3.3280468770378491</v>
      </c>
      <c r="C88" s="44">
        <f t="shared" si="46"/>
        <v>-8.7909830882956683</v>
      </c>
      <c r="D88" s="49">
        <f t="shared" si="46"/>
        <v>0.28483516173141155</v>
      </c>
      <c r="E88" s="49">
        <f t="shared" si="46"/>
        <v>0.17120429272039495</v>
      </c>
      <c r="F88" s="44">
        <f>IF(AND(F$5-D$5 &lt;&gt; 0,F36 &lt;&gt; 0,D36 &lt;&gt; 0),(EXP(LN(F36/D36)/(F$5-D$5))-1)*100,0)</f>
        <v>0.20906693595830195</v>
      </c>
      <c r="H88" s="40">
        <f t="shared" si="47"/>
        <v>22.747041618781637</v>
      </c>
      <c r="I88" s="40">
        <f t="shared" si="47"/>
        <v>19.48858158073007</v>
      </c>
      <c r="J88" s="40">
        <f t="shared" si="47"/>
        <v>18.511770440687361</v>
      </c>
      <c r="K88" s="40">
        <f t="shared" si="47"/>
        <v>17.48767261605834</v>
      </c>
      <c r="L88" s="40">
        <f t="shared" si="47"/>
        <v>16.36724289758293</v>
      </c>
    </row>
    <row r="89" spans="1:12" ht="13" x14ac:dyDescent="0.3">
      <c r="A89" t="str">
        <f>A37</f>
        <v>63 Community and civil enforcement occupations</v>
      </c>
      <c r="B89" s="49">
        <f t="shared" si="46"/>
        <v>-4.7628083290662815</v>
      </c>
      <c r="C89" s="44">
        <f t="shared" si="46"/>
        <v>24.641812272267138</v>
      </c>
      <c r="D89" s="49">
        <f t="shared" si="46"/>
        <v>-3.5254713994151921</v>
      </c>
      <c r="E89" s="49">
        <f t="shared" si="46"/>
        <v>0.90213430310206455</v>
      </c>
      <c r="F89" s="44">
        <f>IF(AND(F$5-D$5 &lt;&gt; 0,F37 &lt;&gt; 0,D37 &lt;&gt; 0),(EXP(LN(F37/D37)/(F$5-D$5))-1)*100,0)</f>
        <v>-0.59586355601790597</v>
      </c>
      <c r="H89" s="40">
        <f t="shared" si="47"/>
        <v>0.88487879233455269</v>
      </c>
      <c r="I89" s="40">
        <f t="shared" si="47"/>
        <v>0.7141072561802011</v>
      </c>
      <c r="J89" s="40">
        <f t="shared" si="47"/>
        <v>0.92695179741062295</v>
      </c>
      <c r="K89" s="40">
        <f t="shared" si="47"/>
        <v>0.72148650135191583</v>
      </c>
      <c r="L89" s="40">
        <f t="shared" si="47"/>
        <v>0.72618337004738165</v>
      </c>
    </row>
    <row r="90" spans="1:12" ht="13" x14ac:dyDescent="0.3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ht="13" x14ac:dyDescent="0.3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-2.2251102304149395</v>
      </c>
      <c r="C91" s="44">
        <f t="shared" si="48"/>
        <v>-0.69375722537577955</v>
      </c>
      <c r="D91" s="44">
        <f t="shared" si="48"/>
        <v>0.10335346347654095</v>
      </c>
      <c r="E91" s="44">
        <f t="shared" si="48"/>
        <v>-2.5924236082830454E-2</v>
      </c>
      <c r="F91" s="44">
        <f t="shared" ref="F91:F93" si="49">IF(AND(F$5-D$5 &lt;&gt; 0,F39 &lt;&gt; 0,D39 &lt;&gt; 0),(EXP(LN(F39/D39)/(F$5-D$5))-1)*100,0)</f>
        <v>1.7149769261126657E-2</v>
      </c>
      <c r="H91" s="44">
        <f>(B39/B$51)*100</f>
        <v>8.5671966726316864</v>
      </c>
      <c r="I91" s="44">
        <f>(C39/C$51)*100</f>
        <v>7.7626693085705707</v>
      </c>
      <c r="J91" s="44">
        <f>(D39/D$51)*100</f>
        <v>7.9222317454925708</v>
      </c>
      <c r="K91" s="44">
        <f>(E39/E$51)*100</f>
        <v>7.776229274784435</v>
      </c>
      <c r="L91" s="44">
        <f>(F39/F$51)*100</f>
        <v>7.5507875860951188</v>
      </c>
    </row>
    <row r="92" spans="1:12" s="30" customFormat="1" ht="13" x14ac:dyDescent="0.3">
      <c r="A92" t="str">
        <f>A40</f>
        <v>71 Sales occupations</v>
      </c>
      <c r="B92" s="49">
        <f t="shared" si="48"/>
        <v>-2.6511822698939369</v>
      </c>
      <c r="C92" s="44">
        <f t="shared" si="48"/>
        <v>-1.7713533404884019</v>
      </c>
      <c r="D92" s="49">
        <f t="shared" si="48"/>
        <v>-1.6887486369071669</v>
      </c>
      <c r="E92" s="49">
        <f t="shared" si="48"/>
        <v>-0.65259822499622588</v>
      </c>
      <c r="F92" s="44">
        <f t="shared" si="49"/>
        <v>-0.99918943505745705</v>
      </c>
      <c r="G92"/>
      <c r="H92" s="40">
        <f>(B40/B$34)*100</f>
        <v>67.79917904371095</v>
      </c>
      <c r="I92" s="40">
        <f t="shared" ref="H92:L93" si="50">(C40/C$34)*100</f>
        <v>59.731098038661912</v>
      </c>
      <c r="J92" s="40">
        <f t="shared" si="50"/>
        <v>61.103854796217803</v>
      </c>
      <c r="K92" s="40">
        <f t="shared" si="50"/>
        <v>52.262774637609709</v>
      </c>
      <c r="L92" s="40">
        <f t="shared" si="50"/>
        <v>45.037280742455877</v>
      </c>
    </row>
    <row r="93" spans="1:12" s="30" customFormat="1" ht="13" x14ac:dyDescent="0.3">
      <c r="A93" t="str">
        <f>A41</f>
        <v>72 Customer service occupations</v>
      </c>
      <c r="B93" s="49">
        <f t="shared" si="48"/>
        <v>-0.66873433519801795</v>
      </c>
      <c r="C93" s="44">
        <f t="shared" si="48"/>
        <v>3.049604337068379</v>
      </c>
      <c r="D93" s="49">
        <f t="shared" si="48"/>
        <v>5.2677485784248468</v>
      </c>
      <c r="E93" s="49">
        <f t="shared" si="48"/>
        <v>1.3225855833472799</v>
      </c>
      <c r="F93" s="44">
        <f t="shared" si="49"/>
        <v>2.6209318608694021</v>
      </c>
      <c r="G93"/>
      <c r="H93" s="40">
        <f t="shared" si="50"/>
        <v>18.005182377652481</v>
      </c>
      <c r="I93" s="40">
        <f t="shared" si="50"/>
        <v>17.194705380221766</v>
      </c>
      <c r="J93" s="40">
        <f t="shared" si="50"/>
        <v>18.453171474900127</v>
      </c>
      <c r="K93" s="40">
        <f t="shared" si="50"/>
        <v>22.215465783513107</v>
      </c>
      <c r="L93" s="40">
        <f t="shared" si="50"/>
        <v>23.309482058316675</v>
      </c>
    </row>
    <row r="94" spans="1:12" ht="13" x14ac:dyDescent="0.3">
      <c r="C94" s="44"/>
      <c r="F94" s="44"/>
    </row>
    <row r="95" spans="1:12" s="30" customFormat="1" ht="13" x14ac:dyDescent="0.3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-0.30271188587898124</v>
      </c>
      <c r="C95" s="44">
        <f t="shared" si="51"/>
        <v>-13.537426086006221</v>
      </c>
      <c r="D95" s="44">
        <f t="shared" si="51"/>
        <v>2.603610370397158</v>
      </c>
      <c r="E95" s="44">
        <f t="shared" si="51"/>
        <v>-7.0781526465701905E-2</v>
      </c>
      <c r="F95" s="44">
        <f>IF(AND(F$5-D$5 &lt;&gt; 0,F43 &lt;&gt; 0,D43 &lt;&gt; 0),(EXP(LN(F43/D43)/(F$5-D$5))-1)*100,0)</f>
        <v>0.81284590388843725</v>
      </c>
      <c r="H95" s="44">
        <f>(B43/B$51)*100</f>
        <v>9.3244120522857958</v>
      </c>
      <c r="I95" s="44">
        <f>(C43/C$51)*100</f>
        <v>9.1330922900737441</v>
      </c>
      <c r="J95" s="44">
        <f>(D43/D$51)*100</f>
        <v>8.1153249130947867</v>
      </c>
      <c r="K95" s="44">
        <f>(E43/E$51)*100</f>
        <v>9.0115087309115243</v>
      </c>
      <c r="L95" s="44">
        <f>(F43/F$51)*100</f>
        <v>8.7110726199435753</v>
      </c>
    </row>
    <row r="96" spans="1:12" ht="13" x14ac:dyDescent="0.3">
      <c r="A96" t="str">
        <f>A44</f>
        <v>81 Process, plant and machine operatives</v>
      </c>
      <c r="B96" s="49">
        <f t="shared" si="51"/>
        <v>-1.4209112760451226</v>
      </c>
      <c r="C96" s="44">
        <f t="shared" si="51"/>
        <v>-15.737183575515878</v>
      </c>
      <c r="D96" s="49">
        <f t="shared" si="51"/>
        <v>3.6793469811980506</v>
      </c>
      <c r="E96" s="49">
        <f t="shared" si="51"/>
        <v>-0.29092026929592452</v>
      </c>
      <c r="F96" s="44">
        <f>IF(AND(F$5-D$5 &lt;&gt; 0,F44 &lt;&gt; 0,D44 &lt;&gt; 0),(EXP(LN(F44/D44)/(F$5-D$5))-1)*100,0)</f>
        <v>1.015315128919303</v>
      </c>
      <c r="H96" s="40">
        <f>(B44/B$43)*100</f>
        <v>48.827626085157846</v>
      </c>
      <c r="I96" s="40">
        <f t="shared" ref="H96:L97" si="52">(C44/C$43)*100</f>
        <v>46.673613578909524</v>
      </c>
      <c r="J96" s="40">
        <f t="shared" si="52"/>
        <v>45.4861560885182</v>
      </c>
      <c r="K96" s="40">
        <f t="shared" si="52"/>
        <v>47.921156342001005</v>
      </c>
      <c r="L96" s="40">
        <f t="shared" si="52"/>
        <v>46.875882770472835</v>
      </c>
    </row>
    <row r="97" spans="1:12" ht="13" x14ac:dyDescent="0.3">
      <c r="A97" t="str">
        <f>A45</f>
        <v>82 Transport and mobile machine drivers and operatives</v>
      </c>
      <c r="B97" s="49">
        <f t="shared" si="51"/>
        <v>0.73026879235229547</v>
      </c>
      <c r="C97" s="44">
        <f t="shared" si="51"/>
        <v>-11.612100971681983</v>
      </c>
      <c r="D97" s="49">
        <f t="shared" si="51"/>
        <v>1.6701696153577528</v>
      </c>
      <c r="E97" s="49">
        <f t="shared" si="51"/>
        <v>0.12799741628573003</v>
      </c>
      <c r="F97" s="44">
        <f>IF(AND(F$5-D$5 &lt;&gt; 0,F45 &lt;&gt; 0,D45 &lt;&gt; 0),(EXP(LN(F45/D45)/(F$5-D$5))-1)*100,0)</f>
        <v>0.63943799718395589</v>
      </c>
      <c r="H97" s="40">
        <f t="shared" si="52"/>
        <v>51.172373914842154</v>
      </c>
      <c r="I97" s="40">
        <f t="shared" si="52"/>
        <v>53.32638642109049</v>
      </c>
      <c r="J97" s="40">
        <f t="shared" si="52"/>
        <v>54.5138439114818</v>
      </c>
      <c r="K97" s="40">
        <f t="shared" si="52"/>
        <v>52.078843657998988</v>
      </c>
      <c r="L97" s="40">
        <f t="shared" si="52"/>
        <v>53.124117229527158</v>
      </c>
    </row>
    <row r="98" spans="1:12" ht="13" x14ac:dyDescent="0.3">
      <c r="C98" s="44"/>
      <c r="F98" s="44"/>
    </row>
    <row r="99" spans="1:12" s="30" customFormat="1" ht="13" x14ac:dyDescent="0.3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-2.4408874684440196</v>
      </c>
      <c r="C99" s="44">
        <f t="shared" si="53"/>
        <v>-10.120743113351882</v>
      </c>
      <c r="D99" s="44">
        <f t="shared" si="53"/>
        <v>-0.39841777184828064</v>
      </c>
      <c r="E99" s="44">
        <f t="shared" si="53"/>
        <v>-0.76148895303371766</v>
      </c>
      <c r="F99" s="44">
        <f>IF(AND(F$5-D$5 &lt;&gt; 0,F47 &lt;&gt; 0,D47 &lt;&gt; 0),(EXP(LN(F47/D47)/(F$5-D$5))-1)*100,0)</f>
        <v>-0.64061251803311237</v>
      </c>
      <c r="H99" s="44">
        <f>(B47/B$51)*100</f>
        <v>11.266657366268603</v>
      </c>
      <c r="I99" s="44">
        <f>(C47/C$51)*100</f>
        <v>10.118810428679195</v>
      </c>
      <c r="J99" s="44">
        <f>(D47/D$51)*100</f>
        <v>9.3464963111639658</v>
      </c>
      <c r="K99" s="44">
        <f>(E47/E$51)*100</f>
        <v>8.9466079767895135</v>
      </c>
      <c r="L99" s="44">
        <f>(F47/F$51)*100</f>
        <v>8.0688198869327383</v>
      </c>
    </row>
    <row r="100" spans="1:12" ht="13" x14ac:dyDescent="0.3">
      <c r="A100" t="str">
        <f>A48</f>
        <v>91 Elementary trades and related occupations</v>
      </c>
      <c r="B100" s="49">
        <f t="shared" si="53"/>
        <v>-3.8155053733908484</v>
      </c>
      <c r="C100" s="44">
        <f t="shared" si="53"/>
        <v>-12.094711667307866</v>
      </c>
      <c r="D100" s="49">
        <f t="shared" si="53"/>
        <v>-3.2710673828584169</v>
      </c>
      <c r="E100" s="49">
        <f t="shared" si="53"/>
        <v>-0.63845406909025515</v>
      </c>
      <c r="F100" s="44">
        <f>IF(AND(F$5-D$5 &lt;&gt; 0,F48 &lt;&gt; 0,D48 &lt;&gt; 0),(EXP(LN(F48/D48)/(F$5-D$5))-1)*100,0)</f>
        <v>-1.5238581822931807</v>
      </c>
      <c r="H100" s="40">
        <f t="shared" ref="H100:L101" si="54">(B48/B$47)*100</f>
        <v>20.167584306123707</v>
      </c>
      <c r="I100" s="40">
        <f t="shared" si="54"/>
        <v>19.054729455011028</v>
      </c>
      <c r="J100" s="40">
        <f t="shared" si="54"/>
        <v>18.636240939960587</v>
      </c>
      <c r="K100" s="40">
        <f t="shared" si="54"/>
        <v>16.099378335139686</v>
      </c>
      <c r="L100" s="40">
        <f t="shared" si="54"/>
        <v>16.30009402962844</v>
      </c>
    </row>
    <row r="101" spans="1:12" ht="13" x14ac:dyDescent="0.3">
      <c r="A101" t="str">
        <f>A49</f>
        <v>92 Elementary administration and service occupations</v>
      </c>
      <c r="B101" s="49">
        <f t="shared" si="53"/>
        <v>-2.1026596902286143</v>
      </c>
      <c r="C101" s="44">
        <f t="shared" si="53"/>
        <v>-9.6560657270748802</v>
      </c>
      <c r="D101" s="49">
        <f t="shared" si="53"/>
        <v>0.21507878467794672</v>
      </c>
      <c r="E101" s="49">
        <f t="shared" si="53"/>
        <v>-0.78525540678165973</v>
      </c>
      <c r="F101" s="44">
        <f>IF(AND(F$5-D$5 &lt;&gt; 0,F49 &lt;&gt; 0,D49 &lt;&gt; 0),(EXP(LN(F49/D49)/(F$5-D$5))-1)*100,0)</f>
        <v>-0.4529250948293595</v>
      </c>
      <c r="H101" s="40">
        <f t="shared" si="54"/>
        <v>79.832415693876285</v>
      </c>
      <c r="I101" s="40">
        <f t="shared" si="54"/>
        <v>80.945270544988972</v>
      </c>
      <c r="J101" s="40">
        <f t="shared" si="54"/>
        <v>81.363759060039413</v>
      </c>
      <c r="K101" s="40">
        <f t="shared" si="54"/>
        <v>83.90062166486031</v>
      </c>
      <c r="L101" s="40">
        <f t="shared" si="54"/>
        <v>83.69990597037156</v>
      </c>
    </row>
    <row r="102" spans="1:12" ht="13" x14ac:dyDescent="0.3">
      <c r="A102" s="13"/>
      <c r="C102" s="44"/>
      <c r="F102" s="44"/>
    </row>
    <row r="103" spans="1:12" ht="13" x14ac:dyDescent="0.3">
      <c r="A103" s="39" t="str">
        <f t="shared" ref="A103" si="55">A51</f>
        <v>All occupations</v>
      </c>
      <c r="B103" s="50">
        <f>IF(AND(C$5-B$5 &lt;&gt; 0,C51 &lt;&gt; 0,B51 &lt;&gt; 0),(EXP(LN(C51/B51)/(C$5-B$5))-1)*100,0)</f>
        <v>0.21535006256827582</v>
      </c>
      <c r="C103" s="206">
        <f t="shared" ref="C103" si="56">IF(AND(D$5-C$5 &lt;&gt; 0,D51 &lt;&gt; 0,C51 &lt;&gt; 0),(EXP(LN(D51/C51)/(D$5-C$5))-1)*100,0)</f>
        <v>-2.6938938797601231</v>
      </c>
      <c r="D103" s="50">
        <f>IF(AND(E$5-D$5 &lt;&gt; 0,E51 &lt;&gt; 0,D51 &lt;&gt; 0),(EXP(LN(E51/D51)/(E$5-D$5))-1)*100,0)</f>
        <v>0.47645957719999465</v>
      </c>
      <c r="E103" s="50">
        <f>IF(AND(F$5-E$5 &lt;&gt; 0,F51 &lt;&gt; 0,E51 &lt;&gt; 0),(EXP(LN(F51/E51)/(F$5-E$5))-1)*100,0)</f>
        <v>0.26862934467044575</v>
      </c>
      <c r="F103" s="206">
        <f>IF(AND(F$5-D$5 &lt;&gt; 0,F51 &lt;&gt; 0,D51 &lt;&gt; 0),(EXP(LN(F51/D51)/(F$5-D$5))-1)*100,0)</f>
        <v>0.33785827979151417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91" customWidth="1"/>
    <col min="2" max="13" width="5.7265625" style="91" customWidth="1"/>
    <col min="14" max="15" width="7.7265625" style="91" customWidth="1"/>
    <col min="16" max="16" width="5.7265625" style="91" customWidth="1"/>
    <col min="17" max="18" width="7.7265625" style="91" customWidth="1"/>
    <col min="19" max="19" width="5.7265625" style="91" customWidth="1"/>
    <col min="20" max="21" width="7.7265625" style="91" customWidth="1"/>
    <col min="22" max="254" width="9.1796875" style="91"/>
    <col min="255" max="255" width="33.1796875" style="91" bestFit="1" customWidth="1"/>
    <col min="256" max="258" width="7.1796875" style="91" customWidth="1"/>
    <col min="259" max="259" width="5" style="91" customWidth="1"/>
    <col min="260" max="262" width="7.1796875" style="91" customWidth="1"/>
    <col min="263" max="263" width="5" style="91" customWidth="1"/>
    <col min="264" max="266" width="7.1796875" style="91" customWidth="1"/>
    <col min="267" max="510" width="9.1796875" style="91"/>
    <col min="511" max="511" width="33.1796875" style="91" bestFit="1" customWidth="1"/>
    <col min="512" max="514" width="7.1796875" style="91" customWidth="1"/>
    <col min="515" max="515" width="5" style="91" customWidth="1"/>
    <col min="516" max="518" width="7.1796875" style="91" customWidth="1"/>
    <col min="519" max="519" width="5" style="91" customWidth="1"/>
    <col min="520" max="522" width="7.1796875" style="91" customWidth="1"/>
    <col min="523" max="766" width="9.1796875" style="91"/>
    <col min="767" max="767" width="33.1796875" style="91" bestFit="1" customWidth="1"/>
    <col min="768" max="770" width="7.1796875" style="91" customWidth="1"/>
    <col min="771" max="771" width="5" style="91" customWidth="1"/>
    <col min="772" max="774" width="7.1796875" style="91" customWidth="1"/>
    <col min="775" max="775" width="5" style="91" customWidth="1"/>
    <col min="776" max="778" width="7.1796875" style="91" customWidth="1"/>
    <col min="779" max="1022" width="9.1796875" style="91"/>
    <col min="1023" max="1023" width="33.1796875" style="91" bestFit="1" customWidth="1"/>
    <col min="1024" max="1026" width="7.1796875" style="91" customWidth="1"/>
    <col min="1027" max="1027" width="5" style="91" customWidth="1"/>
    <col min="1028" max="1030" width="7.1796875" style="91" customWidth="1"/>
    <col min="1031" max="1031" width="5" style="91" customWidth="1"/>
    <col min="1032" max="1034" width="7.1796875" style="91" customWidth="1"/>
    <col min="1035" max="1278" width="9.1796875" style="91"/>
    <col min="1279" max="1279" width="33.1796875" style="91" bestFit="1" customWidth="1"/>
    <col min="1280" max="1282" width="7.1796875" style="91" customWidth="1"/>
    <col min="1283" max="1283" width="5" style="91" customWidth="1"/>
    <col min="1284" max="1286" width="7.1796875" style="91" customWidth="1"/>
    <col min="1287" max="1287" width="5" style="91" customWidth="1"/>
    <col min="1288" max="1290" width="7.1796875" style="91" customWidth="1"/>
    <col min="1291" max="1534" width="9.1796875" style="91"/>
    <col min="1535" max="1535" width="33.1796875" style="91" bestFit="1" customWidth="1"/>
    <col min="1536" max="1538" width="7.1796875" style="91" customWidth="1"/>
    <col min="1539" max="1539" width="5" style="91" customWidth="1"/>
    <col min="1540" max="1542" width="7.1796875" style="91" customWidth="1"/>
    <col min="1543" max="1543" width="5" style="91" customWidth="1"/>
    <col min="1544" max="1546" width="7.1796875" style="91" customWidth="1"/>
    <col min="1547" max="1790" width="9.1796875" style="91"/>
    <col min="1791" max="1791" width="33.1796875" style="91" bestFit="1" customWidth="1"/>
    <col min="1792" max="1794" width="7.1796875" style="91" customWidth="1"/>
    <col min="1795" max="1795" width="5" style="91" customWidth="1"/>
    <col min="1796" max="1798" width="7.1796875" style="91" customWidth="1"/>
    <col min="1799" max="1799" width="5" style="91" customWidth="1"/>
    <col min="1800" max="1802" width="7.1796875" style="91" customWidth="1"/>
    <col min="1803" max="2046" width="9.1796875" style="91"/>
    <col min="2047" max="2047" width="33.1796875" style="91" bestFit="1" customWidth="1"/>
    <col min="2048" max="2050" width="7.1796875" style="91" customWidth="1"/>
    <col min="2051" max="2051" width="5" style="91" customWidth="1"/>
    <col min="2052" max="2054" width="7.1796875" style="91" customWidth="1"/>
    <col min="2055" max="2055" width="5" style="91" customWidth="1"/>
    <col min="2056" max="2058" width="7.1796875" style="91" customWidth="1"/>
    <col min="2059" max="2302" width="9.1796875" style="91"/>
    <col min="2303" max="2303" width="33.1796875" style="91" bestFit="1" customWidth="1"/>
    <col min="2304" max="2306" width="7.1796875" style="91" customWidth="1"/>
    <col min="2307" max="2307" width="5" style="91" customWidth="1"/>
    <col min="2308" max="2310" width="7.1796875" style="91" customWidth="1"/>
    <col min="2311" max="2311" width="5" style="91" customWidth="1"/>
    <col min="2312" max="2314" width="7.1796875" style="91" customWidth="1"/>
    <col min="2315" max="2558" width="9.1796875" style="91"/>
    <col min="2559" max="2559" width="33.1796875" style="91" bestFit="1" customWidth="1"/>
    <col min="2560" max="2562" width="7.1796875" style="91" customWidth="1"/>
    <col min="2563" max="2563" width="5" style="91" customWidth="1"/>
    <col min="2564" max="2566" width="7.1796875" style="91" customWidth="1"/>
    <col min="2567" max="2567" width="5" style="91" customWidth="1"/>
    <col min="2568" max="2570" width="7.1796875" style="91" customWidth="1"/>
    <col min="2571" max="2814" width="9.1796875" style="91"/>
    <col min="2815" max="2815" width="33.1796875" style="91" bestFit="1" customWidth="1"/>
    <col min="2816" max="2818" width="7.1796875" style="91" customWidth="1"/>
    <col min="2819" max="2819" width="5" style="91" customWidth="1"/>
    <col min="2820" max="2822" width="7.1796875" style="91" customWidth="1"/>
    <col min="2823" max="2823" width="5" style="91" customWidth="1"/>
    <col min="2824" max="2826" width="7.1796875" style="91" customWidth="1"/>
    <col min="2827" max="3070" width="9.1796875" style="91"/>
    <col min="3071" max="3071" width="33.1796875" style="91" bestFit="1" customWidth="1"/>
    <col min="3072" max="3074" width="7.1796875" style="91" customWidth="1"/>
    <col min="3075" max="3075" width="5" style="91" customWidth="1"/>
    <col min="3076" max="3078" width="7.1796875" style="91" customWidth="1"/>
    <col min="3079" max="3079" width="5" style="91" customWidth="1"/>
    <col min="3080" max="3082" width="7.1796875" style="91" customWidth="1"/>
    <col min="3083" max="3326" width="9.1796875" style="91"/>
    <col min="3327" max="3327" width="33.1796875" style="91" bestFit="1" customWidth="1"/>
    <col min="3328" max="3330" width="7.1796875" style="91" customWidth="1"/>
    <col min="3331" max="3331" width="5" style="91" customWidth="1"/>
    <col min="3332" max="3334" width="7.1796875" style="91" customWidth="1"/>
    <col min="3335" max="3335" width="5" style="91" customWidth="1"/>
    <col min="3336" max="3338" width="7.1796875" style="91" customWidth="1"/>
    <col min="3339" max="3582" width="9.1796875" style="91"/>
    <col min="3583" max="3583" width="33.1796875" style="91" bestFit="1" customWidth="1"/>
    <col min="3584" max="3586" width="7.1796875" style="91" customWidth="1"/>
    <col min="3587" max="3587" width="5" style="91" customWidth="1"/>
    <col min="3588" max="3590" width="7.1796875" style="91" customWidth="1"/>
    <col min="3591" max="3591" width="5" style="91" customWidth="1"/>
    <col min="3592" max="3594" width="7.1796875" style="91" customWidth="1"/>
    <col min="3595" max="3838" width="9.1796875" style="91"/>
    <col min="3839" max="3839" width="33.1796875" style="91" bestFit="1" customWidth="1"/>
    <col min="3840" max="3842" width="7.1796875" style="91" customWidth="1"/>
    <col min="3843" max="3843" width="5" style="91" customWidth="1"/>
    <col min="3844" max="3846" width="7.1796875" style="91" customWidth="1"/>
    <col min="3847" max="3847" width="5" style="91" customWidth="1"/>
    <col min="3848" max="3850" width="7.1796875" style="91" customWidth="1"/>
    <col min="3851" max="4094" width="9.1796875" style="91"/>
    <col min="4095" max="4095" width="33.1796875" style="91" bestFit="1" customWidth="1"/>
    <col min="4096" max="4098" width="7.1796875" style="91" customWidth="1"/>
    <col min="4099" max="4099" width="5" style="91" customWidth="1"/>
    <col min="4100" max="4102" width="7.1796875" style="91" customWidth="1"/>
    <col min="4103" max="4103" width="5" style="91" customWidth="1"/>
    <col min="4104" max="4106" width="7.1796875" style="91" customWidth="1"/>
    <col min="4107" max="4350" width="9.1796875" style="91"/>
    <col min="4351" max="4351" width="33.1796875" style="91" bestFit="1" customWidth="1"/>
    <col min="4352" max="4354" width="7.1796875" style="91" customWidth="1"/>
    <col min="4355" max="4355" width="5" style="91" customWidth="1"/>
    <col min="4356" max="4358" width="7.1796875" style="91" customWidth="1"/>
    <col min="4359" max="4359" width="5" style="91" customWidth="1"/>
    <col min="4360" max="4362" width="7.1796875" style="91" customWidth="1"/>
    <col min="4363" max="4606" width="9.1796875" style="91"/>
    <col min="4607" max="4607" width="33.1796875" style="91" bestFit="1" customWidth="1"/>
    <col min="4608" max="4610" width="7.1796875" style="91" customWidth="1"/>
    <col min="4611" max="4611" width="5" style="91" customWidth="1"/>
    <col min="4612" max="4614" width="7.1796875" style="91" customWidth="1"/>
    <col min="4615" max="4615" width="5" style="91" customWidth="1"/>
    <col min="4616" max="4618" width="7.1796875" style="91" customWidth="1"/>
    <col min="4619" max="4862" width="9.1796875" style="91"/>
    <col min="4863" max="4863" width="33.1796875" style="91" bestFit="1" customWidth="1"/>
    <col min="4864" max="4866" width="7.1796875" style="91" customWidth="1"/>
    <col min="4867" max="4867" width="5" style="91" customWidth="1"/>
    <col min="4868" max="4870" width="7.1796875" style="91" customWidth="1"/>
    <col min="4871" max="4871" width="5" style="91" customWidth="1"/>
    <col min="4872" max="4874" width="7.1796875" style="91" customWidth="1"/>
    <col min="4875" max="5118" width="9.1796875" style="91"/>
    <col min="5119" max="5119" width="33.1796875" style="91" bestFit="1" customWidth="1"/>
    <col min="5120" max="5122" width="7.1796875" style="91" customWidth="1"/>
    <col min="5123" max="5123" width="5" style="91" customWidth="1"/>
    <col min="5124" max="5126" width="7.1796875" style="91" customWidth="1"/>
    <col min="5127" max="5127" width="5" style="91" customWidth="1"/>
    <col min="5128" max="5130" width="7.1796875" style="91" customWidth="1"/>
    <col min="5131" max="5374" width="9.1796875" style="91"/>
    <col min="5375" max="5375" width="33.1796875" style="91" bestFit="1" customWidth="1"/>
    <col min="5376" max="5378" width="7.1796875" style="91" customWidth="1"/>
    <col min="5379" max="5379" width="5" style="91" customWidth="1"/>
    <col min="5380" max="5382" width="7.1796875" style="91" customWidth="1"/>
    <col min="5383" max="5383" width="5" style="91" customWidth="1"/>
    <col min="5384" max="5386" width="7.1796875" style="91" customWidth="1"/>
    <col min="5387" max="5630" width="9.1796875" style="91"/>
    <col min="5631" max="5631" width="33.1796875" style="91" bestFit="1" customWidth="1"/>
    <col min="5632" max="5634" width="7.1796875" style="91" customWidth="1"/>
    <col min="5635" max="5635" width="5" style="91" customWidth="1"/>
    <col min="5636" max="5638" width="7.1796875" style="91" customWidth="1"/>
    <col min="5639" max="5639" width="5" style="91" customWidth="1"/>
    <col min="5640" max="5642" width="7.1796875" style="91" customWidth="1"/>
    <col min="5643" max="5886" width="9.1796875" style="91"/>
    <col min="5887" max="5887" width="33.1796875" style="91" bestFit="1" customWidth="1"/>
    <col min="5888" max="5890" width="7.1796875" style="91" customWidth="1"/>
    <col min="5891" max="5891" width="5" style="91" customWidth="1"/>
    <col min="5892" max="5894" width="7.1796875" style="91" customWidth="1"/>
    <col min="5895" max="5895" width="5" style="91" customWidth="1"/>
    <col min="5896" max="5898" width="7.1796875" style="91" customWidth="1"/>
    <col min="5899" max="6142" width="9.1796875" style="91"/>
    <col min="6143" max="6143" width="33.1796875" style="91" bestFit="1" customWidth="1"/>
    <col min="6144" max="6146" width="7.1796875" style="91" customWidth="1"/>
    <col min="6147" max="6147" width="5" style="91" customWidth="1"/>
    <col min="6148" max="6150" width="7.1796875" style="91" customWidth="1"/>
    <col min="6151" max="6151" width="5" style="91" customWidth="1"/>
    <col min="6152" max="6154" width="7.1796875" style="91" customWidth="1"/>
    <col min="6155" max="6398" width="9.1796875" style="91"/>
    <col min="6399" max="6399" width="33.1796875" style="91" bestFit="1" customWidth="1"/>
    <col min="6400" max="6402" width="7.1796875" style="91" customWidth="1"/>
    <col min="6403" max="6403" width="5" style="91" customWidth="1"/>
    <col min="6404" max="6406" width="7.1796875" style="91" customWidth="1"/>
    <col min="6407" max="6407" width="5" style="91" customWidth="1"/>
    <col min="6408" max="6410" width="7.1796875" style="91" customWidth="1"/>
    <col min="6411" max="6654" width="9.1796875" style="91"/>
    <col min="6655" max="6655" width="33.1796875" style="91" bestFit="1" customWidth="1"/>
    <col min="6656" max="6658" width="7.1796875" style="91" customWidth="1"/>
    <col min="6659" max="6659" width="5" style="91" customWidth="1"/>
    <col min="6660" max="6662" width="7.1796875" style="91" customWidth="1"/>
    <col min="6663" max="6663" width="5" style="91" customWidth="1"/>
    <col min="6664" max="6666" width="7.1796875" style="91" customWidth="1"/>
    <col min="6667" max="6910" width="9.1796875" style="91"/>
    <col min="6911" max="6911" width="33.1796875" style="91" bestFit="1" customWidth="1"/>
    <col min="6912" max="6914" width="7.1796875" style="91" customWidth="1"/>
    <col min="6915" max="6915" width="5" style="91" customWidth="1"/>
    <col min="6916" max="6918" width="7.1796875" style="91" customWidth="1"/>
    <col min="6919" max="6919" width="5" style="91" customWidth="1"/>
    <col min="6920" max="6922" width="7.1796875" style="91" customWidth="1"/>
    <col min="6923" max="7166" width="9.1796875" style="91"/>
    <col min="7167" max="7167" width="33.1796875" style="91" bestFit="1" customWidth="1"/>
    <col min="7168" max="7170" width="7.1796875" style="91" customWidth="1"/>
    <col min="7171" max="7171" width="5" style="91" customWidth="1"/>
    <col min="7172" max="7174" width="7.1796875" style="91" customWidth="1"/>
    <col min="7175" max="7175" width="5" style="91" customWidth="1"/>
    <col min="7176" max="7178" width="7.1796875" style="91" customWidth="1"/>
    <col min="7179" max="7422" width="9.1796875" style="91"/>
    <col min="7423" max="7423" width="33.1796875" style="91" bestFit="1" customWidth="1"/>
    <col min="7424" max="7426" width="7.1796875" style="91" customWidth="1"/>
    <col min="7427" max="7427" width="5" style="91" customWidth="1"/>
    <col min="7428" max="7430" width="7.1796875" style="91" customWidth="1"/>
    <col min="7431" max="7431" width="5" style="91" customWidth="1"/>
    <col min="7432" max="7434" width="7.1796875" style="91" customWidth="1"/>
    <col min="7435" max="7678" width="9.1796875" style="91"/>
    <col min="7679" max="7679" width="33.1796875" style="91" bestFit="1" customWidth="1"/>
    <col min="7680" max="7682" width="7.1796875" style="91" customWidth="1"/>
    <col min="7683" max="7683" width="5" style="91" customWidth="1"/>
    <col min="7684" max="7686" width="7.1796875" style="91" customWidth="1"/>
    <col min="7687" max="7687" width="5" style="91" customWidth="1"/>
    <col min="7688" max="7690" width="7.1796875" style="91" customWidth="1"/>
    <col min="7691" max="7934" width="9.1796875" style="91"/>
    <col min="7935" max="7935" width="33.1796875" style="91" bestFit="1" customWidth="1"/>
    <col min="7936" max="7938" width="7.1796875" style="91" customWidth="1"/>
    <col min="7939" max="7939" width="5" style="91" customWidth="1"/>
    <col min="7940" max="7942" width="7.1796875" style="91" customWidth="1"/>
    <col min="7943" max="7943" width="5" style="91" customWidth="1"/>
    <col min="7944" max="7946" width="7.1796875" style="91" customWidth="1"/>
    <col min="7947" max="8190" width="9.1796875" style="91"/>
    <col min="8191" max="8191" width="33.1796875" style="91" bestFit="1" customWidth="1"/>
    <col min="8192" max="8194" width="7.1796875" style="91" customWidth="1"/>
    <col min="8195" max="8195" width="5" style="91" customWidth="1"/>
    <col min="8196" max="8198" width="7.1796875" style="91" customWidth="1"/>
    <col min="8199" max="8199" width="5" style="91" customWidth="1"/>
    <col min="8200" max="8202" width="7.1796875" style="91" customWidth="1"/>
    <col min="8203" max="8446" width="9.1796875" style="91"/>
    <col min="8447" max="8447" width="33.1796875" style="91" bestFit="1" customWidth="1"/>
    <col min="8448" max="8450" width="7.1796875" style="91" customWidth="1"/>
    <col min="8451" max="8451" width="5" style="91" customWidth="1"/>
    <col min="8452" max="8454" width="7.1796875" style="91" customWidth="1"/>
    <col min="8455" max="8455" width="5" style="91" customWidth="1"/>
    <col min="8456" max="8458" width="7.1796875" style="91" customWidth="1"/>
    <col min="8459" max="8702" width="9.1796875" style="91"/>
    <col min="8703" max="8703" width="33.1796875" style="91" bestFit="1" customWidth="1"/>
    <col min="8704" max="8706" width="7.1796875" style="91" customWidth="1"/>
    <col min="8707" max="8707" width="5" style="91" customWidth="1"/>
    <col min="8708" max="8710" width="7.1796875" style="91" customWidth="1"/>
    <col min="8711" max="8711" width="5" style="91" customWidth="1"/>
    <col min="8712" max="8714" width="7.1796875" style="91" customWidth="1"/>
    <col min="8715" max="8958" width="9.1796875" style="91"/>
    <col min="8959" max="8959" width="33.1796875" style="91" bestFit="1" customWidth="1"/>
    <col min="8960" max="8962" width="7.1796875" style="91" customWidth="1"/>
    <col min="8963" max="8963" width="5" style="91" customWidth="1"/>
    <col min="8964" max="8966" width="7.1796875" style="91" customWidth="1"/>
    <col min="8967" max="8967" width="5" style="91" customWidth="1"/>
    <col min="8968" max="8970" width="7.1796875" style="91" customWidth="1"/>
    <col min="8971" max="9214" width="9.1796875" style="91"/>
    <col min="9215" max="9215" width="33.1796875" style="91" bestFit="1" customWidth="1"/>
    <col min="9216" max="9218" width="7.1796875" style="91" customWidth="1"/>
    <col min="9219" max="9219" width="5" style="91" customWidth="1"/>
    <col min="9220" max="9222" width="7.1796875" style="91" customWidth="1"/>
    <col min="9223" max="9223" width="5" style="91" customWidth="1"/>
    <col min="9224" max="9226" width="7.1796875" style="91" customWidth="1"/>
    <col min="9227" max="9470" width="9.1796875" style="91"/>
    <col min="9471" max="9471" width="33.1796875" style="91" bestFit="1" customWidth="1"/>
    <col min="9472" max="9474" width="7.1796875" style="91" customWidth="1"/>
    <col min="9475" max="9475" width="5" style="91" customWidth="1"/>
    <col min="9476" max="9478" width="7.1796875" style="91" customWidth="1"/>
    <col min="9479" max="9479" width="5" style="91" customWidth="1"/>
    <col min="9480" max="9482" width="7.1796875" style="91" customWidth="1"/>
    <col min="9483" max="9726" width="9.1796875" style="91"/>
    <col min="9727" max="9727" width="33.1796875" style="91" bestFit="1" customWidth="1"/>
    <col min="9728" max="9730" width="7.1796875" style="91" customWidth="1"/>
    <col min="9731" max="9731" width="5" style="91" customWidth="1"/>
    <col min="9732" max="9734" width="7.1796875" style="91" customWidth="1"/>
    <col min="9735" max="9735" width="5" style="91" customWidth="1"/>
    <col min="9736" max="9738" width="7.1796875" style="91" customWidth="1"/>
    <col min="9739" max="9982" width="9.1796875" style="91"/>
    <col min="9983" max="9983" width="33.1796875" style="91" bestFit="1" customWidth="1"/>
    <col min="9984" max="9986" width="7.1796875" style="91" customWidth="1"/>
    <col min="9987" max="9987" width="5" style="91" customWidth="1"/>
    <col min="9988" max="9990" width="7.1796875" style="91" customWidth="1"/>
    <col min="9991" max="9991" width="5" style="91" customWidth="1"/>
    <col min="9992" max="9994" width="7.1796875" style="91" customWidth="1"/>
    <col min="9995" max="10238" width="9.1796875" style="91"/>
    <col min="10239" max="10239" width="33.1796875" style="91" bestFit="1" customWidth="1"/>
    <col min="10240" max="10242" width="7.1796875" style="91" customWidth="1"/>
    <col min="10243" max="10243" width="5" style="91" customWidth="1"/>
    <col min="10244" max="10246" width="7.1796875" style="91" customWidth="1"/>
    <col min="10247" max="10247" width="5" style="91" customWidth="1"/>
    <col min="10248" max="10250" width="7.1796875" style="91" customWidth="1"/>
    <col min="10251" max="10494" width="9.1796875" style="91"/>
    <col min="10495" max="10495" width="33.1796875" style="91" bestFit="1" customWidth="1"/>
    <col min="10496" max="10498" width="7.1796875" style="91" customWidth="1"/>
    <col min="10499" max="10499" width="5" style="91" customWidth="1"/>
    <col min="10500" max="10502" width="7.1796875" style="91" customWidth="1"/>
    <col min="10503" max="10503" width="5" style="91" customWidth="1"/>
    <col min="10504" max="10506" width="7.1796875" style="91" customWidth="1"/>
    <col min="10507" max="10750" width="9.1796875" style="91"/>
    <col min="10751" max="10751" width="33.1796875" style="91" bestFit="1" customWidth="1"/>
    <col min="10752" max="10754" width="7.1796875" style="91" customWidth="1"/>
    <col min="10755" max="10755" width="5" style="91" customWidth="1"/>
    <col min="10756" max="10758" width="7.1796875" style="91" customWidth="1"/>
    <col min="10759" max="10759" width="5" style="91" customWidth="1"/>
    <col min="10760" max="10762" width="7.1796875" style="91" customWidth="1"/>
    <col min="10763" max="11006" width="9.1796875" style="91"/>
    <col min="11007" max="11007" width="33.1796875" style="91" bestFit="1" customWidth="1"/>
    <col min="11008" max="11010" width="7.1796875" style="91" customWidth="1"/>
    <col min="11011" max="11011" width="5" style="91" customWidth="1"/>
    <col min="11012" max="11014" width="7.1796875" style="91" customWidth="1"/>
    <col min="11015" max="11015" width="5" style="91" customWidth="1"/>
    <col min="11016" max="11018" width="7.1796875" style="91" customWidth="1"/>
    <col min="11019" max="11262" width="9.1796875" style="91"/>
    <col min="11263" max="11263" width="33.1796875" style="91" bestFit="1" customWidth="1"/>
    <col min="11264" max="11266" width="7.1796875" style="91" customWidth="1"/>
    <col min="11267" max="11267" width="5" style="91" customWidth="1"/>
    <col min="11268" max="11270" width="7.1796875" style="91" customWidth="1"/>
    <col min="11271" max="11271" width="5" style="91" customWidth="1"/>
    <col min="11272" max="11274" width="7.1796875" style="91" customWidth="1"/>
    <col min="11275" max="11518" width="9.1796875" style="91"/>
    <col min="11519" max="11519" width="33.1796875" style="91" bestFit="1" customWidth="1"/>
    <col min="11520" max="11522" width="7.1796875" style="91" customWidth="1"/>
    <col min="11523" max="11523" width="5" style="91" customWidth="1"/>
    <col min="11524" max="11526" width="7.1796875" style="91" customWidth="1"/>
    <col min="11527" max="11527" width="5" style="91" customWidth="1"/>
    <col min="11528" max="11530" width="7.1796875" style="91" customWidth="1"/>
    <col min="11531" max="11774" width="9.1796875" style="91"/>
    <col min="11775" max="11775" width="33.1796875" style="91" bestFit="1" customWidth="1"/>
    <col min="11776" max="11778" width="7.1796875" style="91" customWidth="1"/>
    <col min="11779" max="11779" width="5" style="91" customWidth="1"/>
    <col min="11780" max="11782" width="7.1796875" style="91" customWidth="1"/>
    <col min="11783" max="11783" width="5" style="91" customWidth="1"/>
    <col min="11784" max="11786" width="7.1796875" style="91" customWidth="1"/>
    <col min="11787" max="12030" width="9.1796875" style="91"/>
    <col min="12031" max="12031" width="33.1796875" style="91" bestFit="1" customWidth="1"/>
    <col min="12032" max="12034" width="7.1796875" style="91" customWidth="1"/>
    <col min="12035" max="12035" width="5" style="91" customWidth="1"/>
    <col min="12036" max="12038" width="7.1796875" style="91" customWidth="1"/>
    <col min="12039" max="12039" width="5" style="91" customWidth="1"/>
    <col min="12040" max="12042" width="7.1796875" style="91" customWidth="1"/>
    <col min="12043" max="12286" width="9.1796875" style="91"/>
    <col min="12287" max="12287" width="33.1796875" style="91" bestFit="1" customWidth="1"/>
    <col min="12288" max="12290" width="7.1796875" style="91" customWidth="1"/>
    <col min="12291" max="12291" width="5" style="91" customWidth="1"/>
    <col min="12292" max="12294" width="7.1796875" style="91" customWidth="1"/>
    <col min="12295" max="12295" width="5" style="91" customWidth="1"/>
    <col min="12296" max="12298" width="7.1796875" style="91" customWidth="1"/>
    <col min="12299" max="12542" width="9.1796875" style="91"/>
    <col min="12543" max="12543" width="33.1796875" style="91" bestFit="1" customWidth="1"/>
    <col min="12544" max="12546" width="7.1796875" style="91" customWidth="1"/>
    <col min="12547" max="12547" width="5" style="91" customWidth="1"/>
    <col min="12548" max="12550" width="7.1796875" style="91" customWidth="1"/>
    <col min="12551" max="12551" width="5" style="91" customWidth="1"/>
    <col min="12552" max="12554" width="7.1796875" style="91" customWidth="1"/>
    <col min="12555" max="12798" width="9.1796875" style="91"/>
    <col min="12799" max="12799" width="33.1796875" style="91" bestFit="1" customWidth="1"/>
    <col min="12800" max="12802" width="7.1796875" style="91" customWidth="1"/>
    <col min="12803" max="12803" width="5" style="91" customWidth="1"/>
    <col min="12804" max="12806" width="7.1796875" style="91" customWidth="1"/>
    <col min="12807" max="12807" width="5" style="91" customWidth="1"/>
    <col min="12808" max="12810" width="7.1796875" style="91" customWidth="1"/>
    <col min="12811" max="13054" width="9.1796875" style="91"/>
    <col min="13055" max="13055" width="33.1796875" style="91" bestFit="1" customWidth="1"/>
    <col min="13056" max="13058" width="7.1796875" style="91" customWidth="1"/>
    <col min="13059" max="13059" width="5" style="91" customWidth="1"/>
    <col min="13060" max="13062" width="7.1796875" style="91" customWidth="1"/>
    <col min="13063" max="13063" width="5" style="91" customWidth="1"/>
    <col min="13064" max="13066" width="7.1796875" style="91" customWidth="1"/>
    <col min="13067" max="13310" width="9.1796875" style="91"/>
    <col min="13311" max="13311" width="33.1796875" style="91" bestFit="1" customWidth="1"/>
    <col min="13312" max="13314" width="7.1796875" style="91" customWidth="1"/>
    <col min="13315" max="13315" width="5" style="91" customWidth="1"/>
    <col min="13316" max="13318" width="7.1796875" style="91" customWidth="1"/>
    <col min="13319" max="13319" width="5" style="91" customWidth="1"/>
    <col min="13320" max="13322" width="7.1796875" style="91" customWidth="1"/>
    <col min="13323" max="13566" width="9.1796875" style="91"/>
    <col min="13567" max="13567" width="33.1796875" style="91" bestFit="1" customWidth="1"/>
    <col min="13568" max="13570" width="7.1796875" style="91" customWidth="1"/>
    <col min="13571" max="13571" width="5" style="91" customWidth="1"/>
    <col min="13572" max="13574" width="7.1796875" style="91" customWidth="1"/>
    <col min="13575" max="13575" width="5" style="91" customWidth="1"/>
    <col min="13576" max="13578" width="7.1796875" style="91" customWidth="1"/>
    <col min="13579" max="13822" width="9.1796875" style="91"/>
    <col min="13823" max="13823" width="33.1796875" style="91" bestFit="1" customWidth="1"/>
    <col min="13824" max="13826" width="7.1796875" style="91" customWidth="1"/>
    <col min="13827" max="13827" width="5" style="91" customWidth="1"/>
    <col min="13828" max="13830" width="7.1796875" style="91" customWidth="1"/>
    <col min="13831" max="13831" width="5" style="91" customWidth="1"/>
    <col min="13832" max="13834" width="7.1796875" style="91" customWidth="1"/>
    <col min="13835" max="14078" width="9.1796875" style="91"/>
    <col min="14079" max="14079" width="33.1796875" style="91" bestFit="1" customWidth="1"/>
    <col min="14080" max="14082" width="7.1796875" style="91" customWidth="1"/>
    <col min="14083" max="14083" width="5" style="91" customWidth="1"/>
    <col min="14084" max="14086" width="7.1796875" style="91" customWidth="1"/>
    <col min="14087" max="14087" width="5" style="91" customWidth="1"/>
    <col min="14088" max="14090" width="7.1796875" style="91" customWidth="1"/>
    <col min="14091" max="14334" width="9.1796875" style="91"/>
    <col min="14335" max="14335" width="33.1796875" style="91" bestFit="1" customWidth="1"/>
    <col min="14336" max="14338" width="7.1796875" style="91" customWidth="1"/>
    <col min="14339" max="14339" width="5" style="91" customWidth="1"/>
    <col min="14340" max="14342" width="7.1796875" style="91" customWidth="1"/>
    <col min="14343" max="14343" width="5" style="91" customWidth="1"/>
    <col min="14344" max="14346" width="7.1796875" style="91" customWidth="1"/>
    <col min="14347" max="14590" width="9.1796875" style="91"/>
    <col min="14591" max="14591" width="33.1796875" style="91" bestFit="1" customWidth="1"/>
    <col min="14592" max="14594" width="7.1796875" style="91" customWidth="1"/>
    <col min="14595" max="14595" width="5" style="91" customWidth="1"/>
    <col min="14596" max="14598" width="7.1796875" style="91" customWidth="1"/>
    <col min="14599" max="14599" width="5" style="91" customWidth="1"/>
    <col min="14600" max="14602" width="7.1796875" style="91" customWidth="1"/>
    <col min="14603" max="14846" width="9.1796875" style="91"/>
    <col min="14847" max="14847" width="33.1796875" style="91" bestFit="1" customWidth="1"/>
    <col min="14848" max="14850" width="7.1796875" style="91" customWidth="1"/>
    <col min="14851" max="14851" width="5" style="91" customWidth="1"/>
    <col min="14852" max="14854" width="7.1796875" style="91" customWidth="1"/>
    <col min="14855" max="14855" width="5" style="91" customWidth="1"/>
    <col min="14856" max="14858" width="7.1796875" style="91" customWidth="1"/>
    <col min="14859" max="15102" width="9.1796875" style="91"/>
    <col min="15103" max="15103" width="33.1796875" style="91" bestFit="1" customWidth="1"/>
    <col min="15104" max="15106" width="7.1796875" style="91" customWidth="1"/>
    <col min="15107" max="15107" width="5" style="91" customWidth="1"/>
    <col min="15108" max="15110" width="7.1796875" style="91" customWidth="1"/>
    <col min="15111" max="15111" width="5" style="91" customWidth="1"/>
    <col min="15112" max="15114" width="7.1796875" style="91" customWidth="1"/>
    <col min="15115" max="15358" width="9.1796875" style="91"/>
    <col min="15359" max="15359" width="33.1796875" style="91" bestFit="1" customWidth="1"/>
    <col min="15360" max="15362" width="7.1796875" style="91" customWidth="1"/>
    <col min="15363" max="15363" width="5" style="91" customWidth="1"/>
    <col min="15364" max="15366" width="7.1796875" style="91" customWidth="1"/>
    <col min="15367" max="15367" width="5" style="91" customWidth="1"/>
    <col min="15368" max="15370" width="7.1796875" style="91" customWidth="1"/>
    <col min="15371" max="15614" width="9.1796875" style="91"/>
    <col min="15615" max="15615" width="33.1796875" style="91" bestFit="1" customWidth="1"/>
    <col min="15616" max="15618" width="7.1796875" style="91" customWidth="1"/>
    <col min="15619" max="15619" width="5" style="91" customWidth="1"/>
    <col min="15620" max="15622" width="7.1796875" style="91" customWidth="1"/>
    <col min="15623" max="15623" width="5" style="91" customWidth="1"/>
    <col min="15624" max="15626" width="7.1796875" style="91" customWidth="1"/>
    <col min="15627" max="15870" width="9.1796875" style="91"/>
    <col min="15871" max="15871" width="33.1796875" style="91" bestFit="1" customWidth="1"/>
    <col min="15872" max="15874" width="7.1796875" style="91" customWidth="1"/>
    <col min="15875" max="15875" width="5" style="91" customWidth="1"/>
    <col min="15876" max="15878" width="7.1796875" style="91" customWidth="1"/>
    <col min="15879" max="15879" width="5" style="91" customWidth="1"/>
    <col min="15880" max="15882" width="7.1796875" style="91" customWidth="1"/>
    <col min="15883" max="16126" width="9.1796875" style="91"/>
    <col min="16127" max="16127" width="33.1796875" style="91" bestFit="1" customWidth="1"/>
    <col min="16128" max="16130" width="7.1796875" style="91" customWidth="1"/>
    <col min="16131" max="16131" width="5" style="91" customWidth="1"/>
    <col min="16132" max="16134" width="7.1796875" style="91" customWidth="1"/>
    <col min="16135" max="16135" width="5" style="91" customWidth="1"/>
    <col min="16136" max="16138" width="7.1796875" style="91" customWidth="1"/>
    <col min="16139" max="16384" width="9.1796875" style="91"/>
  </cols>
  <sheetData>
    <row r="1" spans="1:21" ht="15.5" x14ac:dyDescent="0.35">
      <c r="A1" s="19" t="str">
        <f>CONCATENATE("Occupation Table 4  Occuptation composition (SOC2020) by gender, ",B$6,"-",J$6,", ",Info!B5)</f>
        <v>Occupation Table 4  Occuptation composition (SOC2020) by gender, 2015-2035, Black Country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ht="13" x14ac:dyDescent="0.3">
      <c r="A2" s="182" t="s">
        <v>522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ht="13" x14ac:dyDescent="0.3">
      <c r="B3" s="122"/>
      <c r="D3" s="122"/>
      <c r="F3" s="122"/>
      <c r="H3" s="122"/>
      <c r="J3" s="122"/>
      <c r="K3" s="236"/>
      <c r="L3" s="248"/>
      <c r="M3" s="236"/>
    </row>
    <row r="4" spans="1:21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3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5">
      <c r="A9" s="329" t="str">
        <f>name!D4</f>
        <v>11 Corporate managers and directors</v>
      </c>
      <c r="B9" s="330">
        <v>8.4261277432802597</v>
      </c>
      <c r="C9" s="330">
        <v>21.454658057601161</v>
      </c>
      <c r="D9" s="330">
        <f>SUM(B9:C9)</f>
        <v>29.880785800881419</v>
      </c>
      <c r="E9" s="331"/>
      <c r="F9" s="330">
        <v>10.917192839239181</v>
      </c>
      <c r="G9" s="330">
        <v>23.541090375319467</v>
      </c>
      <c r="H9" s="330">
        <f>SUM(F9:G9)</f>
        <v>34.458283214558648</v>
      </c>
      <c r="I9" s="331"/>
      <c r="J9" s="330">
        <v>12.937161601978143</v>
      </c>
      <c r="K9" s="330">
        <v>22.470989594333808</v>
      </c>
      <c r="L9" s="330">
        <f>SUM(J9:K9)</f>
        <v>35.408151196311948</v>
      </c>
      <c r="M9" s="236"/>
      <c r="N9" s="328">
        <f>IF(B9&gt;0,(EXP(LN(F9/B9)/($F$6-$B$6))-1)*100,0)</f>
        <v>5.3165414325864191</v>
      </c>
      <c r="O9" s="328">
        <f>IF(F9&gt;0,(EXP(LN(J9/F9)/($J$6-$F$6))-1)*100,0)</f>
        <v>1.1381956656337788</v>
      </c>
      <c r="P9" s="328"/>
      <c r="Q9" s="328">
        <f>IF(C9&gt;0,(EXP(LN(G9/C9)/($F$6-$B$6))-1)*100,0)</f>
        <v>1.873445650800809</v>
      </c>
      <c r="R9" s="328">
        <f>IF(G9&gt;0,(EXP(LN(K9/G9)/($J$6-$F$6))-1)*100,0)</f>
        <v>-0.3096681689573666</v>
      </c>
      <c r="S9" s="327"/>
      <c r="T9" s="328">
        <f>IF(D9&gt;0,(EXP(LN(H9/D9)/($F$6-$B$6))-1)*100,0)</f>
        <v>2.8916956355351076</v>
      </c>
      <c r="U9" s="328">
        <f>IF(H9&gt;0,(EXP(LN(L9/H9)/($J$6-$F$6))-1)*100,0)</f>
        <v>0.18144870741847452</v>
      </c>
    </row>
    <row r="10" spans="1:21" x14ac:dyDescent="0.25">
      <c r="A10" s="329" t="str">
        <f>name!D5</f>
        <v>12 Other managers and proprietors</v>
      </c>
      <c r="B10" s="330">
        <v>4.9323680541309232</v>
      </c>
      <c r="C10" s="330">
        <v>7.5795667609880066</v>
      </c>
      <c r="D10" s="330">
        <f t="shared" ref="D10:D33" si="0">SUM(B10:C10)</f>
        <v>12.511934815118931</v>
      </c>
      <c r="E10" s="331"/>
      <c r="F10" s="330">
        <v>5.8032586368036325</v>
      </c>
      <c r="G10" s="330">
        <v>7.4006914203220431</v>
      </c>
      <c r="H10" s="330">
        <f t="shared" ref="H10:H33" si="1">SUM(F10:G10)</f>
        <v>13.203950057125676</v>
      </c>
      <c r="I10" s="331"/>
      <c r="J10" s="330">
        <v>8.1401527214881035</v>
      </c>
      <c r="K10" s="330">
        <v>10.791586381605722</v>
      </c>
      <c r="L10" s="330">
        <f t="shared" ref="L10:L33" si="2">SUM(J10:K10)</f>
        <v>18.931739103093825</v>
      </c>
      <c r="M10" s="236"/>
      <c r="N10" s="328">
        <f t="shared" ref="N10:N36" si="3">IF(B10&gt;0,(EXP(LN(F10/B10)/($F$6-$B$6))-1)*100,0)</f>
        <v>3.3054633668793576</v>
      </c>
      <c r="O10" s="328">
        <f t="shared" ref="O10:O34" si="4">IF(F10&gt;0,(EXP(LN(J10/F10)/($J$6-$F$6))-1)*100,0)</f>
        <v>2.2815674970200428</v>
      </c>
      <c r="P10" s="328"/>
      <c r="Q10" s="328">
        <f t="shared" ref="Q10:Q34" si="5">IF(C10&gt;0,(EXP(LN(G10/C10)/($F$6-$B$6))-1)*100,0)</f>
        <v>-0.4765132849467113</v>
      </c>
      <c r="R10" s="328">
        <f t="shared" ref="R10:R34" si="6">IF(G10&gt;0,(EXP(LN(K10/G10)/($J$6-$F$6))-1)*100,0)</f>
        <v>2.5465057216306208</v>
      </c>
      <c r="S10" s="327"/>
      <c r="T10" s="328">
        <f t="shared" ref="T10:T34" si="7">IF(D10&gt;0,(EXP(LN(H10/D10)/($F$6-$B$6))-1)*100,0)</f>
        <v>1.0824780049382143</v>
      </c>
      <c r="U10" s="328">
        <f t="shared" ref="U10:U34" si="8">IF(H10&gt;0,(EXP(LN(L10/H10)/($J$6-$F$6))-1)*100,0)</f>
        <v>2.4312429117910206</v>
      </c>
    </row>
    <row r="11" spans="1:21" x14ac:dyDescent="0.25">
      <c r="A11" s="329" t="str">
        <f>name!D6</f>
        <v>21 Science, research, engineering and technology professionals</v>
      </c>
      <c r="B11" s="330">
        <v>3.7065420095005166</v>
      </c>
      <c r="C11" s="330">
        <v>19.986025304537044</v>
      </c>
      <c r="D11" s="330">
        <f t="shared" si="0"/>
        <v>23.692567314037561</v>
      </c>
      <c r="E11" s="331"/>
      <c r="F11" s="330">
        <v>4.8671892826657777</v>
      </c>
      <c r="G11" s="330">
        <v>21.818472432371127</v>
      </c>
      <c r="H11" s="330">
        <f t="shared" si="1"/>
        <v>26.685661715036904</v>
      </c>
      <c r="I11" s="331"/>
      <c r="J11" s="330">
        <v>6.9337796503575548</v>
      </c>
      <c r="K11" s="330">
        <v>23.341384241157424</v>
      </c>
      <c r="L11" s="330">
        <f t="shared" si="2"/>
        <v>30.275163891514978</v>
      </c>
      <c r="M11" s="236"/>
      <c r="N11" s="328">
        <f t="shared" si="3"/>
        <v>5.5994999989336547</v>
      </c>
      <c r="O11" s="328">
        <f t="shared" si="4"/>
        <v>2.3873069293078197</v>
      </c>
      <c r="P11" s="328"/>
      <c r="Q11" s="328">
        <f t="shared" si="5"/>
        <v>1.7699548068280668</v>
      </c>
      <c r="R11" s="328">
        <f t="shared" si="6"/>
        <v>0.45081956425274683</v>
      </c>
      <c r="S11" s="327"/>
      <c r="T11" s="328">
        <f t="shared" si="7"/>
        <v>2.4078316496530361</v>
      </c>
      <c r="U11" s="328">
        <f t="shared" si="8"/>
        <v>0.84489120237101201</v>
      </c>
    </row>
    <row r="12" spans="1:21" x14ac:dyDescent="0.25">
      <c r="A12" s="329" t="str">
        <f>name!D7</f>
        <v>22 Health professionals</v>
      </c>
      <c r="B12" s="330">
        <v>16.592217505810645</v>
      </c>
      <c r="C12" s="330">
        <v>5.0825544000815421</v>
      </c>
      <c r="D12" s="330">
        <f t="shared" si="0"/>
        <v>21.674771905892186</v>
      </c>
      <c r="E12" s="331"/>
      <c r="F12" s="330">
        <v>20.038893991355664</v>
      </c>
      <c r="G12" s="330">
        <v>6.7901368676653817</v>
      </c>
      <c r="H12" s="330">
        <f t="shared" si="1"/>
        <v>26.829030859021046</v>
      </c>
      <c r="I12" s="331"/>
      <c r="J12" s="330">
        <v>24.288491513437172</v>
      </c>
      <c r="K12" s="330">
        <v>7.8635435431675589</v>
      </c>
      <c r="L12" s="330">
        <f t="shared" si="2"/>
        <v>32.152035056604731</v>
      </c>
      <c r="M12" s="236"/>
      <c r="N12" s="328">
        <f t="shared" si="3"/>
        <v>3.8469780607445658</v>
      </c>
      <c r="O12" s="328">
        <f t="shared" si="4"/>
        <v>1.2904389080215184</v>
      </c>
      <c r="P12" s="328"/>
      <c r="Q12" s="328">
        <f t="shared" si="5"/>
        <v>5.9642329037660868</v>
      </c>
      <c r="R12" s="328">
        <f t="shared" si="6"/>
        <v>0.98324398116860223</v>
      </c>
      <c r="S12" s="327"/>
      <c r="T12" s="328">
        <f t="shared" si="7"/>
        <v>4.3590434740681472</v>
      </c>
      <c r="U12" s="328">
        <f t="shared" si="8"/>
        <v>1.2139169166406338</v>
      </c>
    </row>
    <row r="13" spans="1:21" x14ac:dyDescent="0.25">
      <c r="A13" s="329" t="str">
        <f>name!D8</f>
        <v>23 Teaching and other educational professionals</v>
      </c>
      <c r="B13" s="330">
        <v>12.968034708711484</v>
      </c>
      <c r="C13" s="330">
        <v>6.572340056959777</v>
      </c>
      <c r="D13" s="330">
        <f t="shared" si="0"/>
        <v>19.54037476567126</v>
      </c>
      <c r="E13" s="331"/>
      <c r="F13" s="330">
        <v>14.817158775285453</v>
      </c>
      <c r="G13" s="330">
        <v>7.1657801652128423</v>
      </c>
      <c r="H13" s="330">
        <f t="shared" si="1"/>
        <v>21.982938940498293</v>
      </c>
      <c r="I13" s="331"/>
      <c r="J13" s="330">
        <v>17.736940653409981</v>
      </c>
      <c r="K13" s="330">
        <v>8.3118035521619635</v>
      </c>
      <c r="L13" s="330">
        <f t="shared" si="2"/>
        <v>26.048744205571943</v>
      </c>
      <c r="M13" s="236"/>
      <c r="N13" s="328">
        <f t="shared" si="3"/>
        <v>2.7018233575176964</v>
      </c>
      <c r="O13" s="328">
        <f t="shared" si="4"/>
        <v>1.206308723957128</v>
      </c>
      <c r="P13" s="328"/>
      <c r="Q13" s="328">
        <f t="shared" si="5"/>
        <v>1.7439726535976918</v>
      </c>
      <c r="R13" s="328">
        <f t="shared" si="6"/>
        <v>0.99397193119137306</v>
      </c>
      <c r="S13" s="327"/>
      <c r="T13" s="328">
        <f t="shared" si="7"/>
        <v>2.3836416957405904</v>
      </c>
      <c r="U13" s="328">
        <f t="shared" si="8"/>
        <v>1.1377767326286925</v>
      </c>
    </row>
    <row r="14" spans="1:21" x14ac:dyDescent="0.25">
      <c r="A14" s="329" t="str">
        <f>name!D9</f>
        <v>24 Business, media and public service professionals</v>
      </c>
      <c r="B14" s="330">
        <v>8.9126522533407133</v>
      </c>
      <c r="C14" s="330">
        <v>13.893541405818603</v>
      </c>
      <c r="D14" s="330">
        <f t="shared" si="0"/>
        <v>22.806193659159316</v>
      </c>
      <c r="E14" s="331"/>
      <c r="F14" s="330">
        <v>11.740013942651709</v>
      </c>
      <c r="G14" s="330">
        <v>16.146207267011317</v>
      </c>
      <c r="H14" s="330">
        <f t="shared" si="1"/>
        <v>27.886221209663027</v>
      </c>
      <c r="I14" s="331"/>
      <c r="J14" s="330">
        <v>15.466410712788081</v>
      </c>
      <c r="K14" s="330">
        <v>19.741649303463671</v>
      </c>
      <c r="L14" s="330">
        <f t="shared" si="2"/>
        <v>35.20806001625175</v>
      </c>
      <c r="M14" s="236"/>
      <c r="N14" s="328">
        <f t="shared" si="3"/>
        <v>5.6652853417489268</v>
      </c>
      <c r="O14" s="328">
        <f t="shared" si="4"/>
        <v>1.8547753111390897</v>
      </c>
      <c r="P14" s="328"/>
      <c r="Q14" s="328">
        <f t="shared" si="5"/>
        <v>3.0508344220503636</v>
      </c>
      <c r="R14" s="328">
        <f t="shared" si="6"/>
        <v>1.3493250130477419</v>
      </c>
      <c r="S14" s="327"/>
      <c r="T14" s="328">
        <f t="shared" si="7"/>
        <v>4.1039892807151146</v>
      </c>
      <c r="U14" s="328">
        <f t="shared" si="8"/>
        <v>1.5664239951518555</v>
      </c>
    </row>
    <row r="15" spans="1:21" x14ac:dyDescent="0.25">
      <c r="A15" s="329" t="str">
        <f>name!D10</f>
        <v>31 Science, engineering and technology associate professionals</v>
      </c>
      <c r="B15" s="330">
        <v>1.6543689012758924</v>
      </c>
      <c r="C15" s="330">
        <v>5.9852648662886372</v>
      </c>
      <c r="D15" s="330">
        <f t="shared" si="0"/>
        <v>7.6396337675645292</v>
      </c>
      <c r="E15" s="331"/>
      <c r="F15" s="330">
        <v>2.0063352730790425</v>
      </c>
      <c r="G15" s="330">
        <v>6.7520478139256888</v>
      </c>
      <c r="H15" s="330">
        <f t="shared" si="1"/>
        <v>8.7583830870047308</v>
      </c>
      <c r="I15" s="331"/>
      <c r="J15" s="330">
        <v>2.3727894346571912</v>
      </c>
      <c r="K15" s="330">
        <v>5.4201932230587637</v>
      </c>
      <c r="L15" s="330">
        <f t="shared" si="2"/>
        <v>7.7929826577159549</v>
      </c>
      <c r="M15" s="236"/>
      <c r="N15" s="328">
        <f t="shared" si="3"/>
        <v>3.933183530178086</v>
      </c>
      <c r="O15" s="328">
        <f t="shared" si="4"/>
        <v>1.1246533989362151</v>
      </c>
      <c r="P15" s="328"/>
      <c r="Q15" s="328">
        <f t="shared" si="5"/>
        <v>2.4402021952278474</v>
      </c>
      <c r="R15" s="328">
        <f t="shared" si="6"/>
        <v>-1.4540870337219292</v>
      </c>
      <c r="S15" s="327"/>
      <c r="T15" s="328">
        <f t="shared" si="7"/>
        <v>2.7709283196662993</v>
      </c>
      <c r="U15" s="328">
        <f t="shared" si="8"/>
        <v>-0.77556114572725487</v>
      </c>
    </row>
    <row r="16" spans="1:21" x14ac:dyDescent="0.25">
      <c r="A16" s="329" t="str">
        <f>name!D11</f>
        <v>32 Health and social care associate professionals</v>
      </c>
      <c r="B16" s="330">
        <v>6.9430805108852152</v>
      </c>
      <c r="C16" s="330">
        <v>2.0898092470984437</v>
      </c>
      <c r="D16" s="330">
        <f t="shared" si="0"/>
        <v>9.0328897579836589</v>
      </c>
      <c r="E16" s="331"/>
      <c r="F16" s="330">
        <v>8.567201624501152</v>
      </c>
      <c r="G16" s="330">
        <v>2.4664319309430569</v>
      </c>
      <c r="H16" s="330">
        <f t="shared" si="1"/>
        <v>11.033633555444208</v>
      </c>
      <c r="I16" s="331"/>
      <c r="J16" s="330">
        <v>10.142113785133306</v>
      </c>
      <c r="K16" s="330">
        <v>2.4461537245581995</v>
      </c>
      <c r="L16" s="330">
        <f t="shared" si="2"/>
        <v>12.588267509691505</v>
      </c>
      <c r="M16" s="236"/>
      <c r="N16" s="328">
        <f t="shared" si="3"/>
        <v>4.2935276337582096</v>
      </c>
      <c r="O16" s="328">
        <f t="shared" si="4"/>
        <v>1.1313875798486306</v>
      </c>
      <c r="P16" s="328"/>
      <c r="Q16" s="328">
        <f t="shared" si="5"/>
        <v>3.3695195051152371</v>
      </c>
      <c r="R16" s="328">
        <f t="shared" si="6"/>
        <v>-5.5022598792098254E-2</v>
      </c>
      <c r="S16" s="327"/>
      <c r="T16" s="328">
        <f t="shared" si="7"/>
        <v>4.0826567591197627</v>
      </c>
      <c r="U16" s="328">
        <f t="shared" si="8"/>
        <v>0.88265278414836335</v>
      </c>
    </row>
    <row r="17" spans="1:21" x14ac:dyDescent="0.25">
      <c r="A17" s="329" t="str">
        <f>name!D12</f>
        <v>33 Protective service occupations</v>
      </c>
      <c r="B17" s="330">
        <v>1.0152730971083521</v>
      </c>
      <c r="C17" s="330">
        <v>3.429150197042715</v>
      </c>
      <c r="D17" s="330">
        <f t="shared" si="0"/>
        <v>4.4444232941510666</v>
      </c>
      <c r="E17" s="331"/>
      <c r="F17" s="330">
        <v>1.2809951772741999</v>
      </c>
      <c r="G17" s="330">
        <v>3.4192040474433307</v>
      </c>
      <c r="H17" s="330">
        <f t="shared" si="1"/>
        <v>4.7001992247175304</v>
      </c>
      <c r="I17" s="331"/>
      <c r="J17" s="330">
        <v>2.3212477986880211</v>
      </c>
      <c r="K17" s="330">
        <v>4.3844965160471778</v>
      </c>
      <c r="L17" s="330">
        <f t="shared" si="2"/>
        <v>6.7057443147351989</v>
      </c>
      <c r="M17" s="236"/>
      <c r="N17" s="328">
        <f t="shared" si="3"/>
        <v>4.7593809193274383</v>
      </c>
      <c r="O17" s="328">
        <f t="shared" si="4"/>
        <v>4.0426968098352667</v>
      </c>
      <c r="P17" s="328"/>
      <c r="Q17" s="328">
        <f t="shared" si="5"/>
        <v>-5.8076832777820275E-2</v>
      </c>
      <c r="R17" s="328">
        <f t="shared" si="6"/>
        <v>1.6715974910634479</v>
      </c>
      <c r="S17" s="327"/>
      <c r="T17" s="328">
        <f t="shared" si="7"/>
        <v>1.1253808607709193</v>
      </c>
      <c r="U17" s="328">
        <f t="shared" si="8"/>
        <v>2.3973494046154675</v>
      </c>
    </row>
    <row r="18" spans="1:21" x14ac:dyDescent="0.25">
      <c r="A18" s="329" t="str">
        <f>name!D13</f>
        <v>34 Culture, media and sports occupations</v>
      </c>
      <c r="B18" s="330">
        <v>3.0100112278818059</v>
      </c>
      <c r="C18" s="330">
        <v>4.5169862879842979</v>
      </c>
      <c r="D18" s="330">
        <f t="shared" si="0"/>
        <v>7.5269975158661033</v>
      </c>
      <c r="E18" s="331"/>
      <c r="F18" s="330">
        <v>3.1395876314700399</v>
      </c>
      <c r="G18" s="330">
        <v>4.5266562824420671</v>
      </c>
      <c r="H18" s="330">
        <f t="shared" si="1"/>
        <v>7.6662439139121066</v>
      </c>
      <c r="I18" s="331"/>
      <c r="J18" s="330">
        <v>3.3587491228773114</v>
      </c>
      <c r="K18" s="330">
        <v>4.6667567601410695</v>
      </c>
      <c r="L18" s="330">
        <f t="shared" si="2"/>
        <v>8.025505883018381</v>
      </c>
      <c r="M18" s="236"/>
      <c r="N18" s="328">
        <f t="shared" si="3"/>
        <v>0.84651594946445474</v>
      </c>
      <c r="O18" s="328">
        <f t="shared" si="4"/>
        <v>0.45086104080309664</v>
      </c>
      <c r="P18" s="327"/>
      <c r="Q18" s="328">
        <f t="shared" si="5"/>
        <v>4.2779516370794468E-2</v>
      </c>
      <c r="R18" s="328">
        <f t="shared" si="6"/>
        <v>0.20341198243036818</v>
      </c>
      <c r="S18" s="327"/>
      <c r="T18" s="328">
        <f t="shared" si="7"/>
        <v>0.36728400179126819</v>
      </c>
      <c r="U18" s="328">
        <f t="shared" si="8"/>
        <v>0.30578605020137317</v>
      </c>
    </row>
    <row r="19" spans="1:21" x14ac:dyDescent="0.25">
      <c r="A19" s="329" t="str">
        <f>name!D14</f>
        <v>35 Business and public service associate professionals</v>
      </c>
      <c r="B19" s="330">
        <v>12.059444259451528</v>
      </c>
      <c r="C19" s="330">
        <v>15.423996768819533</v>
      </c>
      <c r="D19" s="330">
        <f t="shared" si="0"/>
        <v>27.483441028271059</v>
      </c>
      <c r="E19" s="331"/>
      <c r="F19" s="330">
        <v>13.030261680158304</v>
      </c>
      <c r="G19" s="330">
        <v>15.681841668855601</v>
      </c>
      <c r="H19" s="330">
        <f t="shared" si="1"/>
        <v>28.712103349013905</v>
      </c>
      <c r="I19" s="331"/>
      <c r="J19" s="330">
        <v>14.234372247450615</v>
      </c>
      <c r="K19" s="330">
        <v>14.36700043432305</v>
      </c>
      <c r="L19" s="330">
        <f t="shared" si="2"/>
        <v>28.601372681773665</v>
      </c>
      <c r="M19" s="236"/>
      <c r="N19" s="328">
        <f t="shared" si="3"/>
        <v>1.5605791101676703</v>
      </c>
      <c r="O19" s="328">
        <f t="shared" si="4"/>
        <v>0.59097371136371812</v>
      </c>
      <c r="P19" s="327"/>
      <c r="Q19" s="328">
        <f t="shared" si="5"/>
        <v>0.3321289904973268</v>
      </c>
      <c r="R19" s="328">
        <f t="shared" si="6"/>
        <v>-0.58209602533009219</v>
      </c>
      <c r="S19" s="327"/>
      <c r="T19" s="328">
        <f t="shared" si="7"/>
        <v>0.87853818106069514</v>
      </c>
      <c r="U19" s="328">
        <f t="shared" si="8"/>
        <v>-2.5756954356748185E-2</v>
      </c>
    </row>
    <row r="20" spans="1:21" x14ac:dyDescent="0.25">
      <c r="A20" s="329" t="str">
        <f>name!D15</f>
        <v>41 Administrative occupations</v>
      </c>
      <c r="B20" s="330">
        <v>33.524375113282296</v>
      </c>
      <c r="C20" s="330">
        <v>15.614024343375871</v>
      </c>
      <c r="D20" s="330">
        <f t="shared" si="0"/>
        <v>49.138399456658163</v>
      </c>
      <c r="E20" s="331"/>
      <c r="F20" s="330">
        <v>31.017258769576816</v>
      </c>
      <c r="G20" s="330">
        <v>16.30028080571164</v>
      </c>
      <c r="H20" s="330">
        <f t="shared" si="1"/>
        <v>47.317539575288457</v>
      </c>
      <c r="I20" s="331"/>
      <c r="J20" s="330">
        <v>24.279464657531076</v>
      </c>
      <c r="K20" s="330">
        <v>17.329207429920501</v>
      </c>
      <c r="L20" s="330">
        <f t="shared" si="2"/>
        <v>41.608672087451581</v>
      </c>
      <c r="M20" s="236"/>
      <c r="N20" s="328">
        <f t="shared" si="3"/>
        <v>-1.5425588872177043</v>
      </c>
      <c r="O20" s="328">
        <f t="shared" si="4"/>
        <v>-1.619495292962092</v>
      </c>
      <c r="P20" s="327"/>
      <c r="Q20" s="328">
        <f t="shared" si="5"/>
        <v>0.86396740482999057</v>
      </c>
      <c r="R20" s="328">
        <f t="shared" si="6"/>
        <v>0.40890731174170192</v>
      </c>
      <c r="S20" s="327"/>
      <c r="T20" s="328">
        <f t="shared" si="7"/>
        <v>-0.75235063022518478</v>
      </c>
      <c r="U20" s="328">
        <f t="shared" si="8"/>
        <v>-0.85348650079992705</v>
      </c>
    </row>
    <row r="21" spans="1:21" x14ac:dyDescent="0.25">
      <c r="A21" s="329" t="str">
        <f>name!D16</f>
        <v>42 Secretarial and related occupations</v>
      </c>
      <c r="B21" s="330">
        <v>10.015629092475123</v>
      </c>
      <c r="C21" s="330">
        <v>0.98392418673063786</v>
      </c>
      <c r="D21" s="330">
        <f t="shared" si="0"/>
        <v>10.999553279205761</v>
      </c>
      <c r="E21" s="331"/>
      <c r="F21" s="330">
        <v>8.5891193626514415</v>
      </c>
      <c r="G21" s="330">
        <v>0.69927002657578796</v>
      </c>
      <c r="H21" s="330">
        <f t="shared" si="1"/>
        <v>9.2883893892272287</v>
      </c>
      <c r="I21" s="331"/>
      <c r="J21" s="330">
        <v>5.4749160278820082</v>
      </c>
      <c r="K21" s="330">
        <v>1.0652556392754455</v>
      </c>
      <c r="L21" s="330">
        <f t="shared" si="2"/>
        <v>6.5401716671574537</v>
      </c>
      <c r="M21" s="236"/>
      <c r="N21" s="328">
        <f t="shared" si="3"/>
        <v>-3.0262743792530578</v>
      </c>
      <c r="O21" s="328">
        <f t="shared" si="4"/>
        <v>-2.9575122076162197</v>
      </c>
      <c r="P21" s="327"/>
      <c r="Q21" s="328">
        <f t="shared" si="5"/>
        <v>-6.6021980975626615</v>
      </c>
      <c r="R21" s="328">
        <f t="shared" si="6"/>
        <v>2.8459660470623982</v>
      </c>
      <c r="S21" s="327"/>
      <c r="T21" s="328">
        <f t="shared" si="7"/>
        <v>-3.3252465421505062</v>
      </c>
      <c r="U21" s="328">
        <f t="shared" si="8"/>
        <v>-2.3115432204955932</v>
      </c>
    </row>
    <row r="22" spans="1:21" x14ac:dyDescent="0.25">
      <c r="A22" s="329" t="str">
        <f>name!D17</f>
        <v>51 Skilled agricultural and related trades</v>
      </c>
      <c r="B22" s="330">
        <v>0.61074669559458628</v>
      </c>
      <c r="C22" s="330">
        <v>3.720569195128824</v>
      </c>
      <c r="D22" s="330">
        <f t="shared" si="0"/>
        <v>4.3313158907234106</v>
      </c>
      <c r="E22" s="331"/>
      <c r="F22" s="330">
        <v>0.56897006272508988</v>
      </c>
      <c r="G22" s="330">
        <v>2.6169442046855278</v>
      </c>
      <c r="H22" s="330">
        <f t="shared" si="1"/>
        <v>3.1859142674106176</v>
      </c>
      <c r="I22" s="331"/>
      <c r="J22" s="330">
        <v>0.77527831551948567</v>
      </c>
      <c r="K22" s="330">
        <v>2.9386848333331872</v>
      </c>
      <c r="L22" s="330">
        <f t="shared" si="2"/>
        <v>3.713963148852673</v>
      </c>
      <c r="M22" s="236"/>
      <c r="N22" s="328">
        <f t="shared" si="3"/>
        <v>-1.4070961624888301</v>
      </c>
      <c r="O22" s="328">
        <f t="shared" si="4"/>
        <v>2.0840476111623207</v>
      </c>
      <c r="P22" s="327"/>
      <c r="Q22" s="328">
        <f t="shared" si="5"/>
        <v>-6.7954711445393778</v>
      </c>
      <c r="R22" s="328">
        <f t="shared" si="6"/>
        <v>0.77602789312092302</v>
      </c>
      <c r="S22" s="327"/>
      <c r="T22" s="328">
        <f t="shared" si="7"/>
        <v>-5.9577859556225521</v>
      </c>
      <c r="U22" s="328">
        <f t="shared" si="8"/>
        <v>1.027645973990321</v>
      </c>
    </row>
    <row r="23" spans="1:21" x14ac:dyDescent="0.25">
      <c r="A23" s="329" t="str">
        <f>name!D18</f>
        <v>52 Skilled metal, electrical and electronic trades</v>
      </c>
      <c r="B23" s="330">
        <v>0.3648503293742551</v>
      </c>
      <c r="C23" s="330">
        <v>28.257827507545219</v>
      </c>
      <c r="D23" s="330">
        <f t="shared" si="0"/>
        <v>28.622677836919475</v>
      </c>
      <c r="E23" s="331"/>
      <c r="F23" s="330">
        <v>0.4611821231625623</v>
      </c>
      <c r="G23" s="330">
        <v>22.875815286022011</v>
      </c>
      <c r="H23" s="330">
        <f t="shared" si="1"/>
        <v>23.336997409184573</v>
      </c>
      <c r="I23" s="331"/>
      <c r="J23" s="330">
        <v>1.1622190879832661</v>
      </c>
      <c r="K23" s="330">
        <v>19.682681549916762</v>
      </c>
      <c r="L23" s="330">
        <f t="shared" si="2"/>
        <v>20.844900637900029</v>
      </c>
      <c r="M23" s="236"/>
      <c r="N23" s="328">
        <f t="shared" si="3"/>
        <v>4.7976500665823041</v>
      </c>
      <c r="O23" s="328">
        <f t="shared" si="4"/>
        <v>6.3557650534874055</v>
      </c>
      <c r="P23" s="327"/>
      <c r="Q23" s="328">
        <f t="shared" si="5"/>
        <v>-4.1377623406967707</v>
      </c>
      <c r="R23" s="328">
        <f t="shared" si="6"/>
        <v>-0.99726804861595131</v>
      </c>
      <c r="S23" s="327"/>
      <c r="T23" s="328">
        <f t="shared" si="7"/>
        <v>-4.0009482738341156</v>
      </c>
      <c r="U23" s="328">
        <f t="shared" si="8"/>
        <v>-0.75004388141534095</v>
      </c>
    </row>
    <row r="24" spans="1:21" x14ac:dyDescent="0.25">
      <c r="A24" s="329" t="str">
        <f>name!D19</f>
        <v>53 Skilled construction and building trades</v>
      </c>
      <c r="B24" s="330">
        <v>0.24411524455905589</v>
      </c>
      <c r="C24" s="330">
        <v>18.431515324301849</v>
      </c>
      <c r="D24" s="330">
        <f t="shared" si="0"/>
        <v>18.675630568860903</v>
      </c>
      <c r="E24" s="331"/>
      <c r="F24" s="330">
        <v>0.27940932640622779</v>
      </c>
      <c r="G24" s="330">
        <v>17.154190392596323</v>
      </c>
      <c r="H24" s="330">
        <f t="shared" si="1"/>
        <v>17.433599719002551</v>
      </c>
      <c r="I24" s="331"/>
      <c r="J24" s="330">
        <v>0.32445931603468431</v>
      </c>
      <c r="K24" s="330">
        <v>15.033360244624994</v>
      </c>
      <c r="L24" s="330">
        <f t="shared" si="2"/>
        <v>15.357819560659678</v>
      </c>
      <c r="M24" s="236"/>
      <c r="N24" s="328">
        <f t="shared" si="3"/>
        <v>2.7375487263703313</v>
      </c>
      <c r="O24" s="328">
        <f t="shared" si="4"/>
        <v>1.0015309344751477</v>
      </c>
      <c r="P24" s="327"/>
      <c r="Q24" s="328">
        <f t="shared" si="5"/>
        <v>-1.4261232789722134</v>
      </c>
      <c r="R24" s="328">
        <f t="shared" si="6"/>
        <v>-0.87594593269900711</v>
      </c>
      <c r="S24" s="327"/>
      <c r="T24" s="328">
        <f t="shared" si="7"/>
        <v>-1.3669735552202855</v>
      </c>
      <c r="U24" s="328">
        <f t="shared" si="8"/>
        <v>-0.84160253337166591</v>
      </c>
    </row>
    <row r="25" spans="1:21" x14ac:dyDescent="0.25">
      <c r="A25" s="329" t="str">
        <f>name!D20</f>
        <v>54 Textiles, printing and other skilled trades</v>
      </c>
      <c r="B25" s="330">
        <v>3.324506301195036</v>
      </c>
      <c r="C25" s="330">
        <v>6.3445971972315238</v>
      </c>
      <c r="D25" s="330">
        <f t="shared" si="0"/>
        <v>9.6691034984265603</v>
      </c>
      <c r="E25" s="331"/>
      <c r="F25" s="330">
        <v>3.3851792996460044</v>
      </c>
      <c r="G25" s="330">
        <v>4.9649399753070922</v>
      </c>
      <c r="H25" s="330">
        <f t="shared" si="1"/>
        <v>8.3501192749530961</v>
      </c>
      <c r="I25" s="331"/>
      <c r="J25" s="330">
        <v>3.2332415214620065</v>
      </c>
      <c r="K25" s="330">
        <v>4.2518098478429378</v>
      </c>
      <c r="L25" s="330">
        <f t="shared" si="2"/>
        <v>7.4850513693049443</v>
      </c>
      <c r="M25" s="236"/>
      <c r="N25" s="328">
        <f t="shared" si="3"/>
        <v>0.36236880590969633</v>
      </c>
      <c r="O25" s="328">
        <f t="shared" si="4"/>
        <v>-0.30567634111599018</v>
      </c>
      <c r="P25" s="327"/>
      <c r="Q25" s="328">
        <f t="shared" si="5"/>
        <v>-4.7857415298617649</v>
      </c>
      <c r="R25" s="328">
        <f t="shared" si="6"/>
        <v>-1.0283853759017192</v>
      </c>
      <c r="S25" s="327"/>
      <c r="T25" s="328">
        <f t="shared" si="7"/>
        <v>-2.8905948066148324</v>
      </c>
      <c r="U25" s="328">
        <f t="shared" si="8"/>
        <v>-0.72646798716869965</v>
      </c>
    </row>
    <row r="26" spans="1:21" x14ac:dyDescent="0.25">
      <c r="A26" s="329" t="str">
        <f>name!D21</f>
        <v>61 Caring personal service occupations</v>
      </c>
      <c r="B26" s="330">
        <v>34.306178701304852</v>
      </c>
      <c r="C26" s="330">
        <v>4.2430476204005654</v>
      </c>
      <c r="D26" s="330">
        <f t="shared" si="0"/>
        <v>38.549226321705419</v>
      </c>
      <c r="E26" s="331"/>
      <c r="F26" s="330">
        <v>35.533831734505888</v>
      </c>
      <c r="G26" s="330">
        <v>4.2720139761381004</v>
      </c>
      <c r="H26" s="330">
        <f t="shared" si="1"/>
        <v>39.805845710643986</v>
      </c>
      <c r="I26" s="331"/>
      <c r="J26" s="330">
        <v>41.783143826138506</v>
      </c>
      <c r="K26" s="330">
        <v>6.0233816531853872</v>
      </c>
      <c r="L26" s="330">
        <f t="shared" si="2"/>
        <v>47.806525479323895</v>
      </c>
      <c r="M26" s="236"/>
      <c r="N26" s="328">
        <f t="shared" si="3"/>
        <v>0.70567370999201628</v>
      </c>
      <c r="O26" s="328">
        <f t="shared" si="4"/>
        <v>1.0859052877191022</v>
      </c>
      <c r="P26" s="327"/>
      <c r="Q26" s="328">
        <f t="shared" si="5"/>
        <v>0.13616429506326799</v>
      </c>
      <c r="R26" s="328">
        <f t="shared" si="6"/>
        <v>2.3168547012404339</v>
      </c>
      <c r="S26" s="327"/>
      <c r="T26" s="328">
        <f t="shared" si="7"/>
        <v>0.64361733842832614</v>
      </c>
      <c r="U26" s="328">
        <f t="shared" si="8"/>
        <v>1.2284736216228609</v>
      </c>
    </row>
    <row r="27" spans="1:21" x14ac:dyDescent="0.25">
      <c r="A27" s="329" t="str">
        <f>name!D22</f>
        <v>62 Leisure, travel and related personal service occupations</v>
      </c>
      <c r="B27" s="330">
        <v>8.4238038771633335</v>
      </c>
      <c r="C27" s="330">
        <v>3.058491608492754</v>
      </c>
      <c r="D27" s="330">
        <f t="shared" si="0"/>
        <v>11.482295485656088</v>
      </c>
      <c r="E27" s="331"/>
      <c r="F27" s="330">
        <v>6.4065194710173774</v>
      </c>
      <c r="G27" s="330">
        <v>2.7402654170114906</v>
      </c>
      <c r="H27" s="330">
        <f t="shared" si="1"/>
        <v>9.1467848880288685</v>
      </c>
      <c r="I27" s="331"/>
      <c r="J27" s="330">
        <v>6.5097701502473697</v>
      </c>
      <c r="K27" s="330">
        <v>2.9280944168669421</v>
      </c>
      <c r="L27" s="330">
        <f t="shared" si="2"/>
        <v>9.4378645671143122</v>
      </c>
      <c r="M27" s="236"/>
      <c r="N27" s="328">
        <f t="shared" si="3"/>
        <v>-5.32773214661092</v>
      </c>
      <c r="O27" s="328">
        <f t="shared" si="4"/>
        <v>0.10664355179270668</v>
      </c>
      <c r="P27" s="327"/>
      <c r="Q27" s="328">
        <f t="shared" si="5"/>
        <v>-2.1733757655635344</v>
      </c>
      <c r="R27" s="328">
        <f t="shared" si="6"/>
        <v>0.44295856421394664</v>
      </c>
      <c r="S27" s="327"/>
      <c r="T27" s="328">
        <f t="shared" si="7"/>
        <v>-4.4462029664625309</v>
      </c>
      <c r="U27" s="328">
        <f t="shared" si="8"/>
        <v>0.20906693595830195</v>
      </c>
    </row>
    <row r="28" spans="1:21" x14ac:dyDescent="0.25">
      <c r="A28" s="329" t="str">
        <f>name!D23</f>
        <v>63 Community and civil enforcement occupations</v>
      </c>
      <c r="B28" s="330">
        <v>9.9217182587818226E-2</v>
      </c>
      <c r="C28" s="330">
        <v>0.3474536387372123</v>
      </c>
      <c r="D28" s="330">
        <f t="shared" si="0"/>
        <v>0.44667082132503055</v>
      </c>
      <c r="E28" s="331"/>
      <c r="F28" s="330">
        <v>0.10656405069254467</v>
      </c>
      <c r="G28" s="330">
        <v>0.35144879684425001</v>
      </c>
      <c r="H28" s="330">
        <f t="shared" si="1"/>
        <v>0.45801284753679466</v>
      </c>
      <c r="I28" s="331"/>
      <c r="J28" s="330">
        <v>0.14232277418284373</v>
      </c>
      <c r="K28" s="330">
        <v>0.27641728730973392</v>
      </c>
      <c r="L28" s="330">
        <f>SUM(J28:K28)</f>
        <v>0.41874006149257764</v>
      </c>
      <c r="M28" s="236"/>
      <c r="N28" s="328">
        <f t="shared" si="3"/>
        <v>1.4389548682352427</v>
      </c>
      <c r="O28" s="328">
        <f t="shared" si="4"/>
        <v>1.9477343626526089</v>
      </c>
      <c r="P28" s="327"/>
      <c r="Q28" s="328">
        <f t="shared" si="5"/>
        <v>0.22891737288268654</v>
      </c>
      <c r="R28" s="328">
        <f t="shared" si="6"/>
        <v>-1.588267834782342</v>
      </c>
      <c r="S28" s="327"/>
      <c r="T28" s="328">
        <f t="shared" si="7"/>
        <v>0.50276623722214087</v>
      </c>
      <c r="U28" s="328">
        <f t="shared" si="8"/>
        <v>-0.59586355601790597</v>
      </c>
    </row>
    <row r="29" spans="1:21" x14ac:dyDescent="0.25">
      <c r="A29" s="329" t="str">
        <f>name!D24</f>
        <v>71 Sales occupations</v>
      </c>
      <c r="B29" s="330">
        <v>20.443580260654084</v>
      </c>
      <c r="C29" s="330">
        <v>13.780219937698439</v>
      </c>
      <c r="D29" s="330">
        <f t="shared" si="0"/>
        <v>34.223800198352521</v>
      </c>
      <c r="E29" s="331"/>
      <c r="F29" s="330">
        <v>17.253150280154376</v>
      </c>
      <c r="G29" s="330">
        <v>12.938657545094458</v>
      </c>
      <c r="H29" s="330">
        <f t="shared" si="1"/>
        <v>30.191807825248834</v>
      </c>
      <c r="I29" s="331"/>
      <c r="J29" s="330">
        <v>14.466030379342753</v>
      </c>
      <c r="K29" s="330">
        <v>11.50387541225362</v>
      </c>
      <c r="L29" s="330">
        <f t="shared" si="2"/>
        <v>25.969905791596375</v>
      </c>
      <c r="M29" s="236"/>
      <c r="N29" s="328">
        <f t="shared" si="3"/>
        <v>-3.3365503349018999</v>
      </c>
      <c r="O29" s="328">
        <f t="shared" si="4"/>
        <v>-1.1677389365447599</v>
      </c>
      <c r="P29" s="327"/>
      <c r="Q29" s="328">
        <f t="shared" si="5"/>
        <v>-1.252385296436731</v>
      </c>
      <c r="R29" s="328">
        <f t="shared" si="6"/>
        <v>-0.78050854359714705</v>
      </c>
      <c r="S29" s="327"/>
      <c r="T29" s="328">
        <f t="shared" si="7"/>
        <v>-2.4758492005482524</v>
      </c>
      <c r="U29" s="328">
        <f t="shared" si="8"/>
        <v>-0.99918943505745705</v>
      </c>
    </row>
    <row r="30" spans="1:21" x14ac:dyDescent="0.25">
      <c r="A30" s="329" t="str">
        <f>name!D25</f>
        <v>72 Customer service occupations</v>
      </c>
      <c r="B30" s="330">
        <v>5.1697765080963771</v>
      </c>
      <c r="C30" s="330">
        <v>3.9189141356413502</v>
      </c>
      <c r="D30" s="330">
        <f t="shared" si="0"/>
        <v>9.0886906437377277</v>
      </c>
      <c r="E30" s="331"/>
      <c r="F30" s="330">
        <v>5.3852374374537986</v>
      </c>
      <c r="G30" s="330">
        <v>3.7325933245267708</v>
      </c>
      <c r="H30" s="330">
        <f t="shared" si="1"/>
        <v>9.117830761980569</v>
      </c>
      <c r="I30" s="331"/>
      <c r="J30" s="330">
        <v>7.3548050625433694</v>
      </c>
      <c r="K30" s="330">
        <v>6.0861719042285651</v>
      </c>
      <c r="L30" s="330">
        <f t="shared" si="2"/>
        <v>13.440976966771935</v>
      </c>
      <c r="M30" s="236"/>
      <c r="N30" s="328">
        <f t="shared" si="3"/>
        <v>0.81998245135539438</v>
      </c>
      <c r="O30" s="328">
        <f t="shared" si="4"/>
        <v>2.0996893433706587</v>
      </c>
      <c r="P30" s="327"/>
      <c r="Q30" s="328">
        <f t="shared" si="5"/>
        <v>-0.96949689859193722</v>
      </c>
      <c r="R30" s="328">
        <f t="shared" si="6"/>
        <v>3.313141914827411</v>
      </c>
      <c r="S30" s="327"/>
      <c r="T30" s="328">
        <f t="shared" si="7"/>
        <v>6.4041828574934456E-2</v>
      </c>
      <c r="U30" s="328">
        <f t="shared" si="8"/>
        <v>2.6209318608694021</v>
      </c>
    </row>
    <row r="31" spans="1:21" x14ac:dyDescent="0.25">
      <c r="A31" s="329" t="str">
        <f>name!D26</f>
        <v>81 Process, plant and machine operatives</v>
      </c>
      <c r="B31" s="330">
        <v>4.5016237730952104</v>
      </c>
      <c r="C31" s="330">
        <v>18.516053173598376</v>
      </c>
      <c r="D31" s="330">
        <f t="shared" si="0"/>
        <v>23.017676946693587</v>
      </c>
      <c r="E31" s="331"/>
      <c r="F31" s="330">
        <v>4.0754045658420548</v>
      </c>
      <c r="G31" s="330">
        <v>14.240849462931685</v>
      </c>
      <c r="H31" s="330">
        <f t="shared" si="1"/>
        <v>18.316254028773741</v>
      </c>
      <c r="I31" s="331"/>
      <c r="J31" s="330">
        <v>5.2937359963513479</v>
      </c>
      <c r="K31" s="330">
        <v>16.01928453256275</v>
      </c>
      <c r="L31" s="330">
        <f t="shared" si="2"/>
        <v>21.313020528914098</v>
      </c>
      <c r="M31" s="236"/>
      <c r="N31" s="328">
        <f t="shared" si="3"/>
        <v>-1.969705710692915</v>
      </c>
      <c r="O31" s="328">
        <f t="shared" si="4"/>
        <v>1.7589858534655445</v>
      </c>
      <c r="P31" s="327"/>
      <c r="Q31" s="328">
        <f t="shared" si="5"/>
        <v>-5.1150145651997274</v>
      </c>
      <c r="R31" s="328">
        <f t="shared" si="6"/>
        <v>0.78761027440568121</v>
      </c>
      <c r="S31" s="327"/>
      <c r="T31" s="328">
        <f t="shared" si="7"/>
        <v>-4.4666441857346033</v>
      </c>
      <c r="U31" s="328">
        <f t="shared" si="8"/>
        <v>1.0153151289193252</v>
      </c>
    </row>
    <row r="32" spans="1:21" x14ac:dyDescent="0.25">
      <c r="A32" s="329" t="str">
        <f>name!D27</f>
        <v>82 Transport and mobile machine drivers and operatives</v>
      </c>
      <c r="B32" s="330">
        <v>1.0979891297442075</v>
      </c>
      <c r="C32" s="330">
        <v>23.025017983339353</v>
      </c>
      <c r="D32" s="330">
        <f t="shared" si="0"/>
        <v>24.12300711308356</v>
      </c>
      <c r="E32" s="331"/>
      <c r="F32" s="330">
        <v>0.98117400967843427</v>
      </c>
      <c r="G32" s="330">
        <v>20.970327260829357</v>
      </c>
      <c r="H32" s="330">
        <f t="shared" si="1"/>
        <v>21.951501270507791</v>
      </c>
      <c r="I32" s="331"/>
      <c r="J32" s="330">
        <v>1.7328084374724997</v>
      </c>
      <c r="K32" s="330">
        <v>22.421091909051682</v>
      </c>
      <c r="L32" s="330">
        <f t="shared" si="2"/>
        <v>24.153900346524182</v>
      </c>
      <c r="M32" s="236"/>
      <c r="N32" s="328">
        <f t="shared" si="3"/>
        <v>-2.2246005199683672</v>
      </c>
      <c r="O32" s="328">
        <f t="shared" si="4"/>
        <v>3.8644600889441216</v>
      </c>
      <c r="P32" s="327"/>
      <c r="Q32" s="328">
        <f t="shared" si="5"/>
        <v>-1.8520922591669708</v>
      </c>
      <c r="R32" s="328">
        <f t="shared" si="6"/>
        <v>0.44695365809539478</v>
      </c>
      <c r="S32" s="327"/>
      <c r="T32" s="328">
        <f t="shared" si="7"/>
        <v>-1.8689250007423497</v>
      </c>
      <c r="U32" s="328">
        <f t="shared" si="8"/>
        <v>0.63943799718395589</v>
      </c>
    </row>
    <row r="33" spans="1:21" x14ac:dyDescent="0.25">
      <c r="A33" s="329" t="str">
        <f>name!D28</f>
        <v>91 Elementary trades and related occupations</v>
      </c>
      <c r="B33" s="330">
        <v>2.8433770765383439</v>
      </c>
      <c r="C33" s="330">
        <v>8.64406650366473</v>
      </c>
      <c r="D33" s="330">
        <f t="shared" si="0"/>
        <v>11.487443580203074</v>
      </c>
      <c r="E33" s="331"/>
      <c r="F33" s="330">
        <v>1.9281979859230163</v>
      </c>
      <c r="G33" s="330">
        <v>6.714685612172139</v>
      </c>
      <c r="H33" s="330">
        <f t="shared" si="1"/>
        <v>8.6428835980951551</v>
      </c>
      <c r="I33" s="331"/>
      <c r="J33" s="330">
        <v>1.5821489095176442</v>
      </c>
      <c r="K33" s="330">
        <v>5.2825902579145962</v>
      </c>
      <c r="L33" s="330">
        <f t="shared" si="2"/>
        <v>6.8647391674322407</v>
      </c>
      <c r="M33" s="236"/>
      <c r="N33" s="328">
        <f t="shared" si="3"/>
        <v>-7.4740754468616277</v>
      </c>
      <c r="O33" s="328">
        <f t="shared" si="4"/>
        <v>-1.310022773374464</v>
      </c>
      <c r="P33" s="327"/>
      <c r="Q33" s="328">
        <f t="shared" si="5"/>
        <v>-4.9260545893809233</v>
      </c>
      <c r="R33" s="328">
        <f t="shared" si="6"/>
        <v>-1.5864836652731307</v>
      </c>
      <c r="S33" s="327"/>
      <c r="T33" s="328">
        <f t="shared" si="7"/>
        <v>-5.5314923934031146</v>
      </c>
      <c r="U33" s="328">
        <f t="shared" si="8"/>
        <v>-1.5238581822931585</v>
      </c>
    </row>
    <row r="34" spans="1:21" x14ac:dyDescent="0.25">
      <c r="A34" s="329" t="str">
        <f>name!D29</f>
        <v>92 Elementary administration and service occupations</v>
      </c>
      <c r="B34" s="330">
        <v>21.899107967782566</v>
      </c>
      <c r="C34" s="330">
        <v>23.573386766069238</v>
      </c>
      <c r="D34" s="330">
        <f t="shared" ref="D34" si="9">SUM(B34:C34)</f>
        <v>45.472494733851804</v>
      </c>
      <c r="E34" s="331"/>
      <c r="F34" s="330">
        <v>18.915308261969496</v>
      </c>
      <c r="G34" s="330">
        <v>18.818562046152262</v>
      </c>
      <c r="H34" s="330">
        <f t="shared" ref="H34" si="10">SUM(F34:G34)</f>
        <v>37.733870308121759</v>
      </c>
      <c r="I34" s="331"/>
      <c r="J34" s="330">
        <v>16.452978288326339</v>
      </c>
      <c r="K34" s="330">
        <v>18.797003814893657</v>
      </c>
      <c r="L34" s="330">
        <f t="shared" ref="L34" si="11">SUM(J34:K34)</f>
        <v>35.249982103219992</v>
      </c>
      <c r="M34" s="236"/>
      <c r="N34" s="328">
        <f t="shared" si="3"/>
        <v>-2.886993463673948</v>
      </c>
      <c r="O34" s="328">
        <f t="shared" si="4"/>
        <v>-0.92545798776163535</v>
      </c>
      <c r="P34" s="327"/>
      <c r="Q34" s="328">
        <f t="shared" si="5"/>
        <v>-4.4055033624889823</v>
      </c>
      <c r="R34" s="328">
        <f t="shared" si="6"/>
        <v>-7.6413082189086268E-3</v>
      </c>
      <c r="S34" s="327"/>
      <c r="T34" s="328">
        <f t="shared" si="7"/>
        <v>-3.6622466247607899</v>
      </c>
      <c r="U34" s="328">
        <f t="shared" si="8"/>
        <v>-0.4529250948293484</v>
      </c>
    </row>
    <row r="35" spans="1:21" x14ac:dyDescent="0.25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ht="13" x14ac:dyDescent="0.3">
      <c r="A36" s="332" t="str">
        <f>name!D3</f>
        <v>All occupations</v>
      </c>
      <c r="B36" s="333">
        <f>SUM(B9:B34)</f>
        <v>227.08899752482441</v>
      </c>
      <c r="C36" s="333">
        <f t="shared" ref="C36:D36" si="12">SUM(C9:C34)</f>
        <v>278.47300247517569</v>
      </c>
      <c r="D36" s="333">
        <f t="shared" si="12"/>
        <v>505.5620000000003</v>
      </c>
      <c r="E36" s="333"/>
      <c r="F36" s="333">
        <f>SUM(F9:F34)</f>
        <v>231.09459559588936</v>
      </c>
      <c r="G36" s="333">
        <f t="shared" ref="G36:H36" si="13">SUM(G9:G34)</f>
        <v>265.09940440411077</v>
      </c>
      <c r="H36" s="333">
        <f t="shared" si="13"/>
        <v>496.19400000000007</v>
      </c>
      <c r="I36" s="333"/>
      <c r="J36" s="333">
        <f>SUM(J9:J34)</f>
        <v>248.49953199280068</v>
      </c>
      <c r="K36" s="333">
        <f t="shared" ref="K36:L36" si="14">SUM(K9:K34)</f>
        <v>273.44446800719913</v>
      </c>
      <c r="L36" s="333">
        <f t="shared" si="14"/>
        <v>521.94399999999985</v>
      </c>
      <c r="M36" s="258"/>
      <c r="N36" s="334">
        <f t="shared" si="3"/>
        <v>0.35031479731157944</v>
      </c>
      <c r="O36" s="334">
        <f>IF(F36&gt;0,(EXP(LN(J36/F36)/($J$6-$F$6))-1)*100,0)</f>
        <v>0.48526582444701205</v>
      </c>
      <c r="P36" s="335"/>
      <c r="Q36" s="334">
        <f t="shared" ref="Q36" si="15">IF(C36&gt;0,(EXP(LN(G36/C36)/($F$6-$B$6))-1)*100,0)</f>
        <v>-0.97949635800508306</v>
      </c>
      <c r="R36" s="334">
        <f t="shared" ref="R36" si="16">IF(G36&gt;0,(EXP(LN(K36/G36)/($J$6-$F$6))-1)*100,0)</f>
        <v>0.20683823320759576</v>
      </c>
      <c r="S36" s="335"/>
      <c r="T36" s="334">
        <f t="shared" ref="T36" si="17">IF(D36&gt;0,(EXP(LN(H36/D36)/($F$6-$B$6))-1)*100,0)</f>
        <v>-0.37337526450477165</v>
      </c>
      <c r="U36" s="334">
        <f t="shared" ref="U36" si="18">IF(H36&gt;0,(EXP(LN(L36/H36)/($J$6-$F$6))-1)*100,0)</f>
        <v>0.33785827979151417</v>
      </c>
    </row>
    <row r="37" spans="1:21" x14ac:dyDescent="0.25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ht="13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ht="13" x14ac:dyDescent="0.3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ht="13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5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5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5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5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5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5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5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5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5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5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5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ht="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ht="13" x14ac:dyDescent="0.3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ht="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5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5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5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5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5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5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5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5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5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5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ht="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ht="13" x14ac:dyDescent="0.3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ht="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5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5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5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5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5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5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5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5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5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5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ht="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ht="13" x14ac:dyDescent="0.3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ht="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5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5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5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5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5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5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5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5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5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5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ht="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ht="13" x14ac:dyDescent="0.3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ht="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5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5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5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5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5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5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5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5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5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5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ht="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ht="13" x14ac:dyDescent="0.3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ht="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5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5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5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5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5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5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5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5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5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5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ht="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ht="13" x14ac:dyDescent="0.3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ht="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5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5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5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5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5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5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5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5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5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5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ht="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ht="13" x14ac:dyDescent="0.3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ht="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5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5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5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5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5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5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5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5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5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5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ht="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ht="13" x14ac:dyDescent="0.3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ht="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5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5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5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5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5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5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5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5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5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5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ht="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ht="13" x14ac:dyDescent="0.3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ht="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5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5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5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5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5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5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5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5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5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5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ht="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ht="13" x14ac:dyDescent="0.3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ht="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5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5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5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5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5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5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5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5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5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5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ht="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ht="13" x14ac:dyDescent="0.3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ht="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5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5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5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5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5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5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5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5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5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5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ht="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ht="13" x14ac:dyDescent="0.3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ht="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5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5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5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5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5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5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5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5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5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5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ht="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ht="13" x14ac:dyDescent="0.3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ht="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5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5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5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5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5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5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5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5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5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5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ht="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ht="13" x14ac:dyDescent="0.3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ht="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5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5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5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5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5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5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5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5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5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5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ht="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ht="13" x14ac:dyDescent="0.3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ht="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5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5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5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5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5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5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5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5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5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5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ht="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ht="13" x14ac:dyDescent="0.3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ht="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5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5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5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5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5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5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5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5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5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5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ht="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ht="13" x14ac:dyDescent="0.3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ht="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5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5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5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5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5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5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5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5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5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5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ht="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ht="13" x14ac:dyDescent="0.3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ht="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5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5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5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5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5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5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5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5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5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5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ht="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ht="13" x14ac:dyDescent="0.3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ht="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5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5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5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5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5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5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5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5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5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5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ht="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ht="13" x14ac:dyDescent="0.3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ht="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5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5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5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5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5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5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5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5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5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5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5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ht="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ht="13" x14ac:dyDescent="0.3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ht="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ht="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5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5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5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5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5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5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5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5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5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5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5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5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5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ht="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ht="13" x14ac:dyDescent="0.3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ht="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ht="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5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5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5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5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5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5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5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5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5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5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5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5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5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ht="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ht="13" x14ac:dyDescent="0.3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ht="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ht="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5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5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5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5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5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5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5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5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5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5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5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5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5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ht="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ht="13" x14ac:dyDescent="0.3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ht="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ht="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5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5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5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5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5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5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5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5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5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5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5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5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5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ht="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ht="13" x14ac:dyDescent="0.3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ht="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ht="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5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5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5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5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5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5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5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5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5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5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5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5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5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ht="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ht="13" x14ac:dyDescent="0.3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ht="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ht="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5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5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5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5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5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5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5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5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5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5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5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5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5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ht="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ht="13" x14ac:dyDescent="0.3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ht="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ht="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5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5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5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5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5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5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5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5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5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5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5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5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5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ht="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ht="13" x14ac:dyDescent="0.3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ht="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ht="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5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5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5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5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5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5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5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5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5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5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5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5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5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ht="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ht="13" x14ac:dyDescent="0.3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ht="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ht="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5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5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5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5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5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5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5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5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5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5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5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5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5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ht="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ht="13" x14ac:dyDescent="0.3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ht="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ht="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5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5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5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5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5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5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5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5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5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5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5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5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5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ht="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ht="13" x14ac:dyDescent="0.3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ht="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ht="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5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5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5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5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5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5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5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5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5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5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5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5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5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ht="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ht="13" x14ac:dyDescent="0.3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ht="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ht="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5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5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5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5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5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5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5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5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5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5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5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5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5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ht="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ht="13" x14ac:dyDescent="0.3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ht="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ht="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5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5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5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5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5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5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5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5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5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5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5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5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5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ht="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ht="13" x14ac:dyDescent="0.3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ht="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ht="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5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5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5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5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5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5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5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5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5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5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5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5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5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ht="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ht="13" x14ac:dyDescent="0.3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ht="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ht="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5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5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5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5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5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5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5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5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5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5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5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5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5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ht="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ht="13" x14ac:dyDescent="0.3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ht="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ht="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5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5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5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5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5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5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5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5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5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5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5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5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5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ht="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ht="13" x14ac:dyDescent="0.3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ht="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ht="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5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5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5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5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5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5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5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5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5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5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5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5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5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ht="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ht="13" x14ac:dyDescent="0.3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ht="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ht="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5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5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5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5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5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5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5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5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5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5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5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5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5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ht="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ht="13" x14ac:dyDescent="0.3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ht="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ht="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5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5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5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5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5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5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5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5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5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5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5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5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5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ht="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ht="13" x14ac:dyDescent="0.3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ht="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ht="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5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5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5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5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5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5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5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5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5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5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5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5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5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ht="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ht="13" x14ac:dyDescent="0.3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ht="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ht="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5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5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5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5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5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5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5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5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5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5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5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5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5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ht="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ht="13" x14ac:dyDescent="0.3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ht="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ht="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5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5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5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5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5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5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5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5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5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5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5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5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5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ht="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ht="13" x14ac:dyDescent="0.3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ht="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ht="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5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5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5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5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5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5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5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5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5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5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5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5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5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ht="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ht="13" x14ac:dyDescent="0.3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ht="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ht="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5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5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5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5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5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5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5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5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5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5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5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5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5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ht="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ht="13" x14ac:dyDescent="0.3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ht="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ht="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5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5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5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5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5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5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5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5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5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5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5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5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5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ht="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ht="13" x14ac:dyDescent="0.3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ht="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ht="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5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5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5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5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5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5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5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5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5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5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5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5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5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ht="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ht="13" x14ac:dyDescent="0.3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ht="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ht="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5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5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5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5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5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5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5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5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5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5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5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5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5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ht="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ht="13" x14ac:dyDescent="0.3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ht="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ht="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5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5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5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5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5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5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5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5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5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5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5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5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5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ht="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ht="13" x14ac:dyDescent="0.3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ht="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ht="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5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5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5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5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5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5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5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5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5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5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5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5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5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ht="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ht="13" x14ac:dyDescent="0.3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ht="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ht="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5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5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5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5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5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5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5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5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5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5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5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5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5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ht="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ht="13" x14ac:dyDescent="0.3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ht="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ht="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5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5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5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5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5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5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5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5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5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5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5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5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5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ht="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ht="13" x14ac:dyDescent="0.3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ht="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ht="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5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5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5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5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5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5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5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5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5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5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5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5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5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ht="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ht="13" x14ac:dyDescent="0.3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ht="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ht="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5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5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5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5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5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5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5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5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5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5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5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5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5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ht="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ht="13" x14ac:dyDescent="0.3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ht="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ht="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5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5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5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5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5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5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5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5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5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5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5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5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5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ht="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ht="13" x14ac:dyDescent="0.3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ht="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ht="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5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5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5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5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5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5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5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5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5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5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5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5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5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ht="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ht="13" x14ac:dyDescent="0.3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ht="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ht="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5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5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5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5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5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5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5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5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5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5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5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5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5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ht="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ht="13" x14ac:dyDescent="0.3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ht="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ht="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5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5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5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5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5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5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5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5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5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5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5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5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5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ht="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ht="13" x14ac:dyDescent="0.3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ht="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ht="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5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5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5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5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5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5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5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5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5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5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5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5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5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ht="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ht="13" x14ac:dyDescent="0.3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ht="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ht="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5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5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5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5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5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5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5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5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5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5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5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5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5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ht="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ht="13" x14ac:dyDescent="0.3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ht="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ht="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5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5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5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5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5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5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5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5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5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5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5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5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5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ht="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ht="13" x14ac:dyDescent="0.3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ht="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ht="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5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5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5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5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5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5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5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5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5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5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5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5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5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ht="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ht="13" x14ac:dyDescent="0.3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ht="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ht="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5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5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5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5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5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5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5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5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5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5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5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5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5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ht="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ht="13" x14ac:dyDescent="0.3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ht="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ht="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5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5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5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5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5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5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5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5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5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5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5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5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5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ht="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ht="13" x14ac:dyDescent="0.3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ht="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ht="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5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5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5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5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5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5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5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5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5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5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5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5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5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ht="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ht="13" x14ac:dyDescent="0.3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ht="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ht="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5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5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5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5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5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5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5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5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5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5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5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5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5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ht="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ht="13" x14ac:dyDescent="0.3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ht="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ht="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5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5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5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5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5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5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5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5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5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5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5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5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5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ht="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ht="13" x14ac:dyDescent="0.3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ht="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ht="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5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5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5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5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5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5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5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5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5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5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5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5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5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ht="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ht="13" x14ac:dyDescent="0.3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ht="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ht="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5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5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5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5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5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5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5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5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5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5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5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5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5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ht="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ht="13" x14ac:dyDescent="0.3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ht="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ht="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5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5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5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5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5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5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5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5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5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5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5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5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5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ht="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ht="13" x14ac:dyDescent="0.3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ht="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ht="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5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5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5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5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5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5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5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5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5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5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5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5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5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ht="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ht="13" x14ac:dyDescent="0.3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ht="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ht="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5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5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5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5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5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5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5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5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5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5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5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5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5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ht="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ht="13" x14ac:dyDescent="0.3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ht="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ht="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5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5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5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5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5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5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5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5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5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5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5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5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5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ht="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ht="13" x14ac:dyDescent="0.3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ht="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ht="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5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5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5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5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5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5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5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5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5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5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5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5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5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ht="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ht="13" x14ac:dyDescent="0.3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ht="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ht="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5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5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5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5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5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5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5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5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5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5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5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5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9" t="str">
        <f>CONCATENATE("Occupation Table 5  Employment Change by Status (SOC 2020), ",B$5,"-",L$5,", ",Info!B5)</f>
        <v>Occupation Table 5  Employment Change by Status (SOC 2020), 2015-2035, Black Country</v>
      </c>
      <c r="Q1" s="19" t="str">
        <f>CONCATENATE("Occupation Table 5.1  Males: Employment Change by Status (SOC 2020), ",B$5,"-",L$5,", ",Info!B5)</f>
        <v>Occupation Table 5.1  Males: Employment Change by Status (SOC 2020), 2015-2035, Black Country</v>
      </c>
      <c r="AG1" s="19" t="str">
        <f>CONCATENATE("Occupation Table 5.2  Females: Employment Change by Status (SOC 2020), ",R$5,"-",AB$5,", ",Info!B5)</f>
        <v>Occupation Table 5.2  Females: Employment Change by Status (SOC 2020), 2015-2035, Black Country</v>
      </c>
    </row>
    <row r="2" spans="1:47" ht="13" x14ac:dyDescent="0.3">
      <c r="A2" s="1" t="s">
        <v>521</v>
      </c>
    </row>
    <row r="3" spans="1:47" x14ac:dyDescent="0.25">
      <c r="O3" s="16" t="s">
        <v>36</v>
      </c>
      <c r="AE3" s="16" t="s">
        <v>36</v>
      </c>
      <c r="AU3" s="16" t="s">
        <v>36</v>
      </c>
    </row>
    <row r="4" spans="1:47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ht="13" x14ac:dyDescent="0.3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ht="13" x14ac:dyDescent="0.3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31.133467726633231</v>
      </c>
      <c r="C8" s="11">
        <v>4.2901481335351583</v>
      </c>
      <c r="D8" s="11">
        <v>6.9691047558319577</v>
      </c>
      <c r="E8" s="11">
        <f>SUM(B8:D8)</f>
        <v>42.392720616000346</v>
      </c>
      <c r="F8" s="11"/>
      <c r="G8" s="11">
        <v>33.180992489986572</v>
      </c>
      <c r="H8" s="11">
        <v>6.6497211150908706</v>
      </c>
      <c r="I8" s="11">
        <v>7.8315196666069262</v>
      </c>
      <c r="J8" s="11">
        <f>SUM(G8:I8)</f>
        <v>47.662233271684372</v>
      </c>
      <c r="K8" s="11"/>
      <c r="L8" s="11">
        <v>37.365259823888941</v>
      </c>
      <c r="M8" s="11">
        <v>8.4532317187783992</v>
      </c>
      <c r="N8" s="11">
        <v>8.5213987567384422</v>
      </c>
      <c r="O8" s="11">
        <f>SUM(L8:N8)</f>
        <v>54.339890299405781</v>
      </c>
      <c r="Q8" s="10" t="str">
        <f>name!E4</f>
        <v>Managers, directors and senior officials</v>
      </c>
      <c r="R8" s="11">
        <v>22.2195478030747</v>
      </c>
      <c r="S8" s="11">
        <v>1.880693779303235</v>
      </c>
      <c r="T8" s="11">
        <v>4.9339832362112359</v>
      </c>
      <c r="U8" s="11">
        <f>SUM(R8:T8)</f>
        <v>29.034224818589173</v>
      </c>
      <c r="V8" s="11"/>
      <c r="W8" s="11">
        <v>22.884442323827706</v>
      </c>
      <c r="X8" s="11">
        <v>3.0344349471000851</v>
      </c>
      <c r="Y8" s="11">
        <v>5.0229045247137538</v>
      </c>
      <c r="Z8" s="11">
        <f>SUM(W8:Y8)</f>
        <v>30.941781795641546</v>
      </c>
      <c r="AA8" s="11"/>
      <c r="AB8" s="11">
        <v>23.755298031479619</v>
      </c>
      <c r="AC8" s="11">
        <v>4.1145593520063937</v>
      </c>
      <c r="AD8" s="11">
        <v>5.3927185924535328</v>
      </c>
      <c r="AE8" s="11">
        <f>SUM(AB8:AD8)</f>
        <v>33.262575975939548</v>
      </c>
      <c r="AG8" s="10" t="str">
        <f>name!E4</f>
        <v>Managers, directors and senior officials</v>
      </c>
      <c r="AH8" s="11">
        <v>8.9139199235585398</v>
      </c>
      <c r="AI8" s="11">
        <v>2.4094543542319244</v>
      </c>
      <c r="AJ8" s="11">
        <v>2.0351215196207182</v>
      </c>
      <c r="AK8" s="11">
        <f>SUM(AH8:AJ8)</f>
        <v>13.358495797411182</v>
      </c>
      <c r="AL8" s="11"/>
      <c r="AM8" s="11">
        <v>10.296550166158861</v>
      </c>
      <c r="AN8" s="11">
        <v>3.6152861679907846</v>
      </c>
      <c r="AO8" s="11">
        <v>2.8086151418931666</v>
      </c>
      <c r="AP8" s="11">
        <f>SUM(AM8:AO8)</f>
        <v>16.720451476042811</v>
      </c>
      <c r="AQ8" s="11"/>
      <c r="AR8" s="11">
        <v>13.609961792409321</v>
      </c>
      <c r="AS8" s="11">
        <v>4.3386723667720108</v>
      </c>
      <c r="AT8" s="11">
        <v>3.1286801642849129</v>
      </c>
      <c r="AU8" s="11">
        <f>SUM(AR8:AT8)</f>
        <v>21.077314323466243</v>
      </c>
    </row>
    <row r="9" spans="1:47" x14ac:dyDescent="0.25">
      <c r="A9" t="str">
        <f>name!E5</f>
        <v>Professional occupations</v>
      </c>
      <c r="B9" s="11">
        <v>60.788175719151383</v>
      </c>
      <c r="C9" s="11">
        <v>17.622403704573053</v>
      </c>
      <c r="D9" s="11">
        <v>9.3033282210359243</v>
      </c>
      <c r="E9" s="11">
        <f t="shared" ref="E9:E18" si="0">SUM(B9:D9)</f>
        <v>87.713907644760368</v>
      </c>
      <c r="F9" s="11"/>
      <c r="G9" s="11">
        <v>70.891424193992719</v>
      </c>
      <c r="H9" s="11">
        <v>21.933166093674046</v>
      </c>
      <c r="I9" s="11">
        <v>10.559262436552503</v>
      </c>
      <c r="J9" s="11">
        <f t="shared" ref="J9:J16" si="1">SUM(G9:I9)</f>
        <v>103.38385272421927</v>
      </c>
      <c r="K9" s="11"/>
      <c r="L9" s="11">
        <v>85.839369645043789</v>
      </c>
      <c r="M9" s="11">
        <v>27.947863665585931</v>
      </c>
      <c r="N9" s="11">
        <v>9.8967698593137214</v>
      </c>
      <c r="O9" s="11">
        <f t="shared" ref="O9:O16" si="2">SUM(L9:N9)</f>
        <v>123.68400316994344</v>
      </c>
      <c r="Q9" s="10" t="str">
        <f>name!E5</f>
        <v>Professional occupations</v>
      </c>
      <c r="R9" s="11">
        <v>36.0626354352896</v>
      </c>
      <c r="S9" s="11">
        <v>3.1500377580607157</v>
      </c>
      <c r="T9" s="11">
        <v>6.3217879740466447</v>
      </c>
      <c r="U9" s="11">
        <f t="shared" ref="U9:U16" si="3">SUM(R9:T9)</f>
        <v>45.534461167396955</v>
      </c>
      <c r="V9" s="11"/>
      <c r="W9" s="11">
        <v>40.02984564080905</v>
      </c>
      <c r="X9" s="11">
        <v>4.4711510209018082</v>
      </c>
      <c r="Y9" s="11">
        <v>7.4196000705498069</v>
      </c>
      <c r="Z9" s="11">
        <f t="shared" ref="Z9:Z16" si="4">SUM(W9:Y9)</f>
        <v>51.920596732260663</v>
      </c>
      <c r="AA9" s="11"/>
      <c r="AB9" s="11">
        <v>46.565402179022144</v>
      </c>
      <c r="AC9" s="11">
        <v>5.984699771609356</v>
      </c>
      <c r="AD9" s="11">
        <v>6.7082786893191244</v>
      </c>
      <c r="AE9" s="11">
        <f t="shared" ref="AE9:AE16" si="5">SUM(AB9:AD9)</f>
        <v>59.258380639950623</v>
      </c>
      <c r="AG9" s="10" t="str">
        <f>name!E5</f>
        <v>Professional occupations</v>
      </c>
      <c r="AH9" s="11">
        <v>24.725540283861765</v>
      </c>
      <c r="AI9" s="11">
        <v>14.472365946512335</v>
      </c>
      <c r="AJ9" s="11">
        <v>2.9815402469892827</v>
      </c>
      <c r="AK9" s="11">
        <f t="shared" ref="AK9:AK18" si="6">SUM(AH9:AJ9)</f>
        <v>42.179446477363385</v>
      </c>
      <c r="AL9" s="11"/>
      <c r="AM9" s="11">
        <v>30.861578553183659</v>
      </c>
      <c r="AN9" s="11">
        <v>17.462015072772239</v>
      </c>
      <c r="AO9" s="11">
        <v>3.1396623660026952</v>
      </c>
      <c r="AP9" s="11">
        <f t="shared" ref="AP9:AP18" si="7">SUM(AM9:AO9)</f>
        <v>51.46325599195859</v>
      </c>
      <c r="AQ9" s="11"/>
      <c r="AR9" s="11">
        <v>39.273967466021624</v>
      </c>
      <c r="AS9" s="11">
        <v>21.963163893976574</v>
      </c>
      <c r="AT9" s="11">
        <v>3.188491169994597</v>
      </c>
      <c r="AU9" s="11">
        <f t="shared" ref="AU9:AU18" si="8">SUM(AR9:AT9)</f>
        <v>64.425622529992793</v>
      </c>
    </row>
    <row r="10" spans="1:47" x14ac:dyDescent="0.25">
      <c r="A10" t="str">
        <f>name!E6</f>
        <v>Associate professional occupations</v>
      </c>
      <c r="B10" s="11">
        <v>37.406265501286313</v>
      </c>
      <c r="C10" s="11">
        <v>11.315431230188345</v>
      </c>
      <c r="D10" s="11">
        <v>7.4056886323617723</v>
      </c>
      <c r="E10" s="11">
        <f t="shared" si="0"/>
        <v>56.127385363836432</v>
      </c>
      <c r="F10" s="11"/>
      <c r="G10" s="11">
        <v>40.669272344027632</v>
      </c>
      <c r="H10" s="11">
        <v>13.427208601800737</v>
      </c>
      <c r="I10" s="11">
        <v>6.7740821842641497</v>
      </c>
      <c r="J10" s="11">
        <f t="shared" si="1"/>
        <v>60.870563130092521</v>
      </c>
      <c r="K10" s="11"/>
      <c r="L10" s="11">
        <v>42.445424713237145</v>
      </c>
      <c r="M10" s="11">
        <v>14.506239742862659</v>
      </c>
      <c r="N10" s="11">
        <v>6.7622085908349057</v>
      </c>
      <c r="O10" s="11">
        <f t="shared" si="2"/>
        <v>63.713873046934708</v>
      </c>
      <c r="Q10" s="10" t="str">
        <f>name!E6</f>
        <v>Associate professional occupations</v>
      </c>
      <c r="R10" s="11">
        <v>23.949048777487516</v>
      </c>
      <c r="S10" s="11">
        <v>2.9931229929753664</v>
      </c>
      <c r="T10" s="11">
        <v>4.5030355967707472</v>
      </c>
      <c r="U10" s="11">
        <f t="shared" si="3"/>
        <v>31.445207367233628</v>
      </c>
      <c r="V10" s="11"/>
      <c r="W10" s="11">
        <v>24.553304395152932</v>
      </c>
      <c r="X10" s="11">
        <v>3.9478126747591835</v>
      </c>
      <c r="Y10" s="11">
        <v>4.3450646736976362</v>
      </c>
      <c r="Z10" s="11">
        <f t="shared" si="4"/>
        <v>32.846181743609755</v>
      </c>
      <c r="AA10" s="11"/>
      <c r="AB10" s="11">
        <v>23.331186157350498</v>
      </c>
      <c r="AC10" s="11">
        <v>3.6633360745130559</v>
      </c>
      <c r="AD10" s="11">
        <v>4.2900784262647038</v>
      </c>
      <c r="AE10" s="11">
        <f t="shared" si="5"/>
        <v>31.284600658128255</v>
      </c>
      <c r="AG10" s="10" t="str">
        <f>name!E6</f>
        <v>Associate professional occupations</v>
      </c>
      <c r="AH10" s="11">
        <v>13.457216723798796</v>
      </c>
      <c r="AI10" s="11">
        <v>8.3223082372129777</v>
      </c>
      <c r="AJ10" s="11">
        <v>2.9026530355910265</v>
      </c>
      <c r="AK10" s="11">
        <f t="shared" si="6"/>
        <v>24.6821779966028</v>
      </c>
      <c r="AL10" s="11"/>
      <c r="AM10" s="11">
        <v>16.11596794887469</v>
      </c>
      <c r="AN10" s="11">
        <v>9.4793959270415513</v>
      </c>
      <c r="AO10" s="11">
        <v>2.4290175105665157</v>
      </c>
      <c r="AP10" s="11">
        <f t="shared" si="7"/>
        <v>28.024381386482759</v>
      </c>
      <c r="AQ10" s="11"/>
      <c r="AR10" s="11">
        <v>19.114238555886644</v>
      </c>
      <c r="AS10" s="11">
        <v>10.842903668349605</v>
      </c>
      <c r="AT10" s="11">
        <v>2.4721301645702054</v>
      </c>
      <c r="AU10" s="11">
        <f t="shared" si="8"/>
        <v>32.429272388806453</v>
      </c>
    </row>
    <row r="11" spans="1:47" x14ac:dyDescent="0.25">
      <c r="A11" t="str">
        <f>name!E7</f>
        <v>Administrative and secretarial occupations</v>
      </c>
      <c r="B11" s="11">
        <v>33.384017282519288</v>
      </c>
      <c r="C11" s="11">
        <v>24.630183111958118</v>
      </c>
      <c r="D11" s="11">
        <v>2.1237523413864938</v>
      </c>
      <c r="E11" s="11">
        <f t="shared" si="0"/>
        <v>60.137952735863898</v>
      </c>
      <c r="F11" s="11"/>
      <c r="G11" s="11">
        <v>31.585339221411893</v>
      </c>
      <c r="H11" s="11">
        <v>23.403296083230256</v>
      </c>
      <c r="I11" s="11">
        <v>1.6172936598735224</v>
      </c>
      <c r="J11" s="11">
        <f t="shared" si="1"/>
        <v>56.60592896451567</v>
      </c>
      <c r="K11" s="11"/>
      <c r="L11" s="11">
        <v>27.251385925714001</v>
      </c>
      <c r="M11" s="11">
        <v>19.423984379184311</v>
      </c>
      <c r="N11" s="11">
        <v>1.4734734497107329</v>
      </c>
      <c r="O11" s="11">
        <f t="shared" si="2"/>
        <v>48.14884375460904</v>
      </c>
      <c r="Q11" s="10" t="str">
        <f>name!E7</f>
        <v>Administrative and secretarial occupations</v>
      </c>
      <c r="R11" s="11">
        <v>11.999504979802939</v>
      </c>
      <c r="S11" s="11">
        <v>3.9559878528890513</v>
      </c>
      <c r="T11" s="11">
        <v>0.64245569741450148</v>
      </c>
      <c r="U11" s="11">
        <f t="shared" si="3"/>
        <v>16.597948530106493</v>
      </c>
      <c r="V11" s="11"/>
      <c r="W11" s="11">
        <v>12.113575810769039</v>
      </c>
      <c r="X11" s="11">
        <v>4.3626311048102835</v>
      </c>
      <c r="Y11" s="11">
        <v>0.52334391670809921</v>
      </c>
      <c r="Z11" s="11">
        <f t="shared" si="4"/>
        <v>16.999550832287422</v>
      </c>
      <c r="AA11" s="11"/>
      <c r="AB11" s="11">
        <v>12.98424171866184</v>
      </c>
      <c r="AC11" s="11">
        <v>4.6763664511530232</v>
      </c>
      <c r="AD11" s="11">
        <v>0.73385489938107773</v>
      </c>
      <c r="AE11" s="11">
        <f t="shared" si="5"/>
        <v>18.394463069195943</v>
      </c>
      <c r="AG11" s="10" t="str">
        <f>name!E7</f>
        <v>Administrative and secretarial occupations</v>
      </c>
      <c r="AH11" s="11">
        <v>21.384512302716338</v>
      </c>
      <c r="AI11" s="11">
        <v>20.674195259069069</v>
      </c>
      <c r="AJ11" s="11">
        <v>1.4812966439719921</v>
      </c>
      <c r="AK11" s="11">
        <f t="shared" si="6"/>
        <v>43.540004205757405</v>
      </c>
      <c r="AL11" s="11"/>
      <c r="AM11" s="11">
        <v>19.471763410642858</v>
      </c>
      <c r="AN11" s="11">
        <v>19.040664978419976</v>
      </c>
      <c r="AO11" s="11">
        <v>1.0939497431654228</v>
      </c>
      <c r="AP11" s="11">
        <f t="shared" si="7"/>
        <v>39.606378132228258</v>
      </c>
      <c r="AQ11" s="11"/>
      <c r="AR11" s="11">
        <v>14.267144207052148</v>
      </c>
      <c r="AS11" s="11">
        <v>14.747617928031284</v>
      </c>
      <c r="AT11" s="11">
        <v>0.73961855032965529</v>
      </c>
      <c r="AU11" s="11">
        <f t="shared" si="8"/>
        <v>29.754380685413086</v>
      </c>
    </row>
    <row r="12" spans="1:47" x14ac:dyDescent="0.25">
      <c r="A12" t="str">
        <f>name!E8</f>
        <v>Skilled trades occupations</v>
      </c>
      <c r="B12" s="11">
        <v>41.123298791113136</v>
      </c>
      <c r="C12" s="11">
        <v>5.0380135682616238</v>
      </c>
      <c r="D12" s="11">
        <v>15.137415435555569</v>
      </c>
      <c r="E12" s="11">
        <f t="shared" si="0"/>
        <v>61.298727794930329</v>
      </c>
      <c r="F12" s="11"/>
      <c r="G12" s="11">
        <v>31.626260223142253</v>
      </c>
      <c r="H12" s="11">
        <v>4.1693829173634711</v>
      </c>
      <c r="I12" s="11">
        <v>16.510987530045096</v>
      </c>
      <c r="J12" s="11">
        <f t="shared" si="1"/>
        <v>52.306630670550817</v>
      </c>
      <c r="K12" s="11"/>
      <c r="L12" s="11">
        <v>26.027770343099711</v>
      </c>
      <c r="M12" s="11">
        <v>4.5990917571376997</v>
      </c>
      <c r="N12" s="11">
        <v>16.774872616479904</v>
      </c>
      <c r="O12" s="11">
        <f t="shared" si="2"/>
        <v>47.401734716717314</v>
      </c>
      <c r="Q12" s="10" t="str">
        <f>name!E8</f>
        <v>Skilled trades occupations</v>
      </c>
      <c r="R12" s="11">
        <v>39.231435721801816</v>
      </c>
      <c r="S12" s="11">
        <v>3.5398536462086629</v>
      </c>
      <c r="T12" s="11">
        <v>13.983219856196914</v>
      </c>
      <c r="U12" s="11">
        <f t="shared" si="3"/>
        <v>56.754509224207396</v>
      </c>
      <c r="V12" s="11"/>
      <c r="W12" s="11">
        <v>29.650792165880052</v>
      </c>
      <c r="X12" s="11">
        <v>2.7794550906526361</v>
      </c>
      <c r="Y12" s="11">
        <v>15.181642602078268</v>
      </c>
      <c r="Z12" s="11">
        <f t="shared" si="4"/>
        <v>47.611889858610958</v>
      </c>
      <c r="AA12" s="11"/>
      <c r="AB12" s="11">
        <v>23.676050898093713</v>
      </c>
      <c r="AC12" s="11">
        <v>3.1705532206392091</v>
      </c>
      <c r="AD12" s="11">
        <v>15.059932356984964</v>
      </c>
      <c r="AE12" s="11">
        <f t="shared" si="5"/>
        <v>41.906536475717886</v>
      </c>
      <c r="AG12" s="10" t="str">
        <f>name!E8</f>
        <v>Skilled trades occupations</v>
      </c>
      <c r="AH12" s="11">
        <v>1.8918630693113123</v>
      </c>
      <c r="AI12" s="11">
        <v>1.4981599220529604</v>
      </c>
      <c r="AJ12" s="11">
        <v>1.1541955793586596</v>
      </c>
      <c r="AK12" s="11">
        <f t="shared" si="6"/>
        <v>4.5442185707229319</v>
      </c>
      <c r="AL12" s="11"/>
      <c r="AM12" s="11">
        <v>1.975468057262219</v>
      </c>
      <c r="AN12" s="11">
        <v>1.3899278267108379</v>
      </c>
      <c r="AO12" s="11">
        <v>1.329344927966827</v>
      </c>
      <c r="AP12" s="11">
        <f t="shared" si="7"/>
        <v>4.6947408119398837</v>
      </c>
      <c r="AQ12" s="11"/>
      <c r="AR12" s="11">
        <v>2.351719445006005</v>
      </c>
      <c r="AS12" s="11">
        <v>1.4285385364984884</v>
      </c>
      <c r="AT12" s="11">
        <v>1.7149402594949454</v>
      </c>
      <c r="AU12" s="11">
        <f t="shared" si="8"/>
        <v>5.4951982409994393</v>
      </c>
    </row>
    <row r="13" spans="1:47" x14ac:dyDescent="0.25">
      <c r="A13" t="str">
        <f>name!E9</f>
        <v>Caring, leisure and other service occupations</v>
      </c>
      <c r="B13" s="11">
        <v>23.908597302848044</v>
      </c>
      <c r="C13" s="11">
        <v>22.382209060913784</v>
      </c>
      <c r="D13" s="11">
        <v>4.1873862649246902</v>
      </c>
      <c r="E13" s="11">
        <f t="shared" si="0"/>
        <v>50.478192628686521</v>
      </c>
      <c r="F13" s="11"/>
      <c r="G13" s="11">
        <v>23.737197376405476</v>
      </c>
      <c r="H13" s="11">
        <v>22.17259047502418</v>
      </c>
      <c r="I13" s="11">
        <v>3.5008555947799977</v>
      </c>
      <c r="J13" s="11">
        <f t="shared" si="1"/>
        <v>49.410643446209654</v>
      </c>
      <c r="K13" s="11"/>
      <c r="L13" s="11">
        <v>28.821790635985383</v>
      </c>
      <c r="M13" s="11">
        <v>24.346296058082832</v>
      </c>
      <c r="N13" s="11">
        <v>4.4950434138625797</v>
      </c>
      <c r="O13" s="11">
        <f t="shared" si="2"/>
        <v>57.663130107930797</v>
      </c>
      <c r="Q13" s="10" t="str">
        <f>name!E9</f>
        <v>Caring, leisure and other service occupations</v>
      </c>
      <c r="R13" s="11">
        <v>4.7136862455230277</v>
      </c>
      <c r="S13" s="11">
        <v>2.2799655854359955</v>
      </c>
      <c r="T13" s="11">
        <v>0.65534103667151</v>
      </c>
      <c r="U13" s="11">
        <f t="shared" si="3"/>
        <v>7.6489928676305334</v>
      </c>
      <c r="V13" s="11"/>
      <c r="W13" s="11">
        <v>4.2314772623595305</v>
      </c>
      <c r="X13" s="11">
        <v>2.472954168880066</v>
      </c>
      <c r="Y13" s="11">
        <v>0.65929675875424554</v>
      </c>
      <c r="Z13" s="11">
        <f t="shared" si="4"/>
        <v>7.363728189993842</v>
      </c>
      <c r="AA13" s="11"/>
      <c r="AB13" s="11">
        <v>5.2421683455214971</v>
      </c>
      <c r="AC13" s="11">
        <v>2.9562871468443226</v>
      </c>
      <c r="AD13" s="11">
        <v>1.0294378649962459</v>
      </c>
      <c r="AE13" s="11">
        <f t="shared" si="5"/>
        <v>9.227893357362067</v>
      </c>
      <c r="AG13" s="10" t="str">
        <f>name!E9</f>
        <v>Caring, leisure and other service occupations</v>
      </c>
      <c r="AH13" s="11">
        <v>19.194911057325015</v>
      </c>
      <c r="AI13" s="11">
        <v>20.102243475477792</v>
      </c>
      <c r="AJ13" s="11">
        <v>3.5320452282531805</v>
      </c>
      <c r="AK13" s="11">
        <f t="shared" si="6"/>
        <v>42.829199761055989</v>
      </c>
      <c r="AL13" s="11"/>
      <c r="AM13" s="11">
        <v>19.505720114045943</v>
      </c>
      <c r="AN13" s="11">
        <v>19.699636306144111</v>
      </c>
      <c r="AO13" s="11">
        <v>2.8415588360257527</v>
      </c>
      <c r="AP13" s="11">
        <f t="shared" si="7"/>
        <v>42.046915256215811</v>
      </c>
      <c r="AQ13" s="11"/>
      <c r="AR13" s="11">
        <v>23.579622290463885</v>
      </c>
      <c r="AS13" s="11">
        <v>21.390008911238503</v>
      </c>
      <c r="AT13" s="11">
        <v>3.4656055488663333</v>
      </c>
      <c r="AU13" s="11">
        <f t="shared" si="8"/>
        <v>48.43523675056872</v>
      </c>
    </row>
    <row r="14" spans="1:47" x14ac:dyDescent="0.25">
      <c r="A14" t="str">
        <f>name!E10</f>
        <v>Sales and customer service occupations</v>
      </c>
      <c r="B14" s="11">
        <v>15.417470265024589</v>
      </c>
      <c r="C14" s="11">
        <v>25.392019047392637</v>
      </c>
      <c r="D14" s="11">
        <v>2.5030015296730284</v>
      </c>
      <c r="E14" s="11">
        <f t="shared" si="0"/>
        <v>43.312490842090256</v>
      </c>
      <c r="F14" s="11"/>
      <c r="G14" s="11">
        <v>13.730573542011873</v>
      </c>
      <c r="H14" s="11">
        <v>24.015184222300746</v>
      </c>
      <c r="I14" s="11">
        <v>1.5638808229168133</v>
      </c>
      <c r="J14" s="11">
        <f t="shared" si="1"/>
        <v>39.309638587229436</v>
      </c>
      <c r="K14" s="11"/>
      <c r="L14" s="11">
        <v>14.219661830261815</v>
      </c>
      <c r="M14" s="11">
        <v>23.866898926090233</v>
      </c>
      <c r="N14" s="11">
        <v>1.3243220020162312</v>
      </c>
      <c r="O14" s="11">
        <f t="shared" si="2"/>
        <v>39.410882758368281</v>
      </c>
      <c r="Q14" s="10" t="str">
        <f>name!E10</f>
        <v>Sales and customer service occupations</v>
      </c>
      <c r="R14" s="11">
        <v>8.6468170645927493</v>
      </c>
      <c r="S14" s="11">
        <v>7.4367926026275981</v>
      </c>
      <c r="T14" s="11">
        <v>1.6155244061194316</v>
      </c>
      <c r="U14" s="11">
        <f t="shared" si="3"/>
        <v>17.699134073339778</v>
      </c>
      <c r="V14" s="11"/>
      <c r="W14" s="11">
        <v>7.7441366012260024</v>
      </c>
      <c r="X14" s="11">
        <v>7.9826381451582691</v>
      </c>
      <c r="Y14" s="11">
        <v>0.94447612323695451</v>
      </c>
      <c r="Z14" s="11">
        <f t="shared" si="4"/>
        <v>16.671250869621225</v>
      </c>
      <c r="AA14" s="11"/>
      <c r="AB14" s="11">
        <v>8.4221854335307569</v>
      </c>
      <c r="AC14" s="11">
        <v>8.3530067727044788</v>
      </c>
      <c r="AD14" s="11">
        <v>0.8148551102469378</v>
      </c>
      <c r="AE14" s="11">
        <f t="shared" si="5"/>
        <v>17.590047316482174</v>
      </c>
      <c r="AG14" s="10" t="str">
        <f>name!E10</f>
        <v>Sales and customer service occupations</v>
      </c>
      <c r="AH14" s="11">
        <v>6.7706532004318465</v>
      </c>
      <c r="AI14" s="11">
        <v>17.955226444765032</v>
      </c>
      <c r="AJ14" s="11">
        <v>0.88747712355359576</v>
      </c>
      <c r="AK14" s="11">
        <f t="shared" si="6"/>
        <v>25.613356768750471</v>
      </c>
      <c r="AL14" s="11"/>
      <c r="AM14" s="11">
        <v>5.9864369407858762</v>
      </c>
      <c r="AN14" s="11">
        <v>16.032546077142445</v>
      </c>
      <c r="AO14" s="11">
        <v>0.61940469967985967</v>
      </c>
      <c r="AP14" s="11">
        <f t="shared" si="7"/>
        <v>22.638387717608179</v>
      </c>
      <c r="AQ14" s="11"/>
      <c r="AR14" s="11">
        <v>5.7974763967310654</v>
      </c>
      <c r="AS14" s="11">
        <v>15.513892153385759</v>
      </c>
      <c r="AT14" s="11">
        <v>0.50946689176929216</v>
      </c>
      <c r="AU14" s="11">
        <f t="shared" si="8"/>
        <v>21.820835441886118</v>
      </c>
    </row>
    <row r="15" spans="1:47" x14ac:dyDescent="0.25">
      <c r="A15" t="str">
        <f>name!E11</f>
        <v>Process, plant and machine operatives</v>
      </c>
      <c r="B15" s="11">
        <v>36.78548074129727</v>
      </c>
      <c r="C15" s="11">
        <v>4.8615916492614257</v>
      </c>
      <c r="D15" s="11">
        <v>5.4936116692184118</v>
      </c>
      <c r="E15" s="11">
        <f t="shared" si="0"/>
        <v>47.140684059777108</v>
      </c>
      <c r="F15" s="11"/>
      <c r="G15" s="11">
        <v>27.927779207971529</v>
      </c>
      <c r="H15" s="11">
        <v>6.2420199327811057</v>
      </c>
      <c r="I15" s="11">
        <v>6.0979561585288904</v>
      </c>
      <c r="J15" s="11">
        <f t="shared" si="1"/>
        <v>40.267755299281525</v>
      </c>
      <c r="K15" s="11"/>
      <c r="L15" s="11">
        <v>29.873337770283623</v>
      </c>
      <c r="M15" s="11">
        <v>8.0600631491218664</v>
      </c>
      <c r="N15" s="11">
        <v>7.5335199560328183</v>
      </c>
      <c r="O15" s="11">
        <f t="shared" si="2"/>
        <v>45.466920875438305</v>
      </c>
      <c r="Q15" s="10" t="str">
        <f>name!E11</f>
        <v>Process, plant and machine operatives</v>
      </c>
      <c r="R15" s="11">
        <v>32.878118713582985</v>
      </c>
      <c r="S15" s="11">
        <v>3.5206065319646913</v>
      </c>
      <c r="T15" s="11">
        <v>5.1423459113900147</v>
      </c>
      <c r="U15" s="11">
        <f t="shared" si="3"/>
        <v>41.54107115693769</v>
      </c>
      <c r="V15" s="11"/>
      <c r="W15" s="11">
        <v>24.773273908250864</v>
      </c>
      <c r="X15" s="11">
        <v>4.820395376616478</v>
      </c>
      <c r="Y15" s="11">
        <v>5.6175074388936999</v>
      </c>
      <c r="Z15" s="11">
        <f t="shared" si="4"/>
        <v>35.211176723761042</v>
      </c>
      <c r="AA15" s="11"/>
      <c r="AB15" s="11">
        <v>25.906116066235846</v>
      </c>
      <c r="AC15" s="11">
        <v>5.5548203748311842</v>
      </c>
      <c r="AD15" s="11">
        <v>6.9794400005474184</v>
      </c>
      <c r="AE15" s="11">
        <f t="shared" si="5"/>
        <v>38.440376441614447</v>
      </c>
      <c r="AG15" s="10" t="str">
        <f>name!E11</f>
        <v>Process, plant and machine operatives</v>
      </c>
      <c r="AH15" s="11">
        <v>3.90736202771429</v>
      </c>
      <c r="AI15" s="11">
        <v>1.3409851172967286</v>
      </c>
      <c r="AJ15" s="11">
        <v>0.35126575782839881</v>
      </c>
      <c r="AK15" s="11">
        <f t="shared" si="6"/>
        <v>5.5996129028394179</v>
      </c>
      <c r="AL15" s="11"/>
      <c r="AM15" s="11">
        <v>3.1545052997206677</v>
      </c>
      <c r="AN15" s="11">
        <v>1.4216245561646272</v>
      </c>
      <c r="AO15" s="11">
        <v>0.48044871963519187</v>
      </c>
      <c r="AP15" s="11">
        <f t="shared" si="7"/>
        <v>5.0565785755204864</v>
      </c>
      <c r="AQ15" s="11"/>
      <c r="AR15" s="11">
        <v>3.9672217040477706</v>
      </c>
      <c r="AS15" s="11">
        <v>2.5052427742906791</v>
      </c>
      <c r="AT15" s="11">
        <v>0.55407995548540023</v>
      </c>
      <c r="AU15" s="11">
        <f t="shared" si="8"/>
        <v>7.0265444338238501</v>
      </c>
    </row>
    <row r="16" spans="1:47" x14ac:dyDescent="0.25">
      <c r="A16" t="str">
        <f>name!E12</f>
        <v>Elementary occupations</v>
      </c>
      <c r="B16" s="11">
        <v>25.568732646467666</v>
      </c>
      <c r="C16" s="11">
        <v>25.826809890534872</v>
      </c>
      <c r="D16" s="11">
        <v>5.5643957770523151</v>
      </c>
      <c r="E16" s="11">
        <f t="shared" si="0"/>
        <v>56.959938314054853</v>
      </c>
      <c r="F16" s="11"/>
      <c r="G16" s="11">
        <v>19.574078507895297</v>
      </c>
      <c r="H16" s="11">
        <v>22.090128508656534</v>
      </c>
      <c r="I16" s="11">
        <v>4.7125468896650746</v>
      </c>
      <c r="J16" s="11">
        <f t="shared" si="1"/>
        <v>46.376753906216905</v>
      </c>
      <c r="K16" s="11"/>
      <c r="L16" s="11">
        <v>17.784653980638847</v>
      </c>
      <c r="M16" s="11">
        <v>18.34046584313672</v>
      </c>
      <c r="N16" s="11">
        <v>5.9896014468766516</v>
      </c>
      <c r="O16" s="11">
        <f t="shared" si="2"/>
        <v>42.114721270652211</v>
      </c>
      <c r="Q16" s="10" t="str">
        <f>name!E12</f>
        <v>Elementary occupations</v>
      </c>
      <c r="R16" s="11">
        <v>20.431684589112116</v>
      </c>
      <c r="S16" s="11">
        <v>9.0141803229864372</v>
      </c>
      <c r="T16" s="11">
        <v>2.771588357635387</v>
      </c>
      <c r="U16" s="11">
        <f t="shared" si="3"/>
        <v>32.217453269733937</v>
      </c>
      <c r="V16" s="11"/>
      <c r="W16" s="11">
        <v>15.399978670669844</v>
      </c>
      <c r="X16" s="11">
        <v>7.7859818829058831</v>
      </c>
      <c r="Y16" s="11">
        <v>2.347287104748673</v>
      </c>
      <c r="Z16" s="11">
        <f t="shared" si="4"/>
        <v>25.533247658324399</v>
      </c>
      <c r="AA16" s="11"/>
      <c r="AB16" s="11">
        <v>13.864021114613088</v>
      </c>
      <c r="AC16" s="11">
        <v>6.9464281208482124</v>
      </c>
      <c r="AD16" s="11">
        <v>3.2691448373469405</v>
      </c>
      <c r="AE16" s="11">
        <f t="shared" si="5"/>
        <v>24.079594072808238</v>
      </c>
      <c r="AG16" s="10" t="str">
        <f>name!E12</f>
        <v>Elementary occupations</v>
      </c>
      <c r="AH16" s="11">
        <v>5.1370480573555577</v>
      </c>
      <c r="AI16" s="11">
        <v>16.81262956754842</v>
      </c>
      <c r="AJ16" s="11">
        <v>2.7928074194169294</v>
      </c>
      <c r="AK16" s="11">
        <f t="shared" si="6"/>
        <v>24.742485044320908</v>
      </c>
      <c r="AL16" s="11"/>
      <c r="AM16" s="11">
        <v>4.1740998372254499</v>
      </c>
      <c r="AN16" s="11">
        <v>14.304146625750645</v>
      </c>
      <c r="AO16" s="11">
        <v>2.3652597849164003</v>
      </c>
      <c r="AP16" s="11">
        <f t="shared" si="7"/>
        <v>20.843506247892496</v>
      </c>
      <c r="AQ16" s="11"/>
      <c r="AR16" s="11">
        <v>3.9206328660257608</v>
      </c>
      <c r="AS16" s="11">
        <v>11.394037722288497</v>
      </c>
      <c r="AT16" s="11">
        <v>2.7204566095297125</v>
      </c>
      <c r="AU16" s="11">
        <f t="shared" si="8"/>
        <v>18.03512719784397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4" t="str">
        <f>name!E3</f>
        <v>All occupations</v>
      </c>
      <c r="B18" s="34">
        <f>SUM(B8:B16)</f>
        <v>305.51550597634088</v>
      </c>
      <c r="C18" s="34">
        <f t="shared" ref="C18:D18" si="9">SUM(C8:C16)</f>
        <v>141.35880939661902</v>
      </c>
      <c r="D18" s="34">
        <f t="shared" si="9"/>
        <v>58.687684627040156</v>
      </c>
      <c r="E18" s="34">
        <f t="shared" si="0"/>
        <v>505.56200000000007</v>
      </c>
      <c r="F18" s="34"/>
      <c r="G18" s="34">
        <f>SUM(G8:G16)</f>
        <v>292.92291710684526</v>
      </c>
      <c r="H18" s="34">
        <f t="shared" ref="H18:I18" si="10">SUM(H8:H16)</f>
        <v>144.10269794992195</v>
      </c>
      <c r="I18" s="34">
        <f t="shared" si="10"/>
        <v>59.168384943232972</v>
      </c>
      <c r="J18" s="34">
        <f t="shared" ref="J18" si="11">SUM(G18:I18)</f>
        <v>496.19400000000019</v>
      </c>
      <c r="K18" s="34"/>
      <c r="L18" s="34">
        <f>SUM(L8:L16)</f>
        <v>309.62865466815327</v>
      </c>
      <c r="M18" s="34">
        <f t="shared" ref="M18:N18" si="12">SUM(M8:M16)</f>
        <v>149.54413523998065</v>
      </c>
      <c r="N18" s="34">
        <f t="shared" si="12"/>
        <v>62.771210091865996</v>
      </c>
      <c r="O18" s="34">
        <f>SUM(L18:N18)</f>
        <v>521.94399999999996</v>
      </c>
      <c r="Q18" s="231" t="str">
        <f>name!E3</f>
        <v>All occupations</v>
      </c>
      <c r="R18" s="34">
        <f>SUM(R8:R16)</f>
        <v>200.13247933026742</v>
      </c>
      <c r="S18" s="34">
        <f t="shared" ref="S18:T18" si="13">SUM(S8:S16)</f>
        <v>37.771241072451758</v>
      </c>
      <c r="T18" s="34">
        <f t="shared" si="13"/>
        <v>40.569282072456389</v>
      </c>
      <c r="U18" s="34">
        <f t="shared" ref="U18" si="14">SUM(R18:T18)</f>
        <v>278.47300247517558</v>
      </c>
      <c r="V18" s="34"/>
      <c r="W18" s="34">
        <f>SUM(W8:W16)</f>
        <v>181.38082677894502</v>
      </c>
      <c r="X18" s="34">
        <f t="shared" ref="X18:Y18" si="15">SUM(X8:X16)</f>
        <v>41.657454411784698</v>
      </c>
      <c r="Y18" s="34">
        <f t="shared" si="15"/>
        <v>42.061123213381137</v>
      </c>
      <c r="Z18" s="34">
        <f t="shared" ref="Z18" si="16">SUM(W18:Y18)</f>
        <v>265.09940440411083</v>
      </c>
      <c r="AA18" s="34"/>
      <c r="AB18" s="34">
        <f>SUM(AB8:AB16)</f>
        <v>183.74666994450899</v>
      </c>
      <c r="AC18" s="34">
        <f t="shared" ref="AC18:AD18" si="17">SUM(AC8:AC16)</f>
        <v>45.420057285149227</v>
      </c>
      <c r="AD18" s="34">
        <f t="shared" si="17"/>
        <v>44.277740777540949</v>
      </c>
      <c r="AE18" s="34">
        <f t="shared" ref="AE18" si="18">SUM(AB18:AD18)</f>
        <v>273.44446800719919</v>
      </c>
      <c r="AG18" s="231" t="str">
        <f>name!E3</f>
        <v>All occupations</v>
      </c>
      <c r="AH18" s="34">
        <f>SUM(AH8:AH16)</f>
        <v>105.38302664607346</v>
      </c>
      <c r="AI18" s="34">
        <f t="shared" ref="AI18:AJ18" si="19">SUM(AI8:AI16)</f>
        <v>103.58756832416725</v>
      </c>
      <c r="AJ18" s="34">
        <f t="shared" si="19"/>
        <v>18.118402554583785</v>
      </c>
      <c r="AK18" s="34">
        <f t="shared" si="6"/>
        <v>227.08899752482449</v>
      </c>
      <c r="AL18" s="34"/>
      <c r="AM18" s="34">
        <f>SUM(AM8:AM16)</f>
        <v>111.54209032790023</v>
      </c>
      <c r="AN18" s="34">
        <f t="shared" ref="AN18:AO18" si="20">SUM(AN8:AN16)</f>
        <v>102.44524353813722</v>
      </c>
      <c r="AO18" s="34">
        <f t="shared" si="20"/>
        <v>17.107261729851832</v>
      </c>
      <c r="AP18" s="34">
        <f t="shared" si="7"/>
        <v>231.09459559588927</v>
      </c>
      <c r="AQ18" s="34"/>
      <c r="AR18" s="34">
        <f>SUM(AR8:AR16)</f>
        <v>125.88198472364424</v>
      </c>
      <c r="AS18" s="34">
        <f t="shared" ref="AS18:AT18" si="21">SUM(AS8:AS16)</f>
        <v>104.12407795483139</v>
      </c>
      <c r="AT18" s="34">
        <f t="shared" si="21"/>
        <v>18.493469314325054</v>
      </c>
      <c r="AU18" s="34">
        <f t="shared" si="8"/>
        <v>248.49953199280071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5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ht="13" x14ac:dyDescent="0.3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ht="13" x14ac:dyDescent="0.3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18">
        <f>B8/B$18*100</f>
        <v>10.190470571089183</v>
      </c>
      <c r="C26" s="18">
        <f t="shared" ref="C26:O26" si="22">C8/C$18*100</f>
        <v>3.0349351072263406</v>
      </c>
      <c r="D26" s="18">
        <f t="shared" si="22"/>
        <v>11.874901523412573</v>
      </c>
      <c r="E26" s="18">
        <f t="shared" si="22"/>
        <v>8.385266419549005</v>
      </c>
      <c r="F26" s="18"/>
      <c r="G26" s="18">
        <f t="shared" si="22"/>
        <v>11.327550885301207</v>
      </c>
      <c r="H26" s="18">
        <f t="shared" si="22"/>
        <v>4.614570864871494</v>
      </c>
      <c r="I26" s="18">
        <f t="shared" si="22"/>
        <v>13.235986877317341</v>
      </c>
      <c r="J26" s="18">
        <f t="shared" si="22"/>
        <v>9.6055642090965137</v>
      </c>
      <c r="K26" s="18"/>
      <c r="L26" s="18">
        <f t="shared" si="22"/>
        <v>12.067765454051862</v>
      </c>
      <c r="M26" s="18">
        <f t="shared" si="22"/>
        <v>5.6526668232178361</v>
      </c>
      <c r="N26" s="18">
        <f t="shared" si="22"/>
        <v>13.575329747932738</v>
      </c>
      <c r="O26" s="18">
        <f t="shared" si="22"/>
        <v>10.411057565448742</v>
      </c>
      <c r="Q26" t="str">
        <f>$A$8</f>
        <v>Managers, directors and senior officials</v>
      </c>
      <c r="R26" s="18">
        <f>R8/R$18*100</f>
        <v>11.102419695909042</v>
      </c>
      <c r="S26" s="18">
        <f t="shared" ref="S26:U26" si="23">S8/S$18*100</f>
        <v>4.9791686105726303</v>
      </c>
      <c r="T26" s="18">
        <f t="shared" si="23"/>
        <v>12.161869730401403</v>
      </c>
      <c r="U26" s="18">
        <f t="shared" si="23"/>
        <v>10.426226083146938</v>
      </c>
      <c r="V26" s="18"/>
      <c r="W26" s="18">
        <f t="shared" ref="W26:Z26" si="24">W8/W$18*100</f>
        <v>12.616792375589817</v>
      </c>
      <c r="X26" s="18">
        <f t="shared" si="24"/>
        <v>7.2842543788313137</v>
      </c>
      <c r="Y26" s="18">
        <f t="shared" si="24"/>
        <v>11.941917240849596</v>
      </c>
      <c r="Z26" s="18">
        <f t="shared" si="24"/>
        <v>11.671765866540641</v>
      </c>
      <c r="AA26" s="18"/>
      <c r="AB26" s="18">
        <f t="shared" ref="AB26:AE26" si="25">AB8/AB$18*100</f>
        <v>12.928287646602604</v>
      </c>
      <c r="AC26" s="18">
        <f t="shared" si="25"/>
        <v>9.0589039247022516</v>
      </c>
      <c r="AD26" s="18">
        <f t="shared" si="25"/>
        <v>12.17929934489541</v>
      </c>
      <c r="AE26" s="18">
        <f t="shared" si="25"/>
        <v>12.164289231502689</v>
      </c>
      <c r="AG26" t="str">
        <f>$A$8</f>
        <v>Managers, directors and senior officials</v>
      </c>
      <c r="AH26" s="18">
        <f>AH8/AH$18*100</f>
        <v>8.4585916795650036</v>
      </c>
      <c r="AI26" s="18">
        <f t="shared" ref="AI26:AK26" si="26">AI8/AI$18*100</f>
        <v>2.3260072547429349</v>
      </c>
      <c r="AJ26" s="18">
        <f t="shared" si="26"/>
        <v>11.232345199802682</v>
      </c>
      <c r="AK26" s="18">
        <f t="shared" si="26"/>
        <v>5.8824936227704665</v>
      </c>
      <c r="AL26" s="18"/>
      <c r="AM26" s="18">
        <f t="shared" ref="AM26:AP26" si="27">AM8/AM$18*100</f>
        <v>9.2310894801147239</v>
      </c>
      <c r="AN26" s="18">
        <f t="shared" si="27"/>
        <v>3.528993678115397</v>
      </c>
      <c r="AO26" s="18">
        <f t="shared" si="27"/>
        <v>16.417677979358842</v>
      </c>
      <c r="AP26" s="18">
        <f t="shared" si="27"/>
        <v>7.235327781218019</v>
      </c>
      <c r="AQ26" s="18"/>
      <c r="AR26" s="18">
        <f t="shared" ref="AR26:AU26" si="28">AR8/AR$18*100</f>
        <v>10.811683516341143</v>
      </c>
      <c r="AS26" s="18">
        <f t="shared" si="28"/>
        <v>4.1668290869803517</v>
      </c>
      <c r="AT26" s="18">
        <f t="shared" si="28"/>
        <v>16.917756809758973</v>
      </c>
      <c r="AU26" s="18">
        <f t="shared" si="28"/>
        <v>8.4818326032408287</v>
      </c>
    </row>
    <row r="27" spans="1:47" x14ac:dyDescent="0.25">
      <c r="A27" t="str">
        <f>$A$9</f>
        <v>Professional occupations</v>
      </c>
      <c r="B27" s="18">
        <f t="shared" ref="B27:B34" si="29">B9/B$18*100</f>
        <v>19.89691996970485</v>
      </c>
      <c r="C27" s="18">
        <f t="shared" ref="C27:O27" si="30">C9/C$18*100</f>
        <v>12.466434727197512</v>
      </c>
      <c r="D27" s="18">
        <f t="shared" si="30"/>
        <v>15.852266587374359</v>
      </c>
      <c r="E27" s="18">
        <f t="shared" si="30"/>
        <v>17.349782547889351</v>
      </c>
      <c r="F27" s="18"/>
      <c r="G27" s="18">
        <f t="shared" si="30"/>
        <v>24.201392261888024</v>
      </c>
      <c r="H27" s="18">
        <f t="shared" si="30"/>
        <v>15.220510376076499</v>
      </c>
      <c r="I27" s="18">
        <f t="shared" si="30"/>
        <v>17.846122463344599</v>
      </c>
      <c r="J27" s="18">
        <f t="shared" si="30"/>
        <v>20.835369376538054</v>
      </c>
      <c r="K27" s="18"/>
      <c r="L27" s="18">
        <f t="shared" si="30"/>
        <v>27.723328687728451</v>
      </c>
      <c r="M27" s="18">
        <f t="shared" si="30"/>
        <v>18.688705926672856</v>
      </c>
      <c r="N27" s="18">
        <f t="shared" si="30"/>
        <v>15.766415598535932</v>
      </c>
      <c r="O27" s="18">
        <f t="shared" si="30"/>
        <v>23.69679566580772</v>
      </c>
      <c r="Q27" t="str">
        <f>$A$9</f>
        <v>Professional occupations</v>
      </c>
      <c r="R27" s="18">
        <f t="shared" ref="R27:U27" si="31">R9/R$18*100</f>
        <v>18.019381739521375</v>
      </c>
      <c r="S27" s="18">
        <f t="shared" si="31"/>
        <v>8.3397782773894029</v>
      </c>
      <c r="T27" s="18">
        <f t="shared" si="31"/>
        <v>15.582696195500786</v>
      </c>
      <c r="U27" s="18">
        <f t="shared" si="31"/>
        <v>16.351481386945622</v>
      </c>
      <c r="V27" s="18"/>
      <c r="W27" s="18">
        <f t="shared" ref="W27:Z27" si="32">W9/W$18*100</f>
        <v>22.069502246560376</v>
      </c>
      <c r="X27" s="18">
        <f t="shared" si="32"/>
        <v>10.733135483278451</v>
      </c>
      <c r="Y27" s="18">
        <f t="shared" si="32"/>
        <v>17.640042642012396</v>
      </c>
      <c r="Z27" s="18">
        <f t="shared" si="32"/>
        <v>19.585331339754433</v>
      </c>
      <c r="AA27" s="18"/>
      <c r="AB27" s="18">
        <f t="shared" ref="AB27:AE27" si="33">AB9/AB$18*100</f>
        <v>25.342174741498592</v>
      </c>
      <c r="AC27" s="18">
        <f t="shared" si="33"/>
        <v>13.176336907805142</v>
      </c>
      <c r="AD27" s="18">
        <f t="shared" si="33"/>
        <v>15.150453865798349</v>
      </c>
      <c r="AE27" s="18">
        <f t="shared" si="33"/>
        <v>21.671084104137179</v>
      </c>
      <c r="AG27" t="str">
        <f>$A$9</f>
        <v>Professional occupations</v>
      </c>
      <c r="AH27" s="18">
        <f t="shared" ref="AH27:AK27" si="34">AH9/AH$18*100</f>
        <v>23.462545222677974</v>
      </c>
      <c r="AI27" s="18">
        <f>AI9/AI$18*100</f>
        <v>13.971141692623259</v>
      </c>
      <c r="AJ27" s="18">
        <f t="shared" si="34"/>
        <v>16.455867110839641</v>
      </c>
      <c r="AK27" s="18">
        <f t="shared" si="34"/>
        <v>18.573971851169272</v>
      </c>
      <c r="AL27" s="18"/>
      <c r="AM27" s="18">
        <f t="shared" ref="AM27:AP27" si="35">AM9/AM$18*100</f>
        <v>27.668101308178727</v>
      </c>
      <c r="AN27" s="18">
        <f t="shared" si="35"/>
        <v>17.045217981517773</v>
      </c>
      <c r="AO27" s="18">
        <f t="shared" si="35"/>
        <v>18.352804882408776</v>
      </c>
      <c r="AP27" s="18">
        <f t="shared" si="35"/>
        <v>22.269346394387952</v>
      </c>
      <c r="AQ27" s="18"/>
      <c r="AR27" s="18">
        <f t="shared" ref="AR27:AU27" si="36">AR9/AR$18*100</f>
        <v>31.199037377939316</v>
      </c>
      <c r="AS27" s="18">
        <f t="shared" si="36"/>
        <v>21.093261352579859</v>
      </c>
      <c r="AT27" s="18">
        <f t="shared" si="36"/>
        <v>17.241173712737552</v>
      </c>
      <c r="AU27" s="18">
        <f t="shared" si="36"/>
        <v>25.925852661911357</v>
      </c>
    </row>
    <row r="28" spans="1:47" x14ac:dyDescent="0.25">
      <c r="A28" t="str">
        <f>$A$10</f>
        <v>Associate professional occupations</v>
      </c>
      <c r="B28" s="18">
        <f t="shared" si="29"/>
        <v>12.24365532012737</v>
      </c>
      <c r="C28" s="18">
        <f t="shared" ref="C28:O28" si="37">C10/C$18*100</f>
        <v>8.0047584430623981</v>
      </c>
      <c r="D28" s="18">
        <f t="shared" si="37"/>
        <v>12.618812071774299</v>
      </c>
      <c r="E28" s="18">
        <f t="shared" si="37"/>
        <v>11.101978662129754</v>
      </c>
      <c r="F28" s="18"/>
      <c r="G28" s="18">
        <f t="shared" si="37"/>
        <v>13.883950339465345</v>
      </c>
      <c r="H28" s="18">
        <f t="shared" si="37"/>
        <v>9.3178051437086289</v>
      </c>
      <c r="I28" s="18">
        <f t="shared" si="37"/>
        <v>11.448820498925743</v>
      </c>
      <c r="J28" s="18">
        <f t="shared" si="37"/>
        <v>12.267492781067988</v>
      </c>
      <c r="K28" s="18"/>
      <c r="L28" s="18">
        <f t="shared" si="37"/>
        <v>13.708493730571652</v>
      </c>
      <c r="M28" s="18">
        <f t="shared" si="37"/>
        <v>9.7003066817590682</v>
      </c>
      <c r="N28" s="18">
        <f t="shared" si="37"/>
        <v>10.77278672967811</v>
      </c>
      <c r="O28" s="18">
        <f t="shared" si="37"/>
        <v>12.207032372617507</v>
      </c>
      <c r="Q28" t="str">
        <f>$A$10</f>
        <v>Associate professional occupations</v>
      </c>
      <c r="R28" s="18">
        <f t="shared" ref="R28:U28" si="38">R10/R$18*100</f>
        <v>11.966597754463304</v>
      </c>
      <c r="S28" s="18">
        <f t="shared" si="38"/>
        <v>7.9243437811165389</v>
      </c>
      <c r="T28" s="18">
        <f t="shared" si="38"/>
        <v>11.099618644294381</v>
      </c>
      <c r="U28" s="18">
        <f t="shared" si="38"/>
        <v>11.292012901694772</v>
      </c>
      <c r="V28" s="18"/>
      <c r="W28" s="18">
        <f t="shared" ref="W28:Z28" si="39">W10/W$18*100</f>
        <v>13.536879741471724</v>
      </c>
      <c r="X28" s="18">
        <f t="shared" si="39"/>
        <v>9.476845694254342</v>
      </c>
      <c r="Y28" s="18">
        <f t="shared" si="39"/>
        <v>10.330358159135695</v>
      </c>
      <c r="Z28" s="18">
        <f t="shared" si="39"/>
        <v>12.390137887122473</v>
      </c>
      <c r="AA28" s="18"/>
      <c r="AB28" s="18">
        <f t="shared" ref="AB28:AE28" si="40">AB10/AB$18*100</f>
        <v>12.697474280429926</v>
      </c>
      <c r="AC28" s="18">
        <f t="shared" si="40"/>
        <v>8.0654589480468104</v>
      </c>
      <c r="AD28" s="18">
        <f t="shared" si="40"/>
        <v>9.6890183440451541</v>
      </c>
      <c r="AE28" s="18">
        <f t="shared" si="40"/>
        <v>11.44093383425281</v>
      </c>
      <c r="AG28" t="str">
        <f>$A$10</f>
        <v>Associate professional occupations</v>
      </c>
      <c r="AH28" s="18">
        <f t="shared" ref="AH28:AK28" si="41">AH10/AH$18*100</f>
        <v>12.769814221596196</v>
      </c>
      <c r="AI28" s="18">
        <f t="shared" si="41"/>
        <v>8.0340801235618553</v>
      </c>
      <c r="AJ28" s="18">
        <f t="shared" si="41"/>
        <v>16.020468840155463</v>
      </c>
      <c r="AK28" s="18">
        <f t="shared" si="41"/>
        <v>10.86894489192707</v>
      </c>
      <c r="AL28" s="18"/>
      <c r="AM28" s="18">
        <f t="shared" ref="AM28:AP28" si="42">AM10/AM$18*100</f>
        <v>14.448328789158055</v>
      </c>
      <c r="AN28" s="18">
        <f t="shared" si="42"/>
        <v>9.2531342594863002</v>
      </c>
      <c r="AO28" s="18">
        <f t="shared" si="42"/>
        <v>14.19875108549914</v>
      </c>
      <c r="AP28" s="18">
        <f t="shared" si="42"/>
        <v>12.126800851495663</v>
      </c>
      <c r="AQ28" s="18"/>
      <c r="AR28" s="18">
        <f t="shared" ref="AR28:AU28" si="43">AR10/AR$18*100</f>
        <v>15.184252613945674</v>
      </c>
      <c r="AS28" s="18">
        <f t="shared" si="43"/>
        <v>10.413445075646397</v>
      </c>
      <c r="AT28" s="18">
        <f t="shared" si="43"/>
        <v>13.367584645977114</v>
      </c>
      <c r="AU28" s="18">
        <f t="shared" si="43"/>
        <v>13.050033587083762</v>
      </c>
    </row>
    <row r="29" spans="1:47" x14ac:dyDescent="0.25">
      <c r="A29" t="str">
        <f>$A$11</f>
        <v>Administrative and secretarial occupations</v>
      </c>
      <c r="B29" s="18">
        <f t="shared" si="29"/>
        <v>10.927110614511509</v>
      </c>
      <c r="C29" s="18">
        <f t="shared" ref="C29:O29" si="44">C11/C$18*100</f>
        <v>17.423875609231903</v>
      </c>
      <c r="D29" s="18">
        <f t="shared" si="44"/>
        <v>3.6187359492590749</v>
      </c>
      <c r="E29" s="18">
        <f t="shared" si="44"/>
        <v>11.895267590496099</v>
      </c>
      <c r="F29" s="18"/>
      <c r="G29" s="18">
        <f t="shared" si="44"/>
        <v>10.782816016368894</v>
      </c>
      <c r="H29" s="18">
        <f t="shared" si="44"/>
        <v>16.240706396325269</v>
      </c>
      <c r="I29" s="18">
        <f t="shared" si="44"/>
        <v>2.7333746922874065</v>
      </c>
      <c r="J29" s="18">
        <f t="shared" si="44"/>
        <v>11.408023669072106</v>
      </c>
      <c r="K29" s="18"/>
      <c r="L29" s="18">
        <f t="shared" si="44"/>
        <v>8.8013126417258984</v>
      </c>
      <c r="M29" s="18">
        <f t="shared" si="44"/>
        <v>12.988797152100757</v>
      </c>
      <c r="N29" s="18">
        <f t="shared" si="44"/>
        <v>2.3473714264139511</v>
      </c>
      <c r="O29" s="18">
        <f t="shared" si="44"/>
        <v>9.2249060731819981</v>
      </c>
      <c r="Q29" t="str">
        <f>$A$11</f>
        <v>Administrative and secretarial occupations</v>
      </c>
      <c r="R29" s="18">
        <f t="shared" ref="R29:U29" si="45">R11/R$18*100</f>
        <v>5.9957809047080399</v>
      </c>
      <c r="S29" s="18">
        <f t="shared" si="45"/>
        <v>10.473544793777847</v>
      </c>
      <c r="T29" s="18">
        <f t="shared" si="45"/>
        <v>1.5836013471154879</v>
      </c>
      <c r="U29" s="18">
        <f t="shared" si="45"/>
        <v>5.960343869092342</v>
      </c>
      <c r="V29" s="18"/>
      <c r="W29" s="18">
        <f t="shared" ref="W29:Z29" si="46">W11/W$18*100</f>
        <v>6.6785315878685818</v>
      </c>
      <c r="X29" s="18">
        <f t="shared" si="46"/>
        <v>10.472630088448504</v>
      </c>
      <c r="Y29" s="18">
        <f t="shared" si="46"/>
        <v>1.2442461749133815</v>
      </c>
      <c r="Z29" s="18">
        <f t="shared" si="46"/>
        <v>6.4125194360579316</v>
      </c>
      <c r="AA29" s="18"/>
      <c r="AB29" s="18">
        <f t="shared" ref="AB29:AE29" si="47">AB11/AB$18*100</f>
        <v>7.0663820588329829</v>
      </c>
      <c r="AC29" s="18">
        <f t="shared" si="47"/>
        <v>10.295818038701663</v>
      </c>
      <c r="AD29" s="18">
        <f t="shared" si="47"/>
        <v>1.6573901163297651</v>
      </c>
      <c r="AE29" s="18">
        <f t="shared" si="47"/>
        <v>6.7269464996862389</v>
      </c>
      <c r="AG29" t="str">
        <f>$A$11</f>
        <v>Administrative and secretarial occupations</v>
      </c>
      <c r="AH29" s="18">
        <f t="shared" ref="AH29:AK29" si="48">AH11/AH$18*100</f>
        <v>20.292178905181519</v>
      </c>
      <c r="AI29" s="18">
        <f t="shared" si="48"/>
        <v>19.958181848975524</v>
      </c>
      <c r="AJ29" s="18">
        <f t="shared" si="48"/>
        <v>8.175647050060924</v>
      </c>
      <c r="AK29" s="18">
        <f t="shared" si="48"/>
        <v>19.173101594672275</v>
      </c>
      <c r="AL29" s="18"/>
      <c r="AM29" s="18">
        <f t="shared" ref="AM29:AP29" si="49">AM11/AM$18*100</f>
        <v>17.45687511629173</v>
      </c>
      <c r="AN29" s="18">
        <f t="shared" si="49"/>
        <v>18.586187431270755</v>
      </c>
      <c r="AO29" s="18">
        <f t="shared" si="49"/>
        <v>6.3946513500550601</v>
      </c>
      <c r="AP29" s="18">
        <f t="shared" si="49"/>
        <v>17.138599901092959</v>
      </c>
      <c r="AQ29" s="18"/>
      <c r="AR29" s="18">
        <f t="shared" ref="AR29:AU29" si="50">AR11/AR$18*100</f>
        <v>11.333745840100637</v>
      </c>
      <c r="AS29" s="18">
        <f t="shared" si="50"/>
        <v>14.163503982651104</v>
      </c>
      <c r="AT29" s="18">
        <f t="shared" si="50"/>
        <v>3.9993499205513929</v>
      </c>
      <c r="AU29" s="18">
        <f t="shared" si="50"/>
        <v>11.973616387444586</v>
      </c>
    </row>
    <row r="30" spans="1:47" x14ac:dyDescent="0.25">
      <c r="A30" t="str">
        <f>$A$12</f>
        <v>Skilled trades occupations</v>
      </c>
      <c r="B30" s="18">
        <f t="shared" si="29"/>
        <v>13.460298409304869</v>
      </c>
      <c r="C30" s="18">
        <f t="shared" ref="C30:O30" si="51">C12/C$18*100</f>
        <v>3.5639898141234068</v>
      </c>
      <c r="D30" s="18">
        <f t="shared" si="51"/>
        <v>25.793171994693171</v>
      </c>
      <c r="E30" s="18">
        <f t="shared" si="51"/>
        <v>12.124868521552317</v>
      </c>
      <c r="F30" s="18"/>
      <c r="G30" s="18">
        <f t="shared" si="51"/>
        <v>10.796785903783144</v>
      </c>
      <c r="H30" s="18">
        <f t="shared" si="51"/>
        <v>2.8933413299537252</v>
      </c>
      <c r="I30" s="18">
        <f t="shared" si="51"/>
        <v>27.9050840172264</v>
      </c>
      <c r="J30" s="18">
        <f t="shared" si="51"/>
        <v>10.541568553942772</v>
      </c>
      <c r="K30" s="18"/>
      <c r="L30" s="18">
        <f t="shared" si="51"/>
        <v>8.4061245465136807</v>
      </c>
      <c r="M30" s="18">
        <f t="shared" si="51"/>
        <v>3.0754076378570891</v>
      </c>
      <c r="N30" s="18">
        <f t="shared" si="51"/>
        <v>26.723831820240186</v>
      </c>
      <c r="O30" s="18">
        <f t="shared" si="51"/>
        <v>9.0817663804387667</v>
      </c>
      <c r="Q30" t="str">
        <f>$A$12</f>
        <v>Skilled trades occupations</v>
      </c>
      <c r="R30" s="18">
        <f t="shared" ref="R30:U30" si="52">R12/R$18*100</f>
        <v>19.602733076154209</v>
      </c>
      <c r="S30" s="18">
        <f t="shared" si="52"/>
        <v>9.3718224387136573</v>
      </c>
      <c r="T30" s="18">
        <f t="shared" si="52"/>
        <v>34.467506304950149</v>
      </c>
      <c r="U30" s="18">
        <f t="shared" si="52"/>
        <v>20.380614537047183</v>
      </c>
      <c r="V30" s="18"/>
      <c r="W30" s="18">
        <f t="shared" ref="W30:Z30" si="53">W12/W$18*100</f>
        <v>16.347258247982559</v>
      </c>
      <c r="X30" s="18">
        <f t="shared" si="53"/>
        <v>6.6721673945260118</v>
      </c>
      <c r="Y30" s="18">
        <f t="shared" si="53"/>
        <v>36.094239626126885</v>
      </c>
      <c r="Z30" s="18">
        <f t="shared" si="53"/>
        <v>17.960013892008824</v>
      </c>
      <c r="AA30" s="18"/>
      <c r="AB30" s="18">
        <f t="shared" ref="AB30:AE30" si="54">AB12/AB$18*100</f>
        <v>12.885159173357438</v>
      </c>
      <c r="AC30" s="18">
        <f t="shared" si="54"/>
        <v>6.9805134782951264</v>
      </c>
      <c r="AD30" s="18">
        <f t="shared" si="54"/>
        <v>34.012422703878862</v>
      </c>
      <c r="AE30" s="18">
        <f t="shared" si="54"/>
        <v>15.325428516116324</v>
      </c>
      <c r="AG30" t="str">
        <f>$A$12</f>
        <v>Skilled trades occupations</v>
      </c>
      <c r="AH30" s="18">
        <f t="shared" ref="AH30:AK30" si="55">AH12/AH$18*100</f>
        <v>1.7952255970642144</v>
      </c>
      <c r="AI30" s="18">
        <f t="shared" si="55"/>
        <v>1.4462738591996043</v>
      </c>
      <c r="AJ30" s="18">
        <f t="shared" si="55"/>
        <v>6.3702943782240844</v>
      </c>
      <c r="AK30" s="18">
        <f t="shared" si="55"/>
        <v>2.0010738610205787</v>
      </c>
      <c r="AL30" s="18"/>
      <c r="AM30" s="18">
        <f t="shared" ref="AM30:AP30" si="56">AM12/AM$18*100</f>
        <v>1.7710516733682651</v>
      </c>
      <c r="AN30" s="18">
        <f t="shared" si="56"/>
        <v>1.3567519376274513</v>
      </c>
      <c r="AO30" s="18">
        <f t="shared" si="56"/>
        <v>7.7706470442732893</v>
      </c>
      <c r="AP30" s="18">
        <f t="shared" si="56"/>
        <v>2.0315234113693803</v>
      </c>
      <c r="AQ30" s="18"/>
      <c r="AR30" s="18">
        <f t="shared" ref="AR30:AU30" si="57">AR12/AR$18*100</f>
        <v>1.8681938088034331</v>
      </c>
      <c r="AS30" s="18">
        <f t="shared" si="57"/>
        <v>1.3719579222763276</v>
      </c>
      <c r="AT30" s="18">
        <f t="shared" si="57"/>
        <v>9.2732208886655556</v>
      </c>
      <c r="AU30" s="18">
        <f t="shared" si="57"/>
        <v>2.2113515453858645</v>
      </c>
    </row>
    <row r="31" spans="1:47" x14ac:dyDescent="0.25">
      <c r="A31" t="str">
        <f>$A$13</f>
        <v>Caring, leisure and other service occupations</v>
      </c>
      <c r="B31" s="18">
        <f t="shared" si="29"/>
        <v>7.8256575640712409</v>
      </c>
      <c r="C31" s="18">
        <f t="shared" ref="C31:O31" si="58">C13/C$18*100</f>
        <v>15.833614584369238</v>
      </c>
      <c r="D31" s="18">
        <f t="shared" si="58"/>
        <v>7.1350340221044712</v>
      </c>
      <c r="E31" s="18">
        <f t="shared" si="58"/>
        <v>9.9845701671973988</v>
      </c>
      <c r="F31" s="18"/>
      <c r="G31" s="18">
        <f t="shared" si="58"/>
        <v>8.1035644499427129</v>
      </c>
      <c r="H31" s="18">
        <f t="shared" si="58"/>
        <v>15.386658813792312</v>
      </c>
      <c r="I31" s="18">
        <f t="shared" si="58"/>
        <v>5.9167672028546505</v>
      </c>
      <c r="J31" s="18">
        <f t="shared" si="58"/>
        <v>9.9579284405312514</v>
      </c>
      <c r="K31" s="18"/>
      <c r="L31" s="18">
        <f t="shared" si="58"/>
        <v>9.3085023628951085</v>
      </c>
      <c r="M31" s="18">
        <f t="shared" si="58"/>
        <v>16.280341598828439</v>
      </c>
      <c r="N31" s="18">
        <f t="shared" si="58"/>
        <v>7.1609953150242918</v>
      </c>
      <c r="O31" s="18">
        <f t="shared" si="58"/>
        <v>11.047761849533821</v>
      </c>
      <c r="Q31" t="str">
        <f>$A$13</f>
        <v>Caring, leisure and other service occupations</v>
      </c>
      <c r="R31" s="18">
        <f t="shared" ref="R31:U31" si="59">R13/R$18*100</f>
        <v>2.3552829911951947</v>
      </c>
      <c r="S31" s="18">
        <f t="shared" si="59"/>
        <v>6.0362474747986914</v>
      </c>
      <c r="T31" s="18">
        <f t="shared" si="59"/>
        <v>1.6153626665147205</v>
      </c>
      <c r="U31" s="18">
        <f t="shared" si="59"/>
        <v>2.7467628099109542</v>
      </c>
      <c r="V31" s="18"/>
      <c r="W31" s="18">
        <f t="shared" ref="W31:Z31" si="60">W13/W$18*100</f>
        <v>2.3329242332303268</v>
      </c>
      <c r="X31" s="18">
        <f t="shared" si="60"/>
        <v>5.936402508984032</v>
      </c>
      <c r="Y31" s="18">
        <f t="shared" si="60"/>
        <v>1.5674730211305907</v>
      </c>
      <c r="Z31" s="18">
        <f t="shared" si="60"/>
        <v>2.7777234002264151</v>
      </c>
      <c r="AA31" s="18"/>
      <c r="AB31" s="18">
        <f t="shared" ref="AB31:AE31" si="61">AB13/AB$18*100</f>
        <v>2.8529324352406591</v>
      </c>
      <c r="AC31" s="18">
        <f t="shared" si="61"/>
        <v>6.5087701855693725</v>
      </c>
      <c r="AD31" s="18">
        <f t="shared" si="61"/>
        <v>2.324955715713501</v>
      </c>
      <c r="AE31" s="18">
        <f t="shared" si="61"/>
        <v>3.3746864307085254</v>
      </c>
      <c r="AG31" t="str">
        <f>$A$13</f>
        <v>Caring, leisure and other service occupations</v>
      </c>
      <c r="AH31" s="18">
        <f t="shared" ref="AH31:AK31" si="62">AH13/AH$18*100</f>
        <v>18.214423772236771</v>
      </c>
      <c r="AI31" s="18">
        <f t="shared" si="62"/>
        <v>19.406038582322708</v>
      </c>
      <c r="AJ31" s="18">
        <f t="shared" si="62"/>
        <v>19.494241932270164</v>
      </c>
      <c r="AK31" s="18">
        <f t="shared" si="62"/>
        <v>18.860094600740869</v>
      </c>
      <c r="AL31" s="18"/>
      <c r="AM31" s="18">
        <f t="shared" ref="AM31:AP31" si="63">AM13/AM$18*100</f>
        <v>17.487318066843635</v>
      </c>
      <c r="AN31" s="18">
        <f t="shared" si="63"/>
        <v>19.229429913757336</v>
      </c>
      <c r="AO31" s="18">
        <f t="shared" si="63"/>
        <v>16.610249383554407</v>
      </c>
      <c r="AP31" s="18">
        <f t="shared" si="63"/>
        <v>18.194677009990514</v>
      </c>
      <c r="AQ31" s="18"/>
      <c r="AR31" s="18">
        <f t="shared" ref="AR31:AU31" si="64">AR13/AR$18*100</f>
        <v>18.731530442763155</v>
      </c>
      <c r="AS31" s="18">
        <f t="shared" si="64"/>
        <v>20.542807515200668</v>
      </c>
      <c r="AT31" s="18">
        <f t="shared" si="64"/>
        <v>18.739618240163693</v>
      </c>
      <c r="AU31" s="18">
        <f t="shared" si="64"/>
        <v>19.491077654010205</v>
      </c>
    </row>
    <row r="32" spans="1:47" x14ac:dyDescent="0.25">
      <c r="A32" t="str">
        <f>$A$14</f>
        <v>Sales and customer service occupations</v>
      </c>
      <c r="B32" s="18">
        <f t="shared" si="29"/>
        <v>5.0463789769866931</v>
      </c>
      <c r="C32" s="18">
        <f t="shared" ref="C32:O32" si="65">C14/C$18*100</f>
        <v>17.962813322902786</v>
      </c>
      <c r="D32" s="18">
        <f t="shared" si="65"/>
        <v>4.2649519155161535</v>
      </c>
      <c r="E32" s="18">
        <f t="shared" si="65"/>
        <v>8.5671966726316953</v>
      </c>
      <c r="F32" s="18"/>
      <c r="G32" s="18">
        <f t="shared" si="65"/>
        <v>4.6874357519127026</v>
      </c>
      <c r="H32" s="18">
        <f t="shared" si="65"/>
        <v>16.665325884909123</v>
      </c>
      <c r="I32" s="18">
        <f t="shared" si="65"/>
        <v>2.6431020965287861</v>
      </c>
      <c r="J32" s="18">
        <f t="shared" si="65"/>
        <v>7.9222317454925735</v>
      </c>
      <c r="K32" s="18"/>
      <c r="L32" s="18">
        <f t="shared" si="65"/>
        <v>4.5924889753830564</v>
      </c>
      <c r="M32" s="18">
        <f t="shared" si="65"/>
        <v>15.959769259951168</v>
      </c>
      <c r="N32" s="18">
        <f t="shared" si="65"/>
        <v>2.1097601911418931</v>
      </c>
      <c r="O32" s="18">
        <f t="shared" si="65"/>
        <v>7.5507875860951144</v>
      </c>
      <c r="Q32" t="str">
        <f>$A$14</f>
        <v>Sales and customer service occupations</v>
      </c>
      <c r="R32" s="18">
        <f t="shared" ref="R32:U32" si="66">R14/R$18*100</f>
        <v>4.3205466166855366</v>
      </c>
      <c r="S32" s="18">
        <f t="shared" si="66"/>
        <v>19.68903427971177</v>
      </c>
      <c r="T32" s="18">
        <f t="shared" si="66"/>
        <v>3.9821370347005871</v>
      </c>
      <c r="U32" s="18">
        <f t="shared" si="66"/>
        <v>6.355780961178656</v>
      </c>
      <c r="V32" s="18"/>
      <c r="W32" s="18">
        <f t="shared" ref="W32:Z32" si="67">W14/W$18*100</f>
        <v>4.26954532005968</v>
      </c>
      <c r="X32" s="18">
        <f t="shared" si="67"/>
        <v>19.162568279496259</v>
      </c>
      <c r="Y32" s="18">
        <f t="shared" si="67"/>
        <v>2.2454847875685906</v>
      </c>
      <c r="Z32" s="18">
        <f t="shared" si="67"/>
        <v>6.2886791115562044</v>
      </c>
      <c r="AA32" s="18"/>
      <c r="AB32" s="18">
        <f>AB14/AB$18*100</f>
        <v>4.5835853439271768</v>
      </c>
      <c r="AC32" s="18">
        <f t="shared" ref="AC32:AE32" si="68">AC14/AC$18*100</f>
        <v>18.390568554909375</v>
      </c>
      <c r="AD32" s="18">
        <f t="shared" si="68"/>
        <v>1.8403267554704548</v>
      </c>
      <c r="AE32" s="18">
        <f t="shared" si="68"/>
        <v>6.4327676638238174</v>
      </c>
      <c r="AG32" t="str">
        <f>$A$14</f>
        <v>Sales and customer service occupations</v>
      </c>
      <c r="AH32" s="18">
        <f t="shared" ref="AH32:AK32" si="69">AH14/AH$18*100</f>
        <v>6.424804274383705</v>
      </c>
      <c r="AI32" s="18">
        <f t="shared" si="69"/>
        <v>17.333379608425492</v>
      </c>
      <c r="AJ32" s="18">
        <f t="shared" si="69"/>
        <v>4.8982084423831971</v>
      </c>
      <c r="AK32" s="18">
        <f t="shared" si="69"/>
        <v>11.278995040678057</v>
      </c>
      <c r="AL32" s="18"/>
      <c r="AM32" s="18">
        <f t="shared" ref="AM32:AP32" si="70">AM14/AM$18*100</f>
        <v>5.3669757516535244</v>
      </c>
      <c r="AN32" s="18">
        <f t="shared" si="70"/>
        <v>15.649868674648641</v>
      </c>
      <c r="AO32" s="18">
        <f t="shared" si="70"/>
        <v>3.6207121248341618</v>
      </c>
      <c r="AP32" s="18">
        <f t="shared" si="70"/>
        <v>9.7961562706535545</v>
      </c>
      <c r="AQ32" s="18"/>
      <c r="AR32" s="18">
        <f t="shared" ref="AR32:AU32" si="71">AR14/AR$18*100</f>
        <v>4.6054853754161806</v>
      </c>
      <c r="AS32" s="18">
        <f t="shared" si="71"/>
        <v>14.899428122778311</v>
      </c>
      <c r="AT32" s="18">
        <f t="shared" si="71"/>
        <v>2.7548475794893648</v>
      </c>
      <c r="AU32" s="18">
        <f t="shared" si="71"/>
        <v>8.7810368361250237</v>
      </c>
    </row>
    <row r="33" spans="1:47" x14ac:dyDescent="0.25">
      <c r="A33" t="str">
        <f>$A$15</f>
        <v>Process, plant and machine operatives</v>
      </c>
      <c r="B33" s="18">
        <f t="shared" si="29"/>
        <v>12.040462765953993</v>
      </c>
      <c r="C33" s="18">
        <f t="shared" ref="C33:O33" si="72">C15/C$18*100</f>
        <v>3.4391854812677161</v>
      </c>
      <c r="D33" s="18">
        <f t="shared" si="72"/>
        <v>9.3607572084846709</v>
      </c>
      <c r="E33" s="18">
        <f t="shared" si="72"/>
        <v>9.3244120522857941</v>
      </c>
      <c r="F33" s="18"/>
      <c r="G33" s="18">
        <f t="shared" si="72"/>
        <v>9.5341735238095815</v>
      </c>
      <c r="H33" s="18">
        <f t="shared" si="72"/>
        <v>4.3316468196524047</v>
      </c>
      <c r="I33" s="18">
        <f t="shared" si="72"/>
        <v>10.306105472338581</v>
      </c>
      <c r="J33" s="18">
        <f t="shared" si="72"/>
        <v>8.1153249130947795</v>
      </c>
      <c r="K33" s="18"/>
      <c r="L33" s="18">
        <f t="shared" si="72"/>
        <v>9.6481179373726196</v>
      </c>
      <c r="M33" s="18">
        <f t="shared" si="72"/>
        <v>5.3897554298518608</v>
      </c>
      <c r="N33" s="18">
        <f t="shared" si="72"/>
        <v>12.001552853621067</v>
      </c>
      <c r="O33" s="18">
        <f t="shared" si="72"/>
        <v>8.7110726199435771</v>
      </c>
      <c r="Q33" t="str">
        <f>$A$15</f>
        <v>Process, plant and machine operatives</v>
      </c>
      <c r="R33" s="18">
        <f t="shared" ref="R33:U33" si="73">R15/R$18*100</f>
        <v>16.428177387102703</v>
      </c>
      <c r="S33" s="18">
        <f t="shared" si="73"/>
        <v>9.3208653780042887</v>
      </c>
      <c r="T33" s="18">
        <f t="shared" si="73"/>
        <v>12.675466877145691</v>
      </c>
      <c r="U33" s="18">
        <f t="shared" si="73"/>
        <v>14.917450089489684</v>
      </c>
      <c r="V33" s="18"/>
      <c r="W33" s="18">
        <f t="shared" ref="W33:Z33" si="74">W15/W$18*100</f>
        <v>13.658154694841532</v>
      </c>
      <c r="X33" s="18">
        <f t="shared" si="74"/>
        <v>11.571507296069466</v>
      </c>
      <c r="Y33" s="18">
        <f t="shared" si="74"/>
        <v>13.355581139370457</v>
      </c>
      <c r="Z33" s="18">
        <f t="shared" si="74"/>
        <v>13.282254180430378</v>
      </c>
      <c r="AA33" s="18"/>
      <c r="AB33" s="18">
        <f t="shared" ref="AB33:AE33" si="75">AB15/AB$18*100</f>
        <v>14.09882207610044</v>
      </c>
      <c r="AC33" s="18">
        <f t="shared" si="75"/>
        <v>12.229884123566301</v>
      </c>
      <c r="AD33" s="18">
        <f t="shared" si="75"/>
        <v>15.762863863387555</v>
      </c>
      <c r="AE33" s="18">
        <f t="shared" si="75"/>
        <v>14.057836577115321</v>
      </c>
      <c r="AG33" t="str">
        <f>$A$15</f>
        <v>Process, plant and machine operatives</v>
      </c>
      <c r="AH33" s="18">
        <f t="shared" ref="AH33:AK33" si="76">AH15/AH$18*100</f>
        <v>3.7077716896830815</v>
      </c>
      <c r="AI33" s="18">
        <f t="shared" si="76"/>
        <v>1.2945425199095761</v>
      </c>
      <c r="AJ33" s="18">
        <f t="shared" si="76"/>
        <v>1.9387236638007688</v>
      </c>
      <c r="AK33" s="18">
        <f t="shared" si="76"/>
        <v>2.4658230754782782</v>
      </c>
      <c r="AL33" s="18"/>
      <c r="AM33" s="18">
        <f t="shared" ref="AM33:AP33" si="77">AM15/AM$18*100</f>
        <v>2.828085156417071</v>
      </c>
      <c r="AN33" s="18">
        <f t="shared" si="77"/>
        <v>1.387692104646518</v>
      </c>
      <c r="AO33" s="18">
        <f t="shared" si="77"/>
        <v>2.8084489921424325</v>
      </c>
      <c r="AP33" s="18">
        <f t="shared" si="77"/>
        <v>2.1880990174096624</v>
      </c>
      <c r="AQ33" s="18"/>
      <c r="AR33" s="18">
        <f t="shared" ref="AR33:AU33" si="78">AR15/AR$18*100</f>
        <v>3.1515404787724264</v>
      </c>
      <c r="AS33" s="18">
        <f t="shared" si="78"/>
        <v>2.4060167672048376</v>
      </c>
      <c r="AT33" s="18">
        <f t="shared" si="78"/>
        <v>2.9960844342830231</v>
      </c>
      <c r="AU33" s="18">
        <f t="shared" si="78"/>
        <v>2.827588598447508</v>
      </c>
    </row>
    <row r="34" spans="1:47" x14ac:dyDescent="0.25">
      <c r="A34" t="str">
        <f>$A$16</f>
        <v>Elementary occupations</v>
      </c>
      <c r="B34" s="18">
        <f t="shared" si="29"/>
        <v>8.3690458082503056</v>
      </c>
      <c r="C34" s="18">
        <f t="shared" ref="C34:O34" si="79">C16/C$18*100</f>
        <v>18.270392910618689</v>
      </c>
      <c r="D34" s="18">
        <f t="shared" si="79"/>
        <v>9.481368727381243</v>
      </c>
      <c r="E34" s="18">
        <f t="shared" si="79"/>
        <v>11.266657366268596</v>
      </c>
      <c r="F34" s="18"/>
      <c r="G34" s="18">
        <f t="shared" si="79"/>
        <v>6.6823308675283828</v>
      </c>
      <c r="H34" s="18">
        <f t="shared" si="79"/>
        <v>15.329434370710542</v>
      </c>
      <c r="I34" s="18">
        <f t="shared" si="79"/>
        <v>7.9646366791764924</v>
      </c>
      <c r="J34" s="18">
        <f t="shared" si="79"/>
        <v>9.346496311163957</v>
      </c>
      <c r="K34" s="18"/>
      <c r="L34" s="18">
        <f t="shared" si="79"/>
        <v>5.7438656637576644</v>
      </c>
      <c r="M34" s="18">
        <f t="shared" si="79"/>
        <v>12.264249489760928</v>
      </c>
      <c r="N34" s="18">
        <f t="shared" si="79"/>
        <v>9.5419563174118185</v>
      </c>
      <c r="O34" s="18">
        <f t="shared" si="79"/>
        <v>8.0688198869327383</v>
      </c>
      <c r="Q34" t="str">
        <f>$A$16</f>
        <v>Elementary occupations</v>
      </c>
      <c r="R34" s="18">
        <f t="shared" ref="R34:U34" si="80">R16/R$18*100</f>
        <v>10.20907983426061</v>
      </c>
      <c r="S34" s="18">
        <f t="shared" si="80"/>
        <v>23.865194965915162</v>
      </c>
      <c r="T34" s="18">
        <f t="shared" si="80"/>
        <v>6.8317411993767951</v>
      </c>
      <c r="U34" s="18">
        <f t="shared" si="80"/>
        <v>11.569327361493851</v>
      </c>
      <c r="V34" s="18"/>
      <c r="W34" s="18">
        <f t="shared" ref="W34:Z34" si="81">W16/W$18*100</f>
        <v>8.490411552395404</v>
      </c>
      <c r="X34" s="18">
        <f t="shared" si="81"/>
        <v>18.690488876111608</v>
      </c>
      <c r="Y34" s="18">
        <f t="shared" si="81"/>
        <v>5.5806572088924087</v>
      </c>
      <c r="Z34" s="18">
        <f t="shared" si="81"/>
        <v>9.63157488630271</v>
      </c>
      <c r="AA34" s="18"/>
      <c r="AB34" s="18">
        <f t="shared" ref="AB34:AE34" si="82">AB16/AB$18*100</f>
        <v>7.5451822440101832</v>
      </c>
      <c r="AC34" s="18">
        <f t="shared" si="82"/>
        <v>15.293745838403977</v>
      </c>
      <c r="AD34" s="18">
        <f t="shared" si="82"/>
        <v>7.3832692904809472</v>
      </c>
      <c r="AE34" s="18">
        <f t="shared" si="82"/>
        <v>8.8060271426570882</v>
      </c>
      <c r="AG34" t="str">
        <f>$A$16</f>
        <v>Elementary occupations</v>
      </c>
      <c r="AH34" s="18">
        <f t="shared" ref="AH34:AK34" si="83">AH16/AH$18*100</f>
        <v>4.8746446376115378</v>
      </c>
      <c r="AI34" s="18">
        <f t="shared" si="83"/>
        <v>16.230354510239035</v>
      </c>
      <c r="AJ34" s="18">
        <f t="shared" si="83"/>
        <v>15.414203382463073</v>
      </c>
      <c r="AK34" s="18">
        <f t="shared" si="83"/>
        <v>10.895501461543136</v>
      </c>
      <c r="AL34" s="18"/>
      <c r="AM34" s="18">
        <f t="shared" ref="AM34:AP34" si="84">AM16/AM$18*100</f>
        <v>3.7421746579742683</v>
      </c>
      <c r="AN34" s="18">
        <f t="shared" si="84"/>
        <v>13.962724018929832</v>
      </c>
      <c r="AO34" s="18">
        <f t="shared" si="84"/>
        <v>13.826057157873892</v>
      </c>
      <c r="AP34" s="18">
        <f t="shared" si="84"/>
        <v>9.0194693623822939</v>
      </c>
      <c r="AQ34" s="18"/>
      <c r="AR34" s="18">
        <f t="shared" ref="AR34:AU34" si="85">AR16/AR$18*100</f>
        <v>3.1145305459180244</v>
      </c>
      <c r="AS34" s="18">
        <f t="shared" si="85"/>
        <v>10.942750174682155</v>
      </c>
      <c r="AT34" s="18">
        <f t="shared" si="85"/>
        <v>14.71036376837333</v>
      </c>
      <c r="AU34" s="18">
        <f t="shared" si="85"/>
        <v>7.2576101263508486</v>
      </c>
    </row>
    <row r="35" spans="1:47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5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5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ht="13" x14ac:dyDescent="0.3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ht="13" x14ac:dyDescent="0.3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ht="13" x14ac:dyDescent="0.3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5">
      <c r="A44" t="str">
        <f>$A$8</f>
        <v>Managers, directors and senior officials</v>
      </c>
      <c r="B44" s="27">
        <f>G8-B8</f>
        <v>2.0475247633533407</v>
      </c>
      <c r="C44" s="27">
        <f t="shared" ref="C44:E44" si="93">H8-C8</f>
        <v>2.3595729815557123</v>
      </c>
      <c r="D44" s="27">
        <f t="shared" si="93"/>
        <v>0.86241491077496857</v>
      </c>
      <c r="E44" s="27">
        <f t="shared" si="93"/>
        <v>5.269512655684025</v>
      </c>
      <c r="F44" s="27"/>
      <c r="G44" s="27">
        <f>L8-G8</f>
        <v>4.184267333902369</v>
      </c>
      <c r="H44" s="27">
        <f t="shared" ref="H44:J44" si="94">M8-H8</f>
        <v>1.8035106036875286</v>
      </c>
      <c r="I44" s="27">
        <f t="shared" si="94"/>
        <v>0.68987909013151594</v>
      </c>
      <c r="J44" s="27">
        <f t="shared" si="94"/>
        <v>6.6776570277214091</v>
      </c>
      <c r="K44" s="27"/>
      <c r="L44" s="27">
        <f>L8-B8</f>
        <v>6.2317920972557097</v>
      </c>
      <c r="M44" s="27">
        <f t="shared" ref="M44:O44" si="95">M8-C8</f>
        <v>4.1630835852432408</v>
      </c>
      <c r="N44" s="27">
        <f t="shared" si="95"/>
        <v>1.5522940009064845</v>
      </c>
      <c r="O44" s="27">
        <f t="shared" si="95"/>
        <v>11.947169683405434</v>
      </c>
      <c r="Q44" t="str">
        <f>$A$8</f>
        <v>Managers, directors and senior officials</v>
      </c>
      <c r="R44" s="27">
        <f>W8-R8</f>
        <v>0.66489452075300548</v>
      </c>
      <c r="S44" s="27">
        <f t="shared" ref="S44:S52" si="96">X8-S8</f>
        <v>1.1537411677968501</v>
      </c>
      <c r="T44" s="27">
        <f t="shared" ref="T44:T52" si="97">Y8-T8</f>
        <v>8.8921288502517903E-2</v>
      </c>
      <c r="U44" s="27">
        <f t="shared" ref="U44:U52" si="98">Z8-U8</f>
        <v>1.9075569770523728</v>
      </c>
      <c r="V44" s="27"/>
      <c r="W44" s="27">
        <f>AB8-W8</f>
        <v>0.87085570765191278</v>
      </c>
      <c r="X44" s="27">
        <f t="shared" ref="X44:X52" si="99">AC8-X8</f>
        <v>1.0801244049063086</v>
      </c>
      <c r="Y44" s="27">
        <f t="shared" ref="Y44:Y52" si="100">AD8-Y8</f>
        <v>0.36981406773977898</v>
      </c>
      <c r="Z44" s="27">
        <f t="shared" ref="Z44:Z52" si="101">AE8-Z8</f>
        <v>2.3207941802980017</v>
      </c>
      <c r="AA44" s="27"/>
      <c r="AB44" s="27">
        <f>AB8-R8</f>
        <v>1.5357502284049183</v>
      </c>
      <c r="AC44" s="27">
        <f t="shared" ref="AC44:AC52" si="102">AC8-S8</f>
        <v>2.2338655727031584</v>
      </c>
      <c r="AD44" s="27">
        <f t="shared" ref="AD44:AD52" si="103">AD8-T8</f>
        <v>0.45873535624229689</v>
      </c>
      <c r="AE44" s="27">
        <f t="shared" ref="AE44:AE52" si="104">AE8-U8</f>
        <v>4.2283511573503745</v>
      </c>
      <c r="AG44" t="str">
        <f>$A$8</f>
        <v>Managers, directors and senior officials</v>
      </c>
      <c r="AH44" s="27">
        <f>AM8-AH8</f>
        <v>1.382630242600321</v>
      </c>
      <c r="AI44" s="27">
        <f t="shared" ref="AI44:AI52" si="105">AN8-AI8</f>
        <v>1.2058318137588602</v>
      </c>
      <c r="AJ44" s="27">
        <f t="shared" ref="AJ44:AJ52" si="106">AO8-AJ8</f>
        <v>0.77349362227244844</v>
      </c>
      <c r="AK44" s="27">
        <f t="shared" ref="AK44:AK52" si="107">AP8-AK8</f>
        <v>3.3619556786316291</v>
      </c>
      <c r="AL44" s="27"/>
      <c r="AM44" s="27">
        <f>AR8-AM8</f>
        <v>3.3134116262504598</v>
      </c>
      <c r="AN44" s="27">
        <f t="shared" ref="AN44:AN52" si="108">AS8-AN8</f>
        <v>0.72338619878122623</v>
      </c>
      <c r="AO44" s="27">
        <f t="shared" ref="AO44:AO52" si="109">AT8-AO8</f>
        <v>0.32006502239174628</v>
      </c>
      <c r="AP44" s="27">
        <f t="shared" ref="AP44:AP52" si="110">AU8-AP8</f>
        <v>4.3568628474234323</v>
      </c>
      <c r="AQ44" s="27"/>
      <c r="AR44" s="27">
        <f>AR8-AH8</f>
        <v>4.6960418688507808</v>
      </c>
      <c r="AS44" s="27">
        <f t="shared" ref="AS44:AS52" si="111">AS8-AI8</f>
        <v>1.9292180125400864</v>
      </c>
      <c r="AT44" s="27">
        <f t="shared" ref="AT44:AT52" si="112">AT8-AJ8</f>
        <v>1.0935586446641947</v>
      </c>
      <c r="AU44" s="27">
        <f t="shared" ref="AU44:AU52" si="113">AU8-AK8</f>
        <v>7.7188185260550615</v>
      </c>
    </row>
    <row r="45" spans="1:47" x14ac:dyDescent="0.25">
      <c r="A45" t="str">
        <f>$A$9</f>
        <v>Professional occupations</v>
      </c>
      <c r="B45" s="27">
        <f t="shared" ref="B45:B54" si="114">G9-B9</f>
        <v>10.103248474841337</v>
      </c>
      <c r="C45" s="27">
        <f t="shared" ref="C45:C54" si="115">H9-C9</f>
        <v>4.3107623891009936</v>
      </c>
      <c r="D45" s="27">
        <f t="shared" ref="D45:D54" si="116">I9-D9</f>
        <v>1.2559342155165787</v>
      </c>
      <c r="E45" s="27">
        <f t="shared" ref="E45:E54" si="117">J9-E9</f>
        <v>15.669945079458898</v>
      </c>
      <c r="F45" s="27"/>
      <c r="G45" s="27">
        <f t="shared" ref="G45:G54" si="118">L9-G9</f>
        <v>14.947945451051069</v>
      </c>
      <c r="H45" s="27">
        <f t="shared" ref="H45:H54" si="119">M9-H9</f>
        <v>6.0146975719118849</v>
      </c>
      <c r="I45" s="27">
        <f t="shared" ref="I45:I54" si="120">N9-I9</f>
        <v>-0.66249257723878152</v>
      </c>
      <c r="J45" s="27">
        <f t="shared" ref="J45:J54" si="121">O9-J9</f>
        <v>20.300150445724171</v>
      </c>
      <c r="K45" s="27"/>
      <c r="L45" s="27">
        <f t="shared" ref="L45:L54" si="122">L9-B9</f>
        <v>25.051193925892406</v>
      </c>
      <c r="M45" s="27">
        <f t="shared" ref="M45:M54" si="123">M9-C9</f>
        <v>10.325459961012879</v>
      </c>
      <c r="N45" s="27">
        <f t="shared" ref="N45:N54" si="124">N9-D9</f>
        <v>0.59344163827779717</v>
      </c>
      <c r="O45" s="27">
        <f t="shared" ref="O45:O54" si="125">O9-E9</f>
        <v>35.970095525183069</v>
      </c>
      <c r="Q45" t="str">
        <f>$A$9</f>
        <v>Professional occupations</v>
      </c>
      <c r="R45" s="27">
        <f t="shared" ref="R45:R52" si="126">W9-R9</f>
        <v>3.96721020551945</v>
      </c>
      <c r="S45" s="27">
        <f t="shared" si="96"/>
        <v>1.3211132628410924</v>
      </c>
      <c r="T45" s="27">
        <f t="shared" si="97"/>
        <v>1.0978120965031621</v>
      </c>
      <c r="U45" s="27">
        <f t="shared" si="98"/>
        <v>6.3861355648637073</v>
      </c>
      <c r="V45" s="27"/>
      <c r="W45" s="27">
        <f t="shared" ref="W45:W52" si="127">AB9-W9</f>
        <v>6.5355565382130933</v>
      </c>
      <c r="X45" s="27">
        <f t="shared" si="99"/>
        <v>1.5135487507075478</v>
      </c>
      <c r="Y45" s="27">
        <f t="shared" si="100"/>
        <v>-0.71132138123068245</v>
      </c>
      <c r="Z45" s="27">
        <f t="shared" si="101"/>
        <v>7.3377839076899605</v>
      </c>
      <c r="AA45" s="27"/>
      <c r="AB45" s="27">
        <f t="shared" ref="AB45:AB52" si="128">AB9-R9</f>
        <v>10.502766743732543</v>
      </c>
      <c r="AC45" s="27">
        <f t="shared" si="102"/>
        <v>2.8346620135486402</v>
      </c>
      <c r="AD45" s="27">
        <f t="shared" si="103"/>
        <v>0.38649071527247969</v>
      </c>
      <c r="AE45" s="27">
        <f t="shared" si="104"/>
        <v>13.723919472553668</v>
      </c>
      <c r="AG45" t="str">
        <f>$A$9</f>
        <v>Professional occupations</v>
      </c>
      <c r="AH45" s="27">
        <f t="shared" ref="AH45:AH52" si="129">AM9-AH9</f>
        <v>6.1360382693218938</v>
      </c>
      <c r="AI45" s="27">
        <f t="shared" si="105"/>
        <v>2.9896491262599039</v>
      </c>
      <c r="AJ45" s="27">
        <f t="shared" si="106"/>
        <v>0.15812211901341255</v>
      </c>
      <c r="AK45" s="27">
        <f t="shared" si="107"/>
        <v>9.2838095145952053</v>
      </c>
      <c r="AL45" s="27"/>
      <c r="AM45" s="27">
        <f t="shared" ref="AM45:AM52" si="130">AR9-AM9</f>
        <v>8.4123889128379652</v>
      </c>
      <c r="AN45" s="27">
        <f t="shared" si="108"/>
        <v>4.5011488212043353</v>
      </c>
      <c r="AO45" s="27">
        <f t="shared" si="109"/>
        <v>4.8828803991901815E-2</v>
      </c>
      <c r="AP45" s="27">
        <f t="shared" si="110"/>
        <v>12.962366538034203</v>
      </c>
      <c r="AQ45" s="27"/>
      <c r="AR45" s="27">
        <f t="shared" ref="AR45:AR52" si="131">AR9-AH9</f>
        <v>14.548427182159859</v>
      </c>
      <c r="AS45" s="27">
        <f t="shared" si="111"/>
        <v>7.4907979474642392</v>
      </c>
      <c r="AT45" s="27">
        <f t="shared" si="112"/>
        <v>0.20695092300531437</v>
      </c>
      <c r="AU45" s="27">
        <f t="shared" si="113"/>
        <v>22.246176052629409</v>
      </c>
    </row>
    <row r="46" spans="1:47" x14ac:dyDescent="0.25">
      <c r="A46" t="str">
        <f>$A$10</f>
        <v>Associate professional occupations</v>
      </c>
      <c r="B46" s="27">
        <f t="shared" si="114"/>
        <v>3.2630068427413192</v>
      </c>
      <c r="C46" s="27">
        <f t="shared" si="115"/>
        <v>2.1117773716123924</v>
      </c>
      <c r="D46" s="27">
        <f t="shared" si="116"/>
        <v>-0.63160644809762267</v>
      </c>
      <c r="E46" s="27">
        <f t="shared" si="117"/>
        <v>4.743177766256089</v>
      </c>
      <c r="F46" s="27"/>
      <c r="G46" s="27">
        <f t="shared" si="118"/>
        <v>1.7761523692095125</v>
      </c>
      <c r="H46" s="27">
        <f t="shared" si="119"/>
        <v>1.0790311410619218</v>
      </c>
      <c r="I46" s="27">
        <f t="shared" si="120"/>
        <v>-1.1873593429243989E-2</v>
      </c>
      <c r="J46" s="27">
        <f t="shared" si="121"/>
        <v>2.8433099168421876</v>
      </c>
      <c r="K46" s="27"/>
      <c r="L46" s="27">
        <f t="shared" si="122"/>
        <v>5.0391592119508317</v>
      </c>
      <c r="M46" s="27">
        <f t="shared" si="123"/>
        <v>3.1908085126743142</v>
      </c>
      <c r="N46" s="27">
        <f t="shared" si="124"/>
        <v>-0.64348004152686666</v>
      </c>
      <c r="O46" s="27">
        <f t="shared" si="125"/>
        <v>7.5864876830982766</v>
      </c>
      <c r="Q46" t="str">
        <f>$A$10</f>
        <v>Associate professional occupations</v>
      </c>
      <c r="R46" s="27">
        <f t="shared" si="126"/>
        <v>0.60425561766541591</v>
      </c>
      <c r="S46" s="27">
        <f t="shared" si="96"/>
        <v>0.95468968178381708</v>
      </c>
      <c r="T46" s="27">
        <f t="shared" si="97"/>
        <v>-0.157970923073111</v>
      </c>
      <c r="U46" s="27">
        <f t="shared" si="98"/>
        <v>1.4009743763761264</v>
      </c>
      <c r="V46" s="27"/>
      <c r="W46" s="27">
        <f>AB10-W10</f>
        <v>-1.2221182378024338</v>
      </c>
      <c r="X46" s="27">
        <f t="shared" si="99"/>
        <v>-0.28447660024612764</v>
      </c>
      <c r="Y46" s="27">
        <f t="shared" si="100"/>
        <v>-5.4986247432932345E-2</v>
      </c>
      <c r="Z46" s="27">
        <f t="shared" si="101"/>
        <v>-1.5615810854814995</v>
      </c>
      <c r="AA46" s="27"/>
      <c r="AB46" s="27">
        <f t="shared" si="128"/>
        <v>-0.61786262013701787</v>
      </c>
      <c r="AC46" s="27">
        <f t="shared" si="102"/>
        <v>0.67021308153768944</v>
      </c>
      <c r="AD46" s="27">
        <f t="shared" si="103"/>
        <v>-0.21295717050604335</v>
      </c>
      <c r="AE46" s="27">
        <f t="shared" si="104"/>
        <v>-0.16060670910537311</v>
      </c>
      <c r="AG46" t="str">
        <f>$A$10</f>
        <v>Associate professional occupations</v>
      </c>
      <c r="AH46" s="27">
        <f t="shared" si="129"/>
        <v>2.6587512250758945</v>
      </c>
      <c r="AI46" s="27">
        <f t="shared" si="105"/>
        <v>1.1570876898285736</v>
      </c>
      <c r="AJ46" s="27">
        <f t="shared" si="106"/>
        <v>-0.47363552502451078</v>
      </c>
      <c r="AK46" s="27">
        <f t="shared" si="107"/>
        <v>3.342203389879959</v>
      </c>
      <c r="AL46" s="27"/>
      <c r="AM46" s="27">
        <f t="shared" si="130"/>
        <v>2.9982706070119534</v>
      </c>
      <c r="AN46" s="27">
        <f t="shared" si="108"/>
        <v>1.3635077413080534</v>
      </c>
      <c r="AO46" s="27">
        <f t="shared" si="109"/>
        <v>4.3112654003689688E-2</v>
      </c>
      <c r="AP46" s="27">
        <f t="shared" si="110"/>
        <v>4.4048910023236942</v>
      </c>
      <c r="AQ46" s="27"/>
      <c r="AR46" s="27">
        <f t="shared" si="131"/>
        <v>5.6570218320878478</v>
      </c>
      <c r="AS46" s="27">
        <f t="shared" si="111"/>
        <v>2.520595431136627</v>
      </c>
      <c r="AT46" s="27">
        <f t="shared" si="112"/>
        <v>-0.4305228710208211</v>
      </c>
      <c r="AU46" s="27">
        <f t="shared" si="113"/>
        <v>7.7470943922036533</v>
      </c>
    </row>
    <row r="47" spans="1:47" x14ac:dyDescent="0.25">
      <c r="A47" t="str">
        <f>$A$11</f>
        <v>Administrative and secretarial occupations</v>
      </c>
      <c r="B47" s="27">
        <f t="shared" si="114"/>
        <v>-1.7986780611073954</v>
      </c>
      <c r="C47" s="27">
        <f t="shared" si="115"/>
        <v>-1.2268870287278624</v>
      </c>
      <c r="D47" s="27">
        <f t="shared" si="116"/>
        <v>-0.50645868151297146</v>
      </c>
      <c r="E47" s="27">
        <f t="shared" si="117"/>
        <v>-3.5320237713482285</v>
      </c>
      <c r="F47" s="27"/>
      <c r="G47" s="27">
        <f t="shared" si="118"/>
        <v>-4.3339532956978921</v>
      </c>
      <c r="H47" s="27">
        <f t="shared" si="119"/>
        <v>-3.9793117040459443</v>
      </c>
      <c r="I47" s="27">
        <f t="shared" si="120"/>
        <v>-0.14382021016278945</v>
      </c>
      <c r="J47" s="27">
        <f t="shared" si="121"/>
        <v>-8.45708520990663</v>
      </c>
      <c r="K47" s="27"/>
      <c r="L47" s="27">
        <f t="shared" si="122"/>
        <v>-6.1326313568052875</v>
      </c>
      <c r="M47" s="27">
        <f t="shared" si="123"/>
        <v>-5.2061987327738066</v>
      </c>
      <c r="N47" s="27">
        <f t="shared" si="124"/>
        <v>-0.65027889167576092</v>
      </c>
      <c r="O47" s="27">
        <f t="shared" si="125"/>
        <v>-11.989108981254859</v>
      </c>
      <c r="Q47" t="str">
        <f>$A$11</f>
        <v>Administrative and secretarial occupations</v>
      </c>
      <c r="R47" s="27">
        <f t="shared" si="126"/>
        <v>0.11407083096609938</v>
      </c>
      <c r="S47" s="27">
        <f t="shared" si="96"/>
        <v>0.40664325192123218</v>
      </c>
      <c r="T47" s="27">
        <f t="shared" si="97"/>
        <v>-0.11911178070640227</v>
      </c>
      <c r="U47" s="27">
        <f t="shared" si="98"/>
        <v>0.40160230218092963</v>
      </c>
      <c r="V47" s="27"/>
      <c r="W47" s="27">
        <f t="shared" si="127"/>
        <v>0.87066590789280163</v>
      </c>
      <c r="X47" s="27">
        <f t="shared" si="99"/>
        <v>0.3137353463427397</v>
      </c>
      <c r="Y47" s="27">
        <f t="shared" si="100"/>
        <v>0.21051098267297852</v>
      </c>
      <c r="Z47" s="27">
        <f t="shared" si="101"/>
        <v>1.394912236908521</v>
      </c>
      <c r="AA47" s="27"/>
      <c r="AB47" s="27">
        <f t="shared" si="128"/>
        <v>0.98473673885890101</v>
      </c>
      <c r="AC47" s="27">
        <f t="shared" si="102"/>
        <v>0.72037859826397188</v>
      </c>
      <c r="AD47" s="27">
        <f t="shared" si="103"/>
        <v>9.1399201966576249E-2</v>
      </c>
      <c r="AE47" s="27">
        <f t="shared" si="104"/>
        <v>1.7965145390894506</v>
      </c>
      <c r="AG47" t="str">
        <f>$A$11</f>
        <v>Administrative and secretarial occupations</v>
      </c>
      <c r="AH47" s="27">
        <f t="shared" si="129"/>
        <v>-1.9127488920734805</v>
      </c>
      <c r="AI47" s="27">
        <f t="shared" si="105"/>
        <v>-1.6335302806490937</v>
      </c>
      <c r="AJ47" s="27">
        <f t="shared" si="106"/>
        <v>-0.38734690080656931</v>
      </c>
      <c r="AK47" s="27">
        <f t="shared" si="107"/>
        <v>-3.9336260735291475</v>
      </c>
      <c r="AL47" s="27"/>
      <c r="AM47" s="27">
        <f t="shared" si="130"/>
        <v>-5.2046192035907097</v>
      </c>
      <c r="AN47" s="27">
        <f t="shared" si="108"/>
        <v>-4.2930470503886919</v>
      </c>
      <c r="AO47" s="27">
        <f t="shared" si="109"/>
        <v>-0.35433119283576753</v>
      </c>
      <c r="AP47" s="27">
        <f>AU11-AP11</f>
        <v>-9.8519974468151723</v>
      </c>
      <c r="AQ47" s="27"/>
      <c r="AR47" s="27">
        <f t="shared" si="131"/>
        <v>-7.1173680956641903</v>
      </c>
      <c r="AS47" s="27">
        <f t="shared" si="111"/>
        <v>-5.9265773310377856</v>
      </c>
      <c r="AT47" s="27">
        <f t="shared" si="112"/>
        <v>-0.74167809364233683</v>
      </c>
      <c r="AU47" s="27">
        <f t="shared" si="113"/>
        <v>-13.78562352034432</v>
      </c>
    </row>
    <row r="48" spans="1:47" x14ac:dyDescent="0.25">
      <c r="A48" t="str">
        <f>$A$12</f>
        <v>Skilled trades occupations</v>
      </c>
      <c r="B48" s="27">
        <f t="shared" si="114"/>
        <v>-9.4970385679708826</v>
      </c>
      <c r="C48" s="27">
        <f t="shared" si="115"/>
        <v>-0.86863065089815272</v>
      </c>
      <c r="D48" s="27">
        <f t="shared" si="116"/>
        <v>1.3735720944895267</v>
      </c>
      <c r="E48" s="27">
        <f t="shared" si="117"/>
        <v>-8.9920971243795123</v>
      </c>
      <c r="F48" s="27"/>
      <c r="G48" s="27">
        <f t="shared" si="118"/>
        <v>-5.5984898800425427</v>
      </c>
      <c r="H48" s="27">
        <f t="shared" si="119"/>
        <v>0.42970883977422858</v>
      </c>
      <c r="I48" s="27">
        <f t="shared" si="120"/>
        <v>0.2638850864348079</v>
      </c>
      <c r="J48" s="27">
        <f t="shared" si="121"/>
        <v>-4.9048959538335026</v>
      </c>
      <c r="K48" s="27"/>
      <c r="L48" s="27">
        <f t="shared" si="122"/>
        <v>-15.095528448013425</v>
      </c>
      <c r="M48" s="27">
        <f t="shared" si="123"/>
        <v>-0.43892181112392414</v>
      </c>
      <c r="N48" s="27">
        <f t="shared" si="124"/>
        <v>1.6374571809243346</v>
      </c>
      <c r="O48" s="27">
        <f t="shared" si="125"/>
        <v>-13.896993078213015</v>
      </c>
      <c r="Q48" t="str">
        <f>$A$12</f>
        <v>Skilled trades occupations</v>
      </c>
      <c r="R48" s="27">
        <f t="shared" si="126"/>
        <v>-9.580643555921764</v>
      </c>
      <c r="S48" s="27">
        <f t="shared" si="96"/>
        <v>-0.76039855555602687</v>
      </c>
      <c r="T48" s="27">
        <f t="shared" si="97"/>
        <v>1.1984227458813539</v>
      </c>
      <c r="U48" s="27">
        <f t="shared" si="98"/>
        <v>-9.1426193655964383</v>
      </c>
      <c r="V48" s="27"/>
      <c r="W48" s="27">
        <f t="shared" si="127"/>
        <v>-5.9747412677863387</v>
      </c>
      <c r="X48" s="27">
        <f t="shared" si="99"/>
        <v>0.39109812998657301</v>
      </c>
      <c r="Y48" s="27">
        <f t="shared" si="100"/>
        <v>-0.12171024509330408</v>
      </c>
      <c r="Z48" s="27">
        <f t="shared" si="101"/>
        <v>-5.7053533828930725</v>
      </c>
      <c r="AA48" s="27"/>
      <c r="AB48" s="27">
        <f t="shared" si="128"/>
        <v>-15.555384823708103</v>
      </c>
      <c r="AC48" s="27">
        <f t="shared" si="102"/>
        <v>-0.36930042556945386</v>
      </c>
      <c r="AD48" s="27">
        <f t="shared" si="103"/>
        <v>1.0767125007880498</v>
      </c>
      <c r="AE48" s="27">
        <f t="shared" si="104"/>
        <v>-14.847972748489511</v>
      </c>
      <c r="AG48" t="str">
        <f>$A$12</f>
        <v>Skilled trades occupations</v>
      </c>
      <c r="AH48" s="27">
        <f t="shared" si="129"/>
        <v>8.3604987950906651E-2</v>
      </c>
      <c r="AI48" s="27">
        <f t="shared" si="105"/>
        <v>-0.10823209534212253</v>
      </c>
      <c r="AJ48" s="27">
        <f t="shared" si="106"/>
        <v>0.17514934860816744</v>
      </c>
      <c r="AK48" s="27">
        <f t="shared" si="107"/>
        <v>0.15052224121695179</v>
      </c>
      <c r="AL48" s="27"/>
      <c r="AM48" s="27">
        <f t="shared" si="130"/>
        <v>0.37625138774378608</v>
      </c>
      <c r="AN48" s="27">
        <f t="shared" si="108"/>
        <v>3.8610709787650466E-2</v>
      </c>
      <c r="AO48" s="27">
        <f t="shared" si="109"/>
        <v>0.38559533152811842</v>
      </c>
      <c r="AP48" s="27">
        <f t="shared" si="110"/>
        <v>0.80045742905955564</v>
      </c>
      <c r="AQ48" s="27"/>
      <c r="AR48" s="27">
        <f t="shared" si="131"/>
        <v>0.45985637569469273</v>
      </c>
      <c r="AS48" s="27">
        <f t="shared" si="111"/>
        <v>-6.9621385554472059E-2</v>
      </c>
      <c r="AT48" s="27">
        <f t="shared" si="112"/>
        <v>0.56074468013628587</v>
      </c>
      <c r="AU48" s="27">
        <f t="shared" si="113"/>
        <v>0.95097967027650743</v>
      </c>
    </row>
    <row r="49" spans="1:47" x14ac:dyDescent="0.25">
      <c r="A49" t="str">
        <f>$A$13</f>
        <v>Caring, leisure and other service occupations</v>
      </c>
      <c r="B49" s="27">
        <f t="shared" si="114"/>
        <v>-0.17139992644256807</v>
      </c>
      <c r="C49" s="27">
        <f t="shared" si="115"/>
        <v>-0.20961858588960425</v>
      </c>
      <c r="D49" s="27">
        <f t="shared" si="116"/>
        <v>-0.68653067014469249</v>
      </c>
      <c r="E49" s="27">
        <f t="shared" si="117"/>
        <v>-1.067549182476867</v>
      </c>
      <c r="F49" s="27"/>
      <c r="G49" s="27">
        <f t="shared" si="118"/>
        <v>5.0845932595799077</v>
      </c>
      <c r="H49" s="27">
        <f t="shared" si="119"/>
        <v>2.173705583058652</v>
      </c>
      <c r="I49" s="27">
        <f t="shared" si="120"/>
        <v>0.99418781908258191</v>
      </c>
      <c r="J49" s="27">
        <f t="shared" si="121"/>
        <v>8.252486661721143</v>
      </c>
      <c r="K49" s="27"/>
      <c r="L49" s="27">
        <f t="shared" si="122"/>
        <v>4.9131933331373396</v>
      </c>
      <c r="M49" s="27">
        <f t="shared" si="123"/>
        <v>1.9640869971690478</v>
      </c>
      <c r="N49" s="27">
        <f t="shared" si="124"/>
        <v>0.30765714893788942</v>
      </c>
      <c r="O49" s="27">
        <f t="shared" si="125"/>
        <v>7.1849374792442759</v>
      </c>
      <c r="Q49" t="str">
        <f>$A$13</f>
        <v>Caring, leisure and other service occupations</v>
      </c>
      <c r="R49" s="27">
        <f t="shared" si="126"/>
        <v>-0.48220898316349725</v>
      </c>
      <c r="S49" s="27">
        <f t="shared" si="96"/>
        <v>0.19298858344407055</v>
      </c>
      <c r="T49" s="27">
        <f t="shared" si="97"/>
        <v>3.9557220827355355E-3</v>
      </c>
      <c r="U49" s="27">
        <f t="shared" si="98"/>
        <v>-0.28526467763669139</v>
      </c>
      <c r="V49" s="27"/>
      <c r="W49" s="27">
        <f t="shared" si="127"/>
        <v>1.0106910831619667</v>
      </c>
      <c r="X49" s="27">
        <f t="shared" si="99"/>
        <v>0.48333297796425656</v>
      </c>
      <c r="Y49" s="27">
        <f t="shared" si="100"/>
        <v>0.37014110624200036</v>
      </c>
      <c r="Z49" s="27">
        <f t="shared" si="101"/>
        <v>1.8641651673682249</v>
      </c>
      <c r="AA49" s="27"/>
      <c r="AB49" s="27">
        <f t="shared" si="128"/>
        <v>0.5284820999984694</v>
      </c>
      <c r="AC49" s="27">
        <f t="shared" si="102"/>
        <v>0.67632156140832711</v>
      </c>
      <c r="AD49" s="27">
        <f t="shared" si="103"/>
        <v>0.3740968283247359</v>
      </c>
      <c r="AE49" s="27">
        <f t="shared" si="104"/>
        <v>1.5789004897315335</v>
      </c>
      <c r="AG49" t="str">
        <f>$A$13</f>
        <v>Caring, leisure and other service occupations</v>
      </c>
      <c r="AH49" s="27">
        <f t="shared" si="129"/>
        <v>0.3108090567209274</v>
      </c>
      <c r="AI49" s="27">
        <f t="shared" si="105"/>
        <v>-0.40260716933368101</v>
      </c>
      <c r="AJ49" s="27">
        <f t="shared" si="106"/>
        <v>-0.6904863922274278</v>
      </c>
      <c r="AK49" s="27">
        <f t="shared" si="107"/>
        <v>-0.78228450484017742</v>
      </c>
      <c r="AL49" s="27"/>
      <c r="AM49" s="27">
        <f t="shared" si="130"/>
        <v>4.0739021764179419</v>
      </c>
      <c r="AN49" s="27">
        <f t="shared" si="108"/>
        <v>1.6903726050943924</v>
      </c>
      <c r="AO49" s="27">
        <f t="shared" si="109"/>
        <v>0.62404671284058066</v>
      </c>
      <c r="AP49" s="27">
        <f t="shared" si="110"/>
        <v>6.3883214943529083</v>
      </c>
      <c r="AQ49" s="27"/>
      <c r="AR49" s="27">
        <f t="shared" si="131"/>
        <v>4.3847112331388693</v>
      </c>
      <c r="AS49" s="27">
        <f t="shared" si="111"/>
        <v>1.2877654357607113</v>
      </c>
      <c r="AT49" s="27">
        <f t="shared" si="112"/>
        <v>-6.6439679386847139E-2</v>
      </c>
      <c r="AU49" s="27">
        <f t="shared" si="113"/>
        <v>5.6060369895127309</v>
      </c>
    </row>
    <row r="50" spans="1:47" x14ac:dyDescent="0.25">
      <c r="A50" t="str">
        <f>$A$14</f>
        <v>Sales and customer service occupations</v>
      </c>
      <c r="B50" s="27">
        <f t="shared" si="114"/>
        <v>-1.6868967230127154</v>
      </c>
      <c r="C50" s="27">
        <f t="shared" si="115"/>
        <v>-1.3768348250918905</v>
      </c>
      <c r="D50" s="27">
        <f t="shared" si="116"/>
        <v>-0.93912070675621506</v>
      </c>
      <c r="E50" s="27">
        <f t="shared" si="117"/>
        <v>-4.0028522548608194</v>
      </c>
      <c r="F50" s="27"/>
      <c r="G50" s="27">
        <f t="shared" si="118"/>
        <v>0.48908828824994188</v>
      </c>
      <c r="H50" s="27">
        <f t="shared" si="119"/>
        <v>-0.14828529621051345</v>
      </c>
      <c r="I50" s="27">
        <f t="shared" si="120"/>
        <v>-0.23955882090058211</v>
      </c>
      <c r="J50" s="27">
        <f t="shared" si="121"/>
        <v>0.10124417113884476</v>
      </c>
      <c r="K50" s="27"/>
      <c r="L50" s="27">
        <f t="shared" si="122"/>
        <v>-1.1978084347627735</v>
      </c>
      <c r="M50" s="27">
        <f t="shared" si="123"/>
        <v>-1.5251201213024039</v>
      </c>
      <c r="N50" s="27">
        <f t="shared" si="124"/>
        <v>-1.1786795276567972</v>
      </c>
      <c r="O50" s="27">
        <f t="shared" si="125"/>
        <v>-3.9016080837219747</v>
      </c>
      <c r="Q50" t="str">
        <f>$A$14</f>
        <v>Sales and customer service occupations</v>
      </c>
      <c r="R50" s="27">
        <f t="shared" si="126"/>
        <v>-0.9026804633667469</v>
      </c>
      <c r="S50" s="27">
        <f t="shared" si="96"/>
        <v>0.54584554253067097</v>
      </c>
      <c r="T50" s="27">
        <f t="shared" si="97"/>
        <v>-0.67104828288247709</v>
      </c>
      <c r="U50" s="27">
        <f t="shared" si="98"/>
        <v>-1.0278832037185524</v>
      </c>
      <c r="V50" s="27"/>
      <c r="W50" s="27">
        <f t="shared" si="127"/>
        <v>0.67804883230475443</v>
      </c>
      <c r="X50" s="27">
        <f t="shared" si="99"/>
        <v>0.37036862754620969</v>
      </c>
      <c r="Y50" s="27">
        <f t="shared" si="100"/>
        <v>-0.12962101299001672</v>
      </c>
      <c r="Z50" s="27">
        <f t="shared" si="101"/>
        <v>0.91879644686094863</v>
      </c>
      <c r="AA50" s="27"/>
      <c r="AB50" s="27">
        <f t="shared" si="128"/>
        <v>-0.22463163106199246</v>
      </c>
      <c r="AC50" s="27">
        <f t="shared" si="102"/>
        <v>0.91621417007688066</v>
      </c>
      <c r="AD50" s="27">
        <f t="shared" si="103"/>
        <v>-0.8006692958724938</v>
      </c>
      <c r="AE50" s="27">
        <f t="shared" si="104"/>
        <v>-0.10908675685760372</v>
      </c>
      <c r="AG50" t="str">
        <f>$A$14</f>
        <v>Sales and customer service occupations</v>
      </c>
      <c r="AH50" s="27">
        <f t="shared" si="129"/>
        <v>-0.7842162596459703</v>
      </c>
      <c r="AI50" s="27">
        <f t="shared" si="105"/>
        <v>-1.9226803676225863</v>
      </c>
      <c r="AJ50" s="27">
        <f t="shared" si="106"/>
        <v>-0.26807242387373609</v>
      </c>
      <c r="AK50" s="27">
        <f t="shared" si="107"/>
        <v>-2.9749690511422919</v>
      </c>
      <c r="AL50" s="27"/>
      <c r="AM50" s="27">
        <f t="shared" si="130"/>
        <v>-0.18896054405481078</v>
      </c>
      <c r="AN50" s="27">
        <f t="shared" si="108"/>
        <v>-0.51865392375668584</v>
      </c>
      <c r="AO50" s="27">
        <f t="shared" si="109"/>
        <v>-0.10993780791056751</v>
      </c>
      <c r="AP50" s="27">
        <f t="shared" si="110"/>
        <v>-0.81755227572206124</v>
      </c>
      <c r="AQ50" s="27"/>
      <c r="AR50" s="27">
        <f t="shared" si="131"/>
        <v>-0.97317680370078108</v>
      </c>
      <c r="AS50" s="27">
        <f t="shared" si="111"/>
        <v>-2.4413342913792722</v>
      </c>
      <c r="AT50" s="27">
        <f t="shared" si="112"/>
        <v>-0.3780102317843036</v>
      </c>
      <c r="AU50" s="27">
        <f t="shared" si="113"/>
        <v>-3.7925213268643532</v>
      </c>
    </row>
    <row r="51" spans="1:47" x14ac:dyDescent="0.25">
      <c r="A51" t="str">
        <f>$A$15</f>
        <v>Process, plant and machine operatives</v>
      </c>
      <c r="B51" s="27">
        <f t="shared" si="114"/>
        <v>-8.8577015333257414</v>
      </c>
      <c r="C51" s="27">
        <f t="shared" si="115"/>
        <v>1.3804282835196799</v>
      </c>
      <c r="D51" s="27">
        <f t="shared" si="116"/>
        <v>0.60434448931047857</v>
      </c>
      <c r="E51" s="27">
        <f t="shared" si="117"/>
        <v>-6.8729287604955829</v>
      </c>
      <c r="F51" s="27"/>
      <c r="G51" s="27">
        <f t="shared" si="118"/>
        <v>1.9455585623120939</v>
      </c>
      <c r="H51" s="27">
        <f t="shared" si="119"/>
        <v>1.8180432163407607</v>
      </c>
      <c r="I51" s="27">
        <f t="shared" si="120"/>
        <v>1.4355637975039279</v>
      </c>
      <c r="J51" s="27">
        <f t="shared" si="121"/>
        <v>5.1991655761567799</v>
      </c>
      <c r="K51" s="27"/>
      <c r="L51" s="27">
        <f t="shared" si="122"/>
        <v>-6.9121429710136475</v>
      </c>
      <c r="M51" s="27">
        <f t="shared" si="123"/>
        <v>3.1984714998604407</v>
      </c>
      <c r="N51" s="27">
        <f t="shared" si="124"/>
        <v>2.0399082868144065</v>
      </c>
      <c r="O51" s="27">
        <f t="shared" si="125"/>
        <v>-1.673763184338803</v>
      </c>
      <c r="Q51" t="str">
        <f>$A$15</f>
        <v>Process, plant and machine operatives</v>
      </c>
      <c r="R51" s="27">
        <f t="shared" si="126"/>
        <v>-8.1048448053321209</v>
      </c>
      <c r="S51" s="27">
        <f t="shared" si="96"/>
        <v>1.2997888446517867</v>
      </c>
      <c r="T51" s="27">
        <f t="shared" si="97"/>
        <v>0.47516152750368512</v>
      </c>
      <c r="U51" s="27">
        <f t="shared" si="98"/>
        <v>-6.3298944331766478</v>
      </c>
      <c r="V51" s="27"/>
      <c r="W51" s="27">
        <f t="shared" si="127"/>
        <v>1.1328421579849817</v>
      </c>
      <c r="X51" s="27">
        <f t="shared" si="99"/>
        <v>0.73442499821470619</v>
      </c>
      <c r="Y51" s="27">
        <f t="shared" si="100"/>
        <v>1.3619325616537186</v>
      </c>
      <c r="Z51" s="27">
        <f t="shared" si="101"/>
        <v>3.2291997178534046</v>
      </c>
      <c r="AA51" s="27"/>
      <c r="AB51" s="27">
        <f t="shared" si="128"/>
        <v>-6.9720026473471393</v>
      </c>
      <c r="AC51" s="27">
        <f t="shared" si="102"/>
        <v>2.0342138428664929</v>
      </c>
      <c r="AD51" s="27">
        <f t="shared" si="103"/>
        <v>1.8370940891574037</v>
      </c>
      <c r="AE51" s="27">
        <f t="shared" si="104"/>
        <v>-3.1006947153232431</v>
      </c>
      <c r="AG51" t="str">
        <f>$A$15</f>
        <v>Process, plant and machine operatives</v>
      </c>
      <c r="AH51" s="27">
        <f t="shared" si="129"/>
        <v>-0.75285672799362224</v>
      </c>
      <c r="AI51" s="27">
        <f t="shared" si="105"/>
        <v>8.0639438867898594E-2</v>
      </c>
      <c r="AJ51" s="27">
        <f t="shared" si="106"/>
        <v>0.12918296180679306</v>
      </c>
      <c r="AK51" s="27">
        <f t="shared" si="107"/>
        <v>-0.54303432731893153</v>
      </c>
      <c r="AL51" s="27"/>
      <c r="AM51" s="27">
        <f t="shared" si="130"/>
        <v>0.8127164043271029</v>
      </c>
      <c r="AN51" s="27">
        <f t="shared" si="108"/>
        <v>1.0836182181260519</v>
      </c>
      <c r="AO51" s="27">
        <f t="shared" si="109"/>
        <v>7.3631235850208365E-2</v>
      </c>
      <c r="AP51" s="27">
        <f t="shared" si="110"/>
        <v>1.9699658583033637</v>
      </c>
      <c r="AQ51" s="27"/>
      <c r="AR51" s="27">
        <f t="shared" si="131"/>
        <v>5.985967633348066E-2</v>
      </c>
      <c r="AS51" s="27">
        <f t="shared" si="111"/>
        <v>1.1642576569939505</v>
      </c>
      <c r="AT51" s="27">
        <f t="shared" si="112"/>
        <v>0.20281419765700143</v>
      </c>
      <c r="AU51" s="27">
        <f t="shared" si="113"/>
        <v>1.4269315309844322</v>
      </c>
    </row>
    <row r="52" spans="1:47" x14ac:dyDescent="0.25">
      <c r="A52" t="str">
        <f>$A$16</f>
        <v>Elementary occupations</v>
      </c>
      <c r="B52" s="27">
        <f t="shared" si="114"/>
        <v>-5.9946541385723684</v>
      </c>
      <c r="C52" s="27">
        <f t="shared" si="115"/>
        <v>-3.7366813818783378</v>
      </c>
      <c r="D52" s="27">
        <f t="shared" si="116"/>
        <v>-0.85184888738724052</v>
      </c>
      <c r="E52" s="27">
        <f t="shared" si="117"/>
        <v>-10.583184407837948</v>
      </c>
      <c r="F52" s="27"/>
      <c r="G52" s="27">
        <f t="shared" si="118"/>
        <v>-1.7894245272564504</v>
      </c>
      <c r="H52" s="27">
        <f t="shared" si="119"/>
        <v>-3.7496626655198142</v>
      </c>
      <c r="I52" s="27">
        <f t="shared" si="120"/>
        <v>1.277054557211577</v>
      </c>
      <c r="J52" s="27">
        <f t="shared" si="121"/>
        <v>-4.2620326355646938</v>
      </c>
      <c r="K52" s="27"/>
      <c r="L52" s="27">
        <f t="shared" si="122"/>
        <v>-7.7840786658288188</v>
      </c>
      <c r="M52" s="27">
        <f t="shared" si="123"/>
        <v>-7.486344047398152</v>
      </c>
      <c r="N52" s="27">
        <f t="shared" si="124"/>
        <v>0.4252056698243365</v>
      </c>
      <c r="O52" s="27">
        <f t="shared" si="125"/>
        <v>-14.845217043402641</v>
      </c>
      <c r="Q52" t="str">
        <f>$A$16</f>
        <v>Elementary occupations</v>
      </c>
      <c r="R52" s="27">
        <f t="shared" si="126"/>
        <v>-5.0317059184422721</v>
      </c>
      <c r="S52" s="27">
        <f t="shared" si="96"/>
        <v>-1.2281984400805541</v>
      </c>
      <c r="T52" s="27">
        <f t="shared" si="97"/>
        <v>-0.42430125288671405</v>
      </c>
      <c r="U52" s="27">
        <f t="shared" si="98"/>
        <v>-6.6842056114095385</v>
      </c>
      <c r="V52" s="27"/>
      <c r="W52" s="27">
        <f t="shared" si="127"/>
        <v>-1.535957556056756</v>
      </c>
      <c r="X52" s="27">
        <f t="shared" si="99"/>
        <v>-0.83955376205767074</v>
      </c>
      <c r="Y52" s="27">
        <f t="shared" si="100"/>
        <v>0.92185773259826753</v>
      </c>
      <c r="Z52" s="27">
        <f t="shared" si="101"/>
        <v>-1.453653585516161</v>
      </c>
      <c r="AA52" s="27"/>
      <c r="AB52" s="27">
        <f t="shared" si="128"/>
        <v>-6.5676634744990281</v>
      </c>
      <c r="AC52" s="27">
        <f t="shared" si="102"/>
        <v>-2.0677522021382249</v>
      </c>
      <c r="AD52" s="27">
        <f t="shared" si="103"/>
        <v>0.49755647971155348</v>
      </c>
      <c r="AE52" s="27">
        <f t="shared" si="104"/>
        <v>-8.1378591969256995</v>
      </c>
      <c r="AG52" t="str">
        <f>$A$16</f>
        <v>Elementary occupations</v>
      </c>
      <c r="AH52" s="27">
        <f t="shared" si="129"/>
        <v>-0.96294822013010783</v>
      </c>
      <c r="AI52" s="27">
        <f t="shared" si="105"/>
        <v>-2.5084829417977748</v>
      </c>
      <c r="AJ52" s="27">
        <f t="shared" si="106"/>
        <v>-0.42754763450052913</v>
      </c>
      <c r="AK52" s="27">
        <f t="shared" si="107"/>
        <v>-3.8989787964284126</v>
      </c>
      <c r="AL52" s="27"/>
      <c r="AM52" s="27">
        <f t="shared" si="130"/>
        <v>-0.25346697119968908</v>
      </c>
      <c r="AN52" s="27">
        <f t="shared" si="108"/>
        <v>-2.9101089034621488</v>
      </c>
      <c r="AO52" s="27">
        <f t="shared" si="109"/>
        <v>0.35519682461331215</v>
      </c>
      <c r="AP52" s="27">
        <f t="shared" si="110"/>
        <v>-2.8083790500485257</v>
      </c>
      <c r="AQ52" s="27"/>
      <c r="AR52" s="27">
        <f t="shared" si="131"/>
        <v>-1.2164151913297969</v>
      </c>
      <c r="AS52" s="27">
        <f t="shared" si="111"/>
        <v>-5.4185918452599235</v>
      </c>
      <c r="AT52" s="27">
        <f t="shared" si="112"/>
        <v>-7.2350809887216982E-2</v>
      </c>
      <c r="AU52" s="27">
        <f t="shared" si="113"/>
        <v>-6.7073578464769383</v>
      </c>
    </row>
    <row r="53" spans="1:47" x14ac:dyDescent="0.25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5">
      <c r="A54" s="24" t="str">
        <f>$A$18</f>
        <v>All occupations</v>
      </c>
      <c r="B54" s="29">
        <f t="shared" si="114"/>
        <v>-12.592588869495614</v>
      </c>
      <c r="C54" s="29">
        <f t="shared" si="115"/>
        <v>2.7438885533029236</v>
      </c>
      <c r="D54" s="29">
        <f t="shared" si="116"/>
        <v>0.4807003161928165</v>
      </c>
      <c r="E54" s="29">
        <f t="shared" si="117"/>
        <v>-9.3679999999998813</v>
      </c>
      <c r="F54" s="29"/>
      <c r="G54" s="29">
        <f t="shared" si="118"/>
        <v>16.705737561308013</v>
      </c>
      <c r="H54" s="29">
        <f t="shared" si="119"/>
        <v>5.4414372900587011</v>
      </c>
      <c r="I54" s="29">
        <f t="shared" si="120"/>
        <v>3.6028251486330234</v>
      </c>
      <c r="J54" s="29">
        <f t="shared" si="121"/>
        <v>25.749999999999773</v>
      </c>
      <c r="K54" s="29"/>
      <c r="L54" s="29">
        <f t="shared" si="122"/>
        <v>4.1131486918123983</v>
      </c>
      <c r="M54" s="29">
        <f t="shared" si="123"/>
        <v>8.1853258433616247</v>
      </c>
      <c r="N54" s="29">
        <f t="shared" si="124"/>
        <v>4.0835254648258399</v>
      </c>
      <c r="O54" s="29">
        <f t="shared" si="125"/>
        <v>16.381999999999891</v>
      </c>
      <c r="Q54" s="24" t="str">
        <f>$A$18</f>
        <v>All occupations</v>
      </c>
      <c r="R54" s="29">
        <f t="shared" ref="R54" si="132">W18-R18</f>
        <v>-18.751652551322394</v>
      </c>
      <c r="S54" s="29">
        <f t="shared" ref="S54" si="133">X18-S18</f>
        <v>3.8862133393329401</v>
      </c>
      <c r="T54" s="29">
        <f t="shared" ref="T54" si="134">Y18-T18</f>
        <v>1.4918411409247483</v>
      </c>
      <c r="U54" s="29">
        <f t="shared" ref="U54" si="135">Z18-U18</f>
        <v>-13.373598071064748</v>
      </c>
      <c r="V54" s="29"/>
      <c r="W54" s="29">
        <f t="shared" ref="W54" si="136">AB18-W18</f>
        <v>2.3658431655639731</v>
      </c>
      <c r="X54" s="29">
        <f t="shared" ref="X54" si="137">AC18-X18</f>
        <v>3.7626028733645285</v>
      </c>
      <c r="Y54" s="29">
        <f t="shared" ref="Y54" si="138">AD18-Y18</f>
        <v>2.2166175641598116</v>
      </c>
      <c r="Z54" s="29">
        <f t="shared" ref="Z54" si="139">AE18-Z18</f>
        <v>8.3450636030883629</v>
      </c>
      <c r="AA54" s="29"/>
      <c r="AB54" s="29">
        <f t="shared" ref="AB54" si="140">AB18-R18</f>
        <v>-16.385809385758421</v>
      </c>
      <c r="AC54" s="29">
        <f t="shared" ref="AC54" si="141">AC18-S18</f>
        <v>7.6488162126974686</v>
      </c>
      <c r="AD54" s="29">
        <f t="shared" ref="AD54" si="142">AD18-T18</f>
        <v>3.7084587050845599</v>
      </c>
      <c r="AE54" s="29">
        <f t="shared" ref="AE54" si="143">AE18-U18</f>
        <v>-5.0285344679763853</v>
      </c>
      <c r="AG54" s="24" t="str">
        <f>$A$18</f>
        <v>All occupations</v>
      </c>
      <c r="AH54" s="29">
        <f t="shared" ref="AH54" si="144">AM18-AH18</f>
        <v>6.1590636818267654</v>
      </c>
      <c r="AI54" s="29">
        <f t="shared" ref="AI54" si="145">AN18-AI18</f>
        <v>-1.1423247860300307</v>
      </c>
      <c r="AJ54" s="29">
        <f t="shared" ref="AJ54" si="146">AO18-AJ18</f>
        <v>-1.0111408247319531</v>
      </c>
      <c r="AK54" s="29">
        <f t="shared" ref="AK54" si="147">AP18-AK18</f>
        <v>4.0055980710647816</v>
      </c>
      <c r="AL54" s="29"/>
      <c r="AM54" s="29">
        <f t="shared" ref="AM54" si="148">AR18-AM18</f>
        <v>14.339894395744011</v>
      </c>
      <c r="AN54" s="29">
        <f t="shared" ref="AN54" si="149">AS18-AN18</f>
        <v>1.6788344166941727</v>
      </c>
      <c r="AO54" s="29">
        <f t="shared" ref="AO54" si="150">AT18-AO18</f>
        <v>1.3862075844732225</v>
      </c>
      <c r="AP54" s="29">
        <f t="shared" ref="AP54" si="151">AU18-AP18</f>
        <v>17.404936396911438</v>
      </c>
      <c r="AQ54" s="29"/>
      <c r="AR54" s="29">
        <f t="shared" ref="AR54" si="152">AR18-AH18</f>
        <v>20.498958077570776</v>
      </c>
      <c r="AS54" s="29">
        <f t="shared" ref="AS54" si="153">AS18-AI18</f>
        <v>0.53650963066414192</v>
      </c>
      <c r="AT54" s="29">
        <f t="shared" ref="AT54" si="154">AT18-AJ18</f>
        <v>0.37506675974126935</v>
      </c>
      <c r="AU54" s="29">
        <f t="shared" ref="AU54" si="155">AU18-AK18</f>
        <v>21.41053446797622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57" bestFit="1" customWidth="1"/>
    <col min="2" max="9" width="9.1796875" style="157"/>
    <col min="10" max="10" width="17.54296875" style="157" customWidth="1"/>
    <col min="11" max="11" width="8.26953125" style="157" customWidth="1"/>
    <col min="12" max="12" width="52.7265625" style="91" customWidth="1"/>
    <col min="13" max="14" width="10.1796875" style="91" customWidth="1"/>
    <col min="15" max="16384" width="9.1796875" style="91"/>
  </cols>
  <sheetData>
    <row r="1" spans="1:14" ht="15.5" x14ac:dyDescent="0.35">
      <c r="A1" s="156" t="str">
        <f>CONCATENATE("Occupation Figure 1  Growth in Employment by Occupation (SOC 2020), ",M6," and ",N6,", ",Info!B5)</f>
        <v>Occupation Figure 1  Growth in Employment by Occupation (SOC 2020), 2015-2020 and 2020-2035, Black Country</v>
      </c>
    </row>
    <row r="2" spans="1:14" ht="13" x14ac:dyDescent="0.3">
      <c r="A2" s="364" t="s">
        <v>523</v>
      </c>
    </row>
    <row r="3" spans="1:14" ht="13" x14ac:dyDescent="0.3">
      <c r="L3" s="158" t="s">
        <v>428</v>
      </c>
    </row>
    <row r="5" spans="1:14" ht="13" x14ac:dyDescent="0.3">
      <c r="L5" s="122" t="s">
        <v>411</v>
      </c>
    </row>
    <row r="6" spans="1:14" x14ac:dyDescent="0.25">
      <c r="M6" s="178" t="str">
        <f>'Occ T2'!H151</f>
        <v>2015-2020</v>
      </c>
      <c r="N6" s="178" t="str">
        <f>'Occ T2'!I151</f>
        <v>2020-2035</v>
      </c>
    </row>
    <row r="7" spans="1:14" ht="13" x14ac:dyDescent="0.3">
      <c r="L7" s="114" t="str">
        <f>'Occ T3'!A51</f>
        <v>All occupations</v>
      </c>
      <c r="M7" s="91">
        <f>'Occ T2'!H180</f>
        <v>-0.37337526450476055</v>
      </c>
      <c r="N7" s="91">
        <f>'Occ T2'!I180</f>
        <v>0.33785827979151417</v>
      </c>
    </row>
    <row r="8" spans="1:14" ht="13" x14ac:dyDescent="0.3">
      <c r="L8" s="114"/>
    </row>
    <row r="9" spans="1:14" x14ac:dyDescent="0.25">
      <c r="L9" s="91" t="str">
        <f>'Occ T3'!A49</f>
        <v>92 Elementary administration and service occupations</v>
      </c>
      <c r="M9" s="91">
        <f>'Occ T2'!H178</f>
        <v>-3.6622466247607899</v>
      </c>
      <c r="N9" s="91">
        <f>'Occ T2'!I178</f>
        <v>-0.4529250948293595</v>
      </c>
    </row>
    <row r="10" spans="1:14" x14ac:dyDescent="0.25">
      <c r="L10" s="91" t="str">
        <f>'Occ T3'!A48</f>
        <v>91 Elementary trades and related occupations</v>
      </c>
      <c r="M10" s="91">
        <f>'Occ T2'!H177</f>
        <v>-5.5314923934030924</v>
      </c>
      <c r="N10" s="91">
        <f>'Occ T2'!I177</f>
        <v>-1.5238581822931807</v>
      </c>
    </row>
    <row r="11" spans="1:14" ht="13" x14ac:dyDescent="0.3">
      <c r="L11" s="114" t="str">
        <f>"["&amp;'Occ T3'!A47&amp;"]"</f>
        <v>[Elementary occupations]</v>
      </c>
      <c r="M11" s="91">
        <f>'Occ T1'!H88</f>
        <v>-4.0276415475848264</v>
      </c>
      <c r="N11" s="91">
        <f>'Occ T1'!I88</f>
        <v>-0.64061251803311237</v>
      </c>
    </row>
    <row r="12" spans="1:14" ht="13" x14ac:dyDescent="0.3">
      <c r="L12" s="114"/>
    </row>
    <row r="13" spans="1:14" x14ac:dyDescent="0.25">
      <c r="L13" s="91" t="str">
        <f>'Occ T3'!A45</f>
        <v>82 Transport and mobile machine drivers and operatives</v>
      </c>
      <c r="M13" s="91">
        <f>'Occ T2'!H176</f>
        <v>-1.8689250007423386</v>
      </c>
      <c r="N13" s="91">
        <f>'Occ T2'!I176</f>
        <v>0.63943799718395589</v>
      </c>
    </row>
    <row r="14" spans="1:14" x14ac:dyDescent="0.25">
      <c r="L14" s="91" t="str">
        <f>'Occ T3'!A44</f>
        <v>81 Process, plant and machine operatives</v>
      </c>
      <c r="M14" s="91">
        <f>'Occ T2'!H175</f>
        <v>-4.4666441857345696</v>
      </c>
      <c r="N14" s="91">
        <f>'Occ T2'!I175</f>
        <v>1.015315128919303</v>
      </c>
    </row>
    <row r="15" spans="1:14" ht="13" x14ac:dyDescent="0.3">
      <c r="L15" s="114" t="str">
        <f>"["&amp;'Occ T3'!A43&amp;"]"</f>
        <v>[Process, plant and machine operatives]</v>
      </c>
      <c r="M15" s="91">
        <f>'Occ T1'!H87</f>
        <v>-3.1025589234831674</v>
      </c>
      <c r="N15" s="91">
        <f>'Occ T1'!I87</f>
        <v>0.81284590388843725</v>
      </c>
    </row>
    <row r="16" spans="1:14" ht="13" x14ac:dyDescent="0.3">
      <c r="L16" s="114"/>
    </row>
    <row r="17" spans="12:14" x14ac:dyDescent="0.25">
      <c r="L17" s="91" t="str">
        <f>'Occ T3'!A41</f>
        <v>72 Customer service occupations</v>
      </c>
      <c r="M17" s="91">
        <f>'Occ T2'!H174</f>
        <v>6.4041828574912252E-2</v>
      </c>
      <c r="N17" s="91">
        <f>'Occ T2'!I174</f>
        <v>2.6209318608694021</v>
      </c>
    </row>
    <row r="18" spans="12:14" x14ac:dyDescent="0.25">
      <c r="L18" s="91" t="str">
        <f>'Occ T3'!A40</f>
        <v>71 Sales occupations</v>
      </c>
      <c r="M18" s="91">
        <f>'Occ T2'!H173</f>
        <v>-2.4758492005482191</v>
      </c>
      <c r="N18" s="91">
        <f>'Occ T2'!I173</f>
        <v>-0.99918943505745705</v>
      </c>
    </row>
    <row r="19" spans="12:14" ht="13" x14ac:dyDescent="0.3">
      <c r="L19" s="114" t="str">
        <f>"["&amp;'Occ T3'!A39&amp;"]"</f>
        <v>[Sales and customer service occupations]</v>
      </c>
      <c r="M19" s="91">
        <f>'Occ T1'!H86</f>
        <v>-1.9207405214853979</v>
      </c>
      <c r="N19" s="91">
        <f>'Occ T1'!I86</f>
        <v>1.7149769261126657E-2</v>
      </c>
    </row>
    <row r="20" spans="12:14" ht="13" x14ac:dyDescent="0.3">
      <c r="L20" s="114"/>
    </row>
    <row r="21" spans="12:14" x14ac:dyDescent="0.25">
      <c r="L21" s="107" t="str">
        <f>'Occ T3'!A37</f>
        <v>63 Community and civil enforcement occupations</v>
      </c>
      <c r="M21" s="91">
        <f>'Occ T2'!H172</f>
        <v>0.50276623722214087</v>
      </c>
      <c r="N21" s="91">
        <f>'Occ T2'!I172</f>
        <v>-0.59586355601790597</v>
      </c>
    </row>
    <row r="22" spans="12:14" x14ac:dyDescent="0.25">
      <c r="L22" s="91" t="str">
        <f>'Occ T3'!A36</f>
        <v>62 Leisure, travel and related personal service occupations</v>
      </c>
      <c r="M22" s="91">
        <f>'Occ T2'!H171</f>
        <v>-4.4462029664625309</v>
      </c>
      <c r="N22" s="91">
        <f>'Occ T2'!I171</f>
        <v>0.20906693595830195</v>
      </c>
    </row>
    <row r="23" spans="12:14" x14ac:dyDescent="0.25">
      <c r="L23" s="91" t="str">
        <f>'Occ T3'!A35</f>
        <v>61 Caring personal service occupations</v>
      </c>
      <c r="M23" s="91">
        <f>'Occ T2'!H170</f>
        <v>0.64361733842834834</v>
      </c>
      <c r="N23" s="91">
        <f>'Occ T2'!I170</f>
        <v>1.2284736216228387</v>
      </c>
    </row>
    <row r="24" spans="12:14" ht="13" x14ac:dyDescent="0.3">
      <c r="L24" s="114" t="str">
        <f>"["&amp;'Occ T3'!A34&amp;"]"</f>
        <v>[Caring, leisure and other service occupations]</v>
      </c>
      <c r="M24" s="91">
        <f>'Occ T1'!H85</f>
        <v>-0.42659864220010446</v>
      </c>
      <c r="N24" s="91">
        <f>'Occ T1'!I85</f>
        <v>1.0350002614567977</v>
      </c>
    </row>
    <row r="25" spans="12:14" ht="13" x14ac:dyDescent="0.3">
      <c r="L25" s="114"/>
    </row>
    <row r="26" spans="12:14" x14ac:dyDescent="0.25">
      <c r="L26" s="91" t="str">
        <f>'Occ T3'!A32</f>
        <v>54 Textiles, printing and other skilled trades</v>
      </c>
      <c r="M26" s="91">
        <f>'Occ T2'!H169</f>
        <v>-2.8905948066148546</v>
      </c>
      <c r="N26" s="91">
        <f>'Occ T2'!I169</f>
        <v>-0.72646798716868854</v>
      </c>
    </row>
    <row r="27" spans="12:14" x14ac:dyDescent="0.25">
      <c r="L27" s="91" t="str">
        <f>'Occ T3'!A31</f>
        <v>53 Skilled construction and building trades</v>
      </c>
      <c r="M27" s="91">
        <f>'Occ T2'!H168</f>
        <v>-1.3669735552202855</v>
      </c>
      <c r="N27" s="91">
        <f>'Occ T2'!I168</f>
        <v>-0.84160253337166591</v>
      </c>
    </row>
    <row r="28" spans="12:14" x14ac:dyDescent="0.25">
      <c r="L28" s="91" t="str">
        <f>'Occ T3'!A30</f>
        <v>52 Skilled metal, electrical and electronic trades</v>
      </c>
      <c r="M28" s="91">
        <f>'Occ T2'!H167</f>
        <v>-4.0009482738341262</v>
      </c>
      <c r="N28" s="91">
        <f>'Occ T2'!I167</f>
        <v>-0.75004388141534095</v>
      </c>
    </row>
    <row r="29" spans="12:14" x14ac:dyDescent="0.25">
      <c r="L29" s="91" t="str">
        <f>'Occ T3'!A29</f>
        <v>51 Skilled agricultural and related trades</v>
      </c>
      <c r="M29" s="91">
        <f>'Occ T2'!H166</f>
        <v>-5.9577859556225743</v>
      </c>
      <c r="N29" s="91">
        <f>'Occ T2'!I166</f>
        <v>1.027645973990321</v>
      </c>
    </row>
    <row r="30" spans="12:14" ht="13" x14ac:dyDescent="0.3">
      <c r="L30" s="114" t="str">
        <f>"["&amp;'Occ T3'!A28&amp;"]"</f>
        <v>[Skilled trades occupations]</v>
      </c>
      <c r="M30" s="91">
        <f>'Occ T1'!H84</f>
        <v>-3.1229162525711396</v>
      </c>
      <c r="N30" s="91">
        <f>'Occ T1'!I84</f>
        <v>-0.65427900649316362</v>
      </c>
    </row>
    <row r="31" spans="12:14" ht="13" x14ac:dyDescent="0.3">
      <c r="L31" s="114"/>
    </row>
    <row r="32" spans="12:14" x14ac:dyDescent="0.25">
      <c r="L32" s="91" t="str">
        <f>'Occ T3'!A26</f>
        <v>42 Secretarial and related occupations</v>
      </c>
      <c r="M32" s="91">
        <f>'Occ T2'!H165</f>
        <v>-3.3252465421505062</v>
      </c>
      <c r="N32" s="91">
        <f>'Occ T2'!I165</f>
        <v>-2.3115432204955932</v>
      </c>
    </row>
    <row r="33" spans="12:14" x14ac:dyDescent="0.25">
      <c r="L33" s="91" t="str">
        <f>'Occ T3'!A25</f>
        <v>41 Administrative occupations</v>
      </c>
      <c r="M33" s="91">
        <f>'Occ T2'!H164</f>
        <v>-0.75235063022514037</v>
      </c>
      <c r="N33" s="91">
        <f>'Occ T2'!I164</f>
        <v>-0.85348650079991595</v>
      </c>
    </row>
    <row r="34" spans="12:14" ht="13" x14ac:dyDescent="0.3">
      <c r="L34" s="114" t="str">
        <f>"["&amp;'Occ T3'!A24&amp;"]"</f>
        <v>[Administrative and secretarial occupations]</v>
      </c>
      <c r="M34" s="91">
        <f>'Occ T1'!H83</f>
        <v>-1.2032504156469948</v>
      </c>
      <c r="N34" s="91">
        <f>'Occ T1'!I83</f>
        <v>-1.0729794457711606</v>
      </c>
    </row>
    <row r="35" spans="12:14" ht="13" x14ac:dyDescent="0.3">
      <c r="L35" s="114"/>
    </row>
    <row r="36" spans="12:14" x14ac:dyDescent="0.25">
      <c r="L36" s="91" t="str">
        <f>'Occ T3'!A22</f>
        <v>35 Business and public service associate professionals</v>
      </c>
      <c r="M36" s="91">
        <f>'Occ T2'!H163</f>
        <v>0.87853818106069514</v>
      </c>
      <c r="N36" s="91">
        <f>'Occ T2'!I163</f>
        <v>-2.575695435677039E-2</v>
      </c>
    </row>
    <row r="37" spans="12:14" x14ac:dyDescent="0.25">
      <c r="L37" s="91" t="str">
        <f>'Occ T3'!A21</f>
        <v>34 Culture, media and sports occupations</v>
      </c>
      <c r="M37" s="91">
        <f>'Occ T2'!H162</f>
        <v>0.36728400179126819</v>
      </c>
      <c r="N37" s="91">
        <f>'Occ T2'!I162</f>
        <v>0.30578605020139538</v>
      </c>
    </row>
    <row r="38" spans="12:14" x14ac:dyDescent="0.25">
      <c r="L38" s="91" t="str">
        <f>'Occ T3'!A20</f>
        <v>33 Protective service occupations</v>
      </c>
      <c r="M38" s="91">
        <f>'Occ T2'!H161</f>
        <v>1.1253808607709637</v>
      </c>
      <c r="N38" s="91">
        <f>'Occ T2'!I161</f>
        <v>2.3973494046154453</v>
      </c>
    </row>
    <row r="39" spans="12:14" x14ac:dyDescent="0.25">
      <c r="L39" s="91" t="str">
        <f>'Occ T3'!A19</f>
        <v>32 Health and social care associate professionals</v>
      </c>
      <c r="M39" s="91">
        <f>'Occ T2'!H160</f>
        <v>4.0826567591197849</v>
      </c>
      <c r="N39" s="91">
        <f>'Occ T2'!I160</f>
        <v>0.88265278414836335</v>
      </c>
    </row>
    <row r="40" spans="12:14" x14ac:dyDescent="0.25">
      <c r="L40" s="91" t="str">
        <f>'Occ T3'!A18</f>
        <v>31 Science, engineering and technology associate professionals</v>
      </c>
      <c r="M40" s="91">
        <f>'Occ T2'!H159</f>
        <v>2.7709283196662549</v>
      </c>
      <c r="N40" s="91">
        <f>'Occ T2'!I159</f>
        <v>-0.77556114572724377</v>
      </c>
    </row>
    <row r="41" spans="12:14" ht="13" x14ac:dyDescent="0.3">
      <c r="L41" s="114" t="str">
        <f>"["&amp;'Occ T3'!A17&amp;"]"</f>
        <v>[Associate professional occupations]</v>
      </c>
      <c r="M41" s="91">
        <f>'Occ T1'!H82</f>
        <v>1.6357512405575259</v>
      </c>
      <c r="N41" s="91">
        <f>'Occ T1'!I82</f>
        <v>0.30481449939876448</v>
      </c>
    </row>
    <row r="42" spans="12:14" ht="13" x14ac:dyDescent="0.3">
      <c r="L42" s="114"/>
    </row>
    <row r="43" spans="12:14" x14ac:dyDescent="0.25">
      <c r="L43" s="91" t="str">
        <f>'Occ T3'!A15</f>
        <v>24 Business, media and public service professionals</v>
      </c>
      <c r="M43" s="91">
        <f>'Occ T2'!H158</f>
        <v>4.1039892807151146</v>
      </c>
      <c r="N43" s="91">
        <f>'Occ T2'!I158</f>
        <v>1.5664239951518555</v>
      </c>
    </row>
    <row r="44" spans="12:14" x14ac:dyDescent="0.25">
      <c r="L44" s="91" t="str">
        <f>'Occ T3'!A14</f>
        <v>23 Teaching and other educational professionals</v>
      </c>
      <c r="M44" s="91">
        <f>'Occ T2'!H157</f>
        <v>2.3836416957406126</v>
      </c>
      <c r="N44" s="91">
        <f>'Occ T2'!I157</f>
        <v>1.1377767326286925</v>
      </c>
    </row>
    <row r="45" spans="12:14" x14ac:dyDescent="0.25">
      <c r="L45" s="91" t="str">
        <f>'Occ T3'!A13</f>
        <v>22 Health professionals</v>
      </c>
      <c r="M45" s="91">
        <f>'Occ T2'!H156</f>
        <v>4.359043474068125</v>
      </c>
      <c r="N45" s="91">
        <f>'Occ T2'!I156</f>
        <v>1.2139169166406338</v>
      </c>
    </row>
    <row r="46" spans="12:14" x14ac:dyDescent="0.25">
      <c r="L46" s="91" t="str">
        <f>'Occ T3'!A12</f>
        <v>21 Science, research, engineering and technology professionals</v>
      </c>
      <c r="M46" s="91">
        <f>'Occ T2'!H155</f>
        <v>2.4078316496529473</v>
      </c>
      <c r="N46" s="91">
        <f>'Occ T2'!I155</f>
        <v>0.84489120237103421</v>
      </c>
    </row>
    <row r="47" spans="12:14" ht="13" x14ac:dyDescent="0.3">
      <c r="L47" s="114" t="str">
        <f>"["&amp;'Occ T3'!A11&amp;"]"</f>
        <v>[Professional occupations]</v>
      </c>
      <c r="M47" s="91">
        <f>'Occ T1'!H81</f>
        <v>3.341997239909289</v>
      </c>
      <c r="N47" s="91">
        <f>'Occ T1'!I81</f>
        <v>1.2023789149196329</v>
      </c>
    </row>
    <row r="49" spans="12:14" x14ac:dyDescent="0.25">
      <c r="L49" s="107" t="str">
        <f>'Occ T3'!A9</f>
        <v>12 Other managers and proprietors</v>
      </c>
      <c r="M49" s="91">
        <f>'Occ T2'!H154</f>
        <v>1.0824780049382143</v>
      </c>
      <c r="N49" s="91">
        <f>'Occ T2'!I154</f>
        <v>2.4312429117910428</v>
      </c>
    </row>
    <row r="50" spans="12:14" x14ac:dyDescent="0.25">
      <c r="L50" s="107" t="str">
        <f>'Occ T3'!A8</f>
        <v>11 Corporate managers and directors</v>
      </c>
      <c r="M50" s="91">
        <f>'Occ T2'!H153</f>
        <v>2.8916956355351076</v>
      </c>
      <c r="N50" s="91">
        <f>'Occ T2'!I153</f>
        <v>0.18144870741847452</v>
      </c>
    </row>
    <row r="51" spans="12:14" ht="13" x14ac:dyDescent="0.3">
      <c r="L51" s="114" t="str">
        <f>"["&amp;'Occ T3'!A7&amp;"]"</f>
        <v>[Managers, directors and senior officials]</v>
      </c>
      <c r="M51" s="91">
        <f>'Occ T1'!H80</f>
        <v>2.3709231839532441</v>
      </c>
      <c r="N51" s="91">
        <f>'Occ T1'!I80</f>
        <v>0.87796003337696771</v>
      </c>
    </row>
    <row r="80" spans="1:1" ht="15.5" x14ac:dyDescent="0.35">
      <c r="A80" s="156" t="str">
        <f>CONCATENATE("Occupation Figure 1.1  Change in Employment by Occupation (SOC 2020), ",M81," and ",N81,", ",Info!B5)</f>
        <v>Occupation Figure 1.1  Change in Employment by Occupation (SOC 2020), 2015-2020 and 2020-2035, Black Country</v>
      </c>
    </row>
    <row r="81" spans="12:14" x14ac:dyDescent="0.25">
      <c r="M81" s="107" t="str">
        <f>'Occ F1'!M6</f>
        <v>2015-2020</v>
      </c>
      <c r="N81" s="107" t="str">
        <f>'Occ F1'!N6</f>
        <v>2020-2035</v>
      </c>
    </row>
    <row r="82" spans="12:14" x14ac:dyDescent="0.25">
      <c r="L82" s="10" t="str">
        <f>name!D4</f>
        <v>11 Corporate managers and directors</v>
      </c>
      <c r="M82" s="94">
        <f>'Occ T2'!D8-'Occ T2'!B8</f>
        <v>4.5774974136772428</v>
      </c>
      <c r="N82" s="94">
        <f>'Occ T2'!F119</f>
        <v>0.94986798175329312</v>
      </c>
    </row>
    <row r="83" spans="12:14" x14ac:dyDescent="0.25">
      <c r="L83" s="10" t="str">
        <f>name!D5</f>
        <v>12 Other managers and proprietors</v>
      </c>
      <c r="M83" s="94">
        <f>'Occ T2'!D9-'Occ T2'!B9</f>
        <v>0.69201524200674669</v>
      </c>
      <c r="N83" s="94">
        <f>'Occ T2'!F120</f>
        <v>5.7277890459681693</v>
      </c>
    </row>
    <row r="84" spans="12:14" x14ac:dyDescent="0.25">
      <c r="L84" s="10" t="str">
        <f>name!D6</f>
        <v>21 Science, research, engineering and technology professionals</v>
      </c>
      <c r="M84" s="94">
        <f>'Occ T2'!D10-'Occ T2'!B10</f>
        <v>2.9930944009992508</v>
      </c>
      <c r="N84" s="94">
        <f>'Occ T2'!F121</f>
        <v>3.589502176478117</v>
      </c>
    </row>
    <row r="85" spans="12:14" x14ac:dyDescent="0.25">
      <c r="L85" s="10" t="str">
        <f>name!D7</f>
        <v>22 Health professionals</v>
      </c>
      <c r="M85" s="94">
        <f>'Occ T2'!D11-'Occ T2'!B11</f>
        <v>5.1542589531288385</v>
      </c>
      <c r="N85" s="94">
        <f>'Occ T2'!F122</f>
        <v>5.3230041975837139</v>
      </c>
    </row>
    <row r="86" spans="12:14" x14ac:dyDescent="0.25">
      <c r="L86" s="10" t="str">
        <f>name!D8</f>
        <v>23 Teaching and other educational professionals</v>
      </c>
      <c r="M86" s="94">
        <f>'Occ T2'!D12-'Occ T2'!B12</f>
        <v>2.4425641748270408</v>
      </c>
      <c r="N86" s="94">
        <f>'Occ T2'!F123</f>
        <v>4.06580526507366</v>
      </c>
    </row>
    <row r="87" spans="12:14" x14ac:dyDescent="0.25">
      <c r="L87" s="10" t="str">
        <f>name!D9</f>
        <v>24 Business, media and public service professionals</v>
      </c>
      <c r="M87" s="94">
        <f>'Occ T2'!D13-'Occ T2'!B13</f>
        <v>5.0800275505037042</v>
      </c>
      <c r="N87" s="94">
        <f>'Occ T2'!F124</f>
        <v>7.321838806588687</v>
      </c>
    </row>
    <row r="88" spans="12:14" x14ac:dyDescent="0.25">
      <c r="L88" s="10" t="str">
        <f>name!D10</f>
        <v>31 Science, engineering and technology associate professionals</v>
      </c>
      <c r="M88" s="94">
        <f>'Occ T2'!D14-'Occ T2'!B14</f>
        <v>1.1187493194401918</v>
      </c>
      <c r="N88" s="94">
        <f>'Occ T2'!F125</f>
        <v>-0.9654004292887679</v>
      </c>
    </row>
    <row r="89" spans="12:14" x14ac:dyDescent="0.25">
      <c r="L89" s="10" t="str">
        <f>name!D11</f>
        <v>32 Health and social care associate professionals</v>
      </c>
      <c r="M89" s="94">
        <f>'Occ T2'!D15-'Occ T2'!B15</f>
        <v>2.0007437974605669</v>
      </c>
      <c r="N89" s="94">
        <f>'Occ T2'!F126</f>
        <v>1.5546339542473007</v>
      </c>
    </row>
    <row r="90" spans="12:14" x14ac:dyDescent="0.25">
      <c r="L90" s="10" t="str">
        <f>name!D12</f>
        <v>33 Protective service occupations</v>
      </c>
      <c r="M90" s="94">
        <f>'Occ T2'!D16-'Occ T2'!B16</f>
        <v>0.25577593056647085</v>
      </c>
      <c r="N90" s="94">
        <f>'Occ T2'!F127</f>
        <v>2.0055450900176526</v>
      </c>
    </row>
    <row r="91" spans="12:14" x14ac:dyDescent="0.25">
      <c r="L91" s="10" t="str">
        <f>name!D13</f>
        <v>34 Culture, media and sports occupations</v>
      </c>
      <c r="M91" s="94">
        <f>'Occ T2'!D17-'Occ T2'!B17</f>
        <v>0.13924639804599881</v>
      </c>
      <c r="N91" s="94">
        <f>'Occ T2'!F128</f>
        <v>0.35926196910627883</v>
      </c>
    </row>
    <row r="92" spans="12:14" x14ac:dyDescent="0.25">
      <c r="L92" s="10" t="str">
        <f>name!D14</f>
        <v>35 Business and public service associate professionals</v>
      </c>
      <c r="M92" s="94">
        <f>'Occ T2'!D18-'Occ T2'!B18</f>
        <v>1.2286623207428526</v>
      </c>
      <c r="N92" s="94">
        <f>'Occ T2'!F129</f>
        <v>-0.11073066724030411</v>
      </c>
    </row>
    <row r="93" spans="12:14" x14ac:dyDescent="0.25">
      <c r="L93" s="10" t="str">
        <f>name!D15</f>
        <v>41 Administrative occupations</v>
      </c>
      <c r="M93" s="94">
        <f>'Occ T2'!D19-'Occ T2'!B19</f>
        <v>-1.8208598813696</v>
      </c>
      <c r="N93" s="94">
        <f>'Occ T2'!F130</f>
        <v>-5.7088674878368266</v>
      </c>
    </row>
    <row r="94" spans="12:14" x14ac:dyDescent="0.25">
      <c r="L94" s="10" t="str">
        <f>name!D16</f>
        <v>42 Secretarial and related occupations</v>
      </c>
      <c r="M94" s="94">
        <f>'Occ T2'!D20-'Occ T2'!B20</f>
        <v>-1.7111638899785344</v>
      </c>
      <c r="N94" s="94">
        <f>'Occ T2'!F131</f>
        <v>-2.748217722069775</v>
      </c>
    </row>
    <row r="95" spans="12:14" x14ac:dyDescent="0.25">
      <c r="L95" s="10" t="str">
        <f>name!D17</f>
        <v>51 Skilled agricultural and related trades</v>
      </c>
      <c r="M95" s="94">
        <f>'Occ T2'!D21-'Occ T2'!B21</f>
        <v>-1.1454016233127984</v>
      </c>
      <c r="N95" s="94">
        <f>'Occ T2'!F132</f>
        <v>0.52804888144205409</v>
      </c>
    </row>
    <row r="96" spans="12:14" x14ac:dyDescent="0.25">
      <c r="L96" s="10" t="str">
        <f>name!D18</f>
        <v>52 Skilled metal, electrical and electronic trades</v>
      </c>
      <c r="M96" s="94">
        <f>'Occ T2'!D22-'Occ T2'!B22</f>
        <v>-5.2856804277349063</v>
      </c>
      <c r="N96" s="94">
        <f>'Occ T2'!F133</f>
        <v>-2.4920967712845616</v>
      </c>
    </row>
    <row r="97" spans="12:14" x14ac:dyDescent="0.25">
      <c r="L97" s="10" t="str">
        <f>name!D19</f>
        <v>53 Skilled construction and building trades</v>
      </c>
      <c r="M97" s="94">
        <f>'Occ T2'!D23-'Occ T2'!B23</f>
        <v>-1.2420308498583594</v>
      </c>
      <c r="N97" s="94">
        <f>'Occ T2'!F134</f>
        <v>-2.0757801583428694</v>
      </c>
    </row>
    <row r="98" spans="12:14" x14ac:dyDescent="0.25">
      <c r="L98" s="10" t="str">
        <f>name!D20</f>
        <v>54 Textiles, printing and other skilled trades</v>
      </c>
      <c r="M98" s="94">
        <f>'Occ T2'!D24-'Occ T2'!B24</f>
        <v>-1.3189842234734712</v>
      </c>
      <c r="N98" s="94">
        <f>'Occ T2'!F135</f>
        <v>-0.86506790564814295</v>
      </c>
    </row>
    <row r="99" spans="12:14" x14ac:dyDescent="0.25">
      <c r="L99" s="10" t="str">
        <f>name!D21</f>
        <v>61 Caring personal service occupations</v>
      </c>
      <c r="M99" s="94">
        <f>'Occ T2'!D25-'Occ T2'!B25</f>
        <v>1.2566193889385886</v>
      </c>
      <c r="N99" s="94">
        <f>'Occ T2'!F136</f>
        <v>8.0006797686798805</v>
      </c>
    </row>
    <row r="100" spans="12:14" x14ac:dyDescent="0.25">
      <c r="L100" s="10" t="str">
        <f>name!D22</f>
        <v>62 Leisure, travel and related personal service occupations</v>
      </c>
      <c r="M100" s="94">
        <f>'Occ T2'!D26-'Occ T2'!B26</f>
        <v>-2.3355105976272217</v>
      </c>
      <c r="N100" s="94">
        <f>'Occ T2'!F137</f>
        <v>0.29107967908543664</v>
      </c>
    </row>
    <row r="101" spans="12:14" x14ac:dyDescent="0.25">
      <c r="L101" s="10" t="str">
        <f>name!D23</f>
        <v>63 Community and civil enforcement occupations</v>
      </c>
      <c r="M101" s="94">
        <f>'Occ T2'!D27-'Occ T2'!B27</f>
        <v>1.1342026211764111E-2</v>
      </c>
      <c r="N101" s="94">
        <f>'Occ T2'!F138</f>
        <v>-3.927278604421669E-2</v>
      </c>
    </row>
    <row r="102" spans="12:14" x14ac:dyDescent="0.25">
      <c r="L102" s="10" t="str">
        <f>name!D24</f>
        <v>71 Sales occupations</v>
      </c>
      <c r="M102" s="94">
        <f>'Occ T2'!D28-'Occ T2'!B28</f>
        <v>-4.0319923731036234</v>
      </c>
      <c r="N102" s="94">
        <f>'Occ T2'!F139</f>
        <v>-4.2219020336524835</v>
      </c>
    </row>
    <row r="103" spans="12:14" x14ac:dyDescent="0.25">
      <c r="L103" s="10" t="str">
        <f>name!D25</f>
        <v>72 Customer service occupations</v>
      </c>
      <c r="M103" s="94">
        <f>'Occ T2'!D29-'Occ T2'!B29</f>
        <v>2.9140118242830582E-2</v>
      </c>
      <c r="N103" s="94">
        <f>'Occ T2'!F140</f>
        <v>4.3231462047913514</v>
      </c>
    </row>
    <row r="104" spans="12:14" x14ac:dyDescent="0.25">
      <c r="L104" s="10" t="str">
        <f>name!D26</f>
        <v>81 Process, plant and machine operatives</v>
      </c>
      <c r="M104" s="94">
        <f>'Occ T2'!D30-'Occ T2'!B30</f>
        <v>-4.7014229179198175</v>
      </c>
      <c r="N104" s="94">
        <f>'Occ T2'!F141</f>
        <v>2.9967665001403248</v>
      </c>
    </row>
    <row r="105" spans="12:14" x14ac:dyDescent="0.25">
      <c r="L105" s="10" t="str">
        <f>name!D27</f>
        <v>82 Transport and mobile machine drivers and operatives</v>
      </c>
      <c r="M105" s="94">
        <f>'Occ T2'!D31-'Occ T2'!B31</f>
        <v>-2.1715058425757583</v>
      </c>
      <c r="N105" s="94">
        <f>'Occ T2'!F142</f>
        <v>2.2023990760164018</v>
      </c>
    </row>
    <row r="106" spans="12:14" x14ac:dyDescent="0.25">
      <c r="L106" s="10" t="str">
        <f>name!D28</f>
        <v>91 Elementary trades and related occupations</v>
      </c>
      <c r="M106" s="94">
        <f>'Occ T2'!D32-'Occ T2'!B32</f>
        <v>-2.8445599821079082</v>
      </c>
      <c r="N106" s="94">
        <f>'Occ T2'!F143</f>
        <v>-1.7781444306629366</v>
      </c>
    </row>
    <row r="107" spans="12:14" x14ac:dyDescent="0.25">
      <c r="L107" s="10" t="str">
        <f>name!D29</f>
        <v>92 Elementary administration and service occupations</v>
      </c>
      <c r="M107" s="94">
        <f>'Occ T2'!D33-'Occ T2'!B33</f>
        <v>-7.7386244257300447</v>
      </c>
      <c r="N107" s="94">
        <f>'Occ T2'!F144</f>
        <v>-2.4838882049018096</v>
      </c>
    </row>
    <row r="108" spans="12:14" x14ac:dyDescent="0.25">
      <c r="L108" s="10"/>
      <c r="M108" s="94"/>
      <c r="N108" s="94"/>
    </row>
    <row r="109" spans="12:14" x14ac:dyDescent="0.25">
      <c r="L109" s="10" t="str">
        <f>name!D3</f>
        <v>All occupations</v>
      </c>
      <c r="M109" s="94">
        <f>'Occ T2'!D35-'Occ T2'!B35</f>
        <v>-9.367999999999995</v>
      </c>
      <c r="N109" s="94">
        <f>'Occ T2'!F146</f>
        <v>25.749999999999545</v>
      </c>
    </row>
    <row r="150" spans="1:14" ht="15.5" x14ac:dyDescent="0.35">
      <c r="A150" s="156" t="str">
        <f>CONCATENATE("Occupation Figure 1.2  Change in Employment by Occupation (SOC 2020), ",M152," and ",N152,", ",Info!B5)</f>
        <v>Occupation Figure 1.2  Change in Employment by Occupation (SOC 2020), 2015 - 2020 and 2020-2035, Black Country</v>
      </c>
    </row>
    <row r="152" spans="1:14" x14ac:dyDescent="0.25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94">
        <f>'Occ T1'!D8-'Occ T1'!B8</f>
        <v>5.2695126556839895</v>
      </c>
      <c r="N153" s="94">
        <f>'Occ T1'!H8</f>
        <v>6.677657027721466</v>
      </c>
    </row>
    <row r="154" spans="1:14" x14ac:dyDescent="0.25">
      <c r="L154" s="10" t="str">
        <f>name!E5</f>
        <v>Professional occupations</v>
      </c>
      <c r="M154" s="94">
        <f>'Occ T1'!D9-'Occ T1'!B9</f>
        <v>15.669945079458827</v>
      </c>
      <c r="N154" s="94">
        <f>'Occ T1'!H9</f>
        <v>20.300150445724185</v>
      </c>
    </row>
    <row r="155" spans="1:14" x14ac:dyDescent="0.25">
      <c r="L155" s="10" t="str">
        <f>name!E6</f>
        <v>Associate professional occupations</v>
      </c>
      <c r="M155" s="94">
        <f>'Occ T1'!D10-'Occ T1'!B10</f>
        <v>4.7431777662560819</v>
      </c>
      <c r="N155" s="94">
        <f>'Occ T1'!H10</f>
        <v>2.8433099168421592</v>
      </c>
    </row>
    <row r="156" spans="1:14" x14ac:dyDescent="0.25">
      <c r="L156" s="10" t="str">
        <f>name!E7</f>
        <v>Administrative and secretarial occupations</v>
      </c>
      <c r="M156" s="94">
        <f>'Occ T1'!D11-'Occ T1'!B11</f>
        <v>-3.5320237713481362</v>
      </c>
      <c r="N156" s="94">
        <f>'Occ T1'!H11</f>
        <v>-8.4570852099066016</v>
      </c>
    </row>
    <row r="157" spans="1:14" x14ac:dyDescent="0.25">
      <c r="L157" s="10" t="str">
        <f>name!E8</f>
        <v>Skilled trades occupations</v>
      </c>
      <c r="M157" s="94">
        <f>'Occ T1'!D12-'Occ T1'!B12</f>
        <v>-8.9920971243795407</v>
      </c>
      <c r="N157" s="94">
        <f>'Occ T1'!H12</f>
        <v>-4.9048959538335097</v>
      </c>
    </row>
    <row r="158" spans="1:14" x14ac:dyDescent="0.25">
      <c r="L158" s="10" t="str">
        <f>name!E9</f>
        <v>Caring, leisure and other service occupations</v>
      </c>
      <c r="M158" s="94">
        <f>'Occ T1'!D13-'Occ T1'!B13</f>
        <v>-1.067549182476867</v>
      </c>
      <c r="N158" s="94">
        <f>'Occ T1'!H13</f>
        <v>8.2524866617211003</v>
      </c>
    </row>
    <row r="159" spans="1:14" x14ac:dyDescent="0.25">
      <c r="L159" s="10" t="str">
        <f>name!E10</f>
        <v>Sales and customer service occupations</v>
      </c>
      <c r="M159" s="94">
        <f>'Occ T1'!D14-'Occ T1'!B14</f>
        <v>-4.0028522548607981</v>
      </c>
      <c r="N159" s="94">
        <f>'Occ T1'!H14</f>
        <v>0.10124417113887318</v>
      </c>
    </row>
    <row r="160" spans="1:14" x14ac:dyDescent="0.25">
      <c r="L160" s="10" t="str">
        <f>name!E11</f>
        <v>Process, plant and machine operatives</v>
      </c>
      <c r="M160" s="94">
        <f>'Occ T1'!D15-'Occ T1'!B15</f>
        <v>-6.8729287604955758</v>
      </c>
      <c r="N160" s="94">
        <f>'Occ T1'!H15</f>
        <v>5.1991655761567301</v>
      </c>
    </row>
    <row r="161" spans="12:14" x14ac:dyDescent="0.25">
      <c r="L161" s="10" t="str">
        <f>name!E12</f>
        <v>Elementary occupations</v>
      </c>
      <c r="M161" s="94">
        <f>'Occ T1'!D16-'Occ T1'!B16</f>
        <v>-10.583184407837955</v>
      </c>
      <c r="N161" s="94">
        <f>'Occ T1'!H16</f>
        <v>-4.2620326355647435</v>
      </c>
    </row>
    <row r="162" spans="12:14" x14ac:dyDescent="0.25">
      <c r="L162" s="10"/>
      <c r="M162" s="94"/>
      <c r="N162" s="94"/>
    </row>
    <row r="163" spans="12:14" x14ac:dyDescent="0.25">
      <c r="L163" s="10" t="str">
        <f>name!E3</f>
        <v>All occupations</v>
      </c>
      <c r="M163" s="94">
        <f>'Occ T1'!D18-'Occ T1'!B18</f>
        <v>-9.367999999999995</v>
      </c>
      <c r="N163" s="94">
        <f>'Occ T1'!H18</f>
        <v>25.749999999999659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>
      <selection activeCell="O2" sqref="O2"/>
    </sheetView>
  </sheetViews>
  <sheetFormatPr defaultColWidth="9.1796875"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80" t="str">
        <f>CONCATENATE("Occupation Figure 2  Employment by Occupation (SOC 2020), ",$M$2,"-",$O$2,", ",Info!B5)</f>
        <v>Occupation Figure 2  Employment by Occupation (SOC 2020), 2010-2035, Black Country</v>
      </c>
      <c r="L1" s="46"/>
    </row>
    <row r="2" spans="1:64" ht="13" x14ac:dyDescent="0.3">
      <c r="A2" s="364" t="s">
        <v>523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5">
      <c r="L3" s="16"/>
      <c r="M3" s="16"/>
      <c r="N3" s="47"/>
      <c r="O3" s="16"/>
    </row>
    <row r="4" spans="1:64" ht="13" x14ac:dyDescent="0.3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87">
        <f t="shared" ref="M5" si="0">SUM(M6:M7)</f>
        <v>35.862180867533482</v>
      </c>
      <c r="N5" s="87">
        <f>SUM(N6:N7)</f>
        <v>38.511174589502538</v>
      </c>
      <c r="O5" s="87">
        <f t="shared" ref="O5:AL5" si="1">SUM(O6:O7)</f>
        <v>39.64259224433583</v>
      </c>
      <c r="P5" s="87">
        <f t="shared" si="1"/>
        <v>40.316415513863305</v>
      </c>
      <c r="Q5" s="87">
        <f t="shared" si="1"/>
        <v>40.243872987208128</v>
      </c>
      <c r="R5" s="87">
        <f t="shared" si="1"/>
        <v>42.392720616000339</v>
      </c>
      <c r="S5" s="87">
        <f t="shared" si="1"/>
        <v>42.985464839465507</v>
      </c>
      <c r="T5" s="87">
        <f t="shared" si="1"/>
        <v>44.98442713559119</v>
      </c>
      <c r="U5" s="87">
        <f t="shared" si="1"/>
        <v>45.975161924547479</v>
      </c>
      <c r="V5" s="87">
        <f t="shared" si="1"/>
        <v>46.345148009577279</v>
      </c>
      <c r="W5" s="87">
        <f t="shared" si="1"/>
        <v>47.662233271684329</v>
      </c>
      <c r="X5" s="87">
        <f t="shared" si="1"/>
        <v>46.319684224101437</v>
      </c>
      <c r="Y5" s="87">
        <f t="shared" si="1"/>
        <v>46.845844308464464</v>
      </c>
      <c r="Z5" s="87">
        <f t="shared" si="1"/>
        <v>47.403485116956475</v>
      </c>
      <c r="AA5" s="87">
        <f t="shared" si="1"/>
        <v>48.046409630812185</v>
      </c>
      <c r="AB5" s="87">
        <f t="shared" si="1"/>
        <v>48.624847367414716</v>
      </c>
      <c r="AC5" s="87">
        <f t="shared" si="1"/>
        <v>49.158985585680838</v>
      </c>
      <c r="AD5" s="87">
        <f t="shared" si="1"/>
        <v>49.680718967392011</v>
      </c>
      <c r="AE5" s="87">
        <f t="shared" si="1"/>
        <v>50.218814081692194</v>
      </c>
      <c r="AF5" s="87">
        <f t="shared" si="1"/>
        <v>50.765025772540511</v>
      </c>
      <c r="AG5" s="87">
        <f t="shared" si="1"/>
        <v>51.344910956327055</v>
      </c>
      <c r="AH5" s="87">
        <f t="shared" si="1"/>
        <v>51.91795764260462</v>
      </c>
      <c r="AI5" s="87">
        <f t="shared" si="1"/>
        <v>52.494180801533943</v>
      </c>
      <c r="AJ5" s="87">
        <f t="shared" si="1"/>
        <v>53.087824631251053</v>
      </c>
      <c r="AK5" s="87">
        <f t="shared" si="1"/>
        <v>53.705949594800202</v>
      </c>
      <c r="AL5" s="87">
        <f t="shared" si="1"/>
        <v>54.339890299405795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232" t="str">
        <f>'Occ T3'!A8</f>
        <v>11 Corporate managers and directors</v>
      </c>
      <c r="M6" s="11">
        <v>25.579593238439752</v>
      </c>
      <c r="N6" s="11">
        <v>27.401695875639383</v>
      </c>
      <c r="O6" s="11">
        <v>28.168559828983248</v>
      </c>
      <c r="P6" s="11">
        <v>28.699744694795182</v>
      </c>
      <c r="Q6" s="11">
        <v>27.526629945729738</v>
      </c>
      <c r="R6" s="11">
        <v>29.880785800881412</v>
      </c>
      <c r="S6" s="11">
        <v>31.399053311348673</v>
      </c>
      <c r="T6" s="11">
        <v>32.04154656777888</v>
      </c>
      <c r="U6" s="11">
        <v>33.297068548179425</v>
      </c>
      <c r="V6" s="11">
        <v>33.670781149647787</v>
      </c>
      <c r="W6" s="11">
        <v>34.458283214558655</v>
      </c>
      <c r="X6" s="11">
        <v>30.950054034029716</v>
      </c>
      <c r="Y6" s="11">
        <v>31.211993316457065</v>
      </c>
      <c r="Z6" s="11">
        <v>31.522566255083103</v>
      </c>
      <c r="AA6" s="11">
        <v>31.904695381422535</v>
      </c>
      <c r="AB6" s="11">
        <v>32.22615843098864</v>
      </c>
      <c r="AC6" s="11">
        <v>32.526246360270804</v>
      </c>
      <c r="AD6" s="11">
        <v>32.823681202214082</v>
      </c>
      <c r="AE6" s="11">
        <v>33.13042388283143</v>
      </c>
      <c r="AF6" s="11">
        <v>33.432236125865728</v>
      </c>
      <c r="AG6" s="11">
        <v>33.757242360926597</v>
      </c>
      <c r="AH6" s="11">
        <v>34.075590166704309</v>
      </c>
      <c r="AI6" s="11">
        <v>34.399140780529471</v>
      </c>
      <c r="AJ6" s="11">
        <v>34.73038864761304</v>
      </c>
      <c r="AK6" s="11">
        <v>35.066762457075669</v>
      </c>
      <c r="AL6" s="11">
        <v>35.408151196311948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232" t="str">
        <f>'Occ T3'!A9</f>
        <v>12 Other managers and proprietors</v>
      </c>
      <c r="M7" s="11">
        <v>10.282587629093728</v>
      </c>
      <c r="N7" s="11">
        <v>11.109478713863156</v>
      </c>
      <c r="O7" s="11">
        <v>11.474032415352582</v>
      </c>
      <c r="P7" s="11">
        <v>11.616670819068126</v>
      </c>
      <c r="Q7" s="11">
        <v>12.717243041478392</v>
      </c>
      <c r="R7" s="11">
        <v>12.511934815118927</v>
      </c>
      <c r="S7" s="11">
        <v>11.586411528116834</v>
      </c>
      <c r="T7" s="11">
        <v>12.942880567812312</v>
      </c>
      <c r="U7" s="11">
        <v>12.67809337636805</v>
      </c>
      <c r="V7" s="11">
        <v>12.674366859929494</v>
      </c>
      <c r="W7" s="11">
        <v>13.203950057125674</v>
      </c>
      <c r="X7" s="11">
        <v>15.369630190071724</v>
      </c>
      <c r="Y7" s="11">
        <v>15.633850992007403</v>
      </c>
      <c r="Z7" s="11">
        <v>15.880918861873369</v>
      </c>
      <c r="AA7" s="11">
        <v>16.141714249389651</v>
      </c>
      <c r="AB7" s="11">
        <v>16.398688936426073</v>
      </c>
      <c r="AC7" s="11">
        <v>16.632739225410038</v>
      </c>
      <c r="AD7" s="11">
        <v>16.857037765177928</v>
      </c>
      <c r="AE7" s="11">
        <v>17.088390198860765</v>
      </c>
      <c r="AF7" s="11">
        <v>17.332789646674787</v>
      </c>
      <c r="AG7" s="11">
        <v>17.587668595400455</v>
      </c>
      <c r="AH7" s="11">
        <v>17.842367475900307</v>
      </c>
      <c r="AI7" s="11">
        <v>18.095040021004476</v>
      </c>
      <c r="AJ7" s="11">
        <v>18.357435983638016</v>
      </c>
      <c r="AK7" s="11">
        <v>18.639187137724537</v>
      </c>
      <c r="AL7" s="11">
        <v>18.931739103093843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87">
        <f t="shared" ref="M9" si="2">SUM(M10:M13)</f>
        <v>86.206821442855599</v>
      </c>
      <c r="N9" s="87">
        <f>SUM(N10:N13)</f>
        <v>85.731316551172029</v>
      </c>
      <c r="O9" s="87">
        <f t="shared" ref="O9:AL9" si="3">SUM(O10:O13)</f>
        <v>84.571828003452083</v>
      </c>
      <c r="P9" s="87">
        <f t="shared" si="3"/>
        <v>86.321165784949471</v>
      </c>
      <c r="Q9" s="87">
        <f t="shared" si="3"/>
        <v>87.165939561521355</v>
      </c>
      <c r="R9" s="87">
        <f t="shared" si="3"/>
        <v>87.713907644760397</v>
      </c>
      <c r="S9" s="87">
        <f t="shared" si="3"/>
        <v>92.887078996026588</v>
      </c>
      <c r="T9" s="87">
        <f t="shared" si="3"/>
        <v>93.43879519461521</v>
      </c>
      <c r="U9" s="87">
        <f t="shared" si="3"/>
        <v>96.075621748911246</v>
      </c>
      <c r="V9" s="87">
        <f t="shared" si="3"/>
        <v>99.060176549524812</v>
      </c>
      <c r="W9" s="87">
        <f t="shared" si="3"/>
        <v>103.38385272421922</v>
      </c>
      <c r="X9" s="87">
        <f t="shared" si="3"/>
        <v>106.20129054408828</v>
      </c>
      <c r="Y9" s="87">
        <f t="shared" si="3"/>
        <v>107.26732550392018</v>
      </c>
      <c r="Z9" s="87">
        <f t="shared" si="3"/>
        <v>108.56393857389655</v>
      </c>
      <c r="AA9" s="87">
        <f t="shared" si="3"/>
        <v>110.07159275636782</v>
      </c>
      <c r="AB9" s="87">
        <f t="shared" si="3"/>
        <v>111.37636061126263</v>
      </c>
      <c r="AC9" s="87">
        <f t="shared" si="3"/>
        <v>112.61771905717394</v>
      </c>
      <c r="AD9" s="87">
        <f t="shared" si="3"/>
        <v>113.84036694612638</v>
      </c>
      <c r="AE9" s="87">
        <f t="shared" si="3"/>
        <v>115.02089165036139</v>
      </c>
      <c r="AF9" s="87">
        <f t="shared" si="3"/>
        <v>116.211288732029</v>
      </c>
      <c r="AG9" s="87">
        <f t="shared" si="3"/>
        <v>117.46318740361549</v>
      </c>
      <c r="AH9" s="87">
        <f t="shared" si="3"/>
        <v>118.72491761122626</v>
      </c>
      <c r="AI9" s="87">
        <f t="shared" si="3"/>
        <v>119.96254033276666</v>
      </c>
      <c r="AJ9" s="87">
        <f t="shared" si="3"/>
        <v>121.21697637213919</v>
      </c>
      <c r="AK9" s="87">
        <f t="shared" si="3"/>
        <v>122.47247939269757</v>
      </c>
      <c r="AL9" s="87">
        <f t="shared" si="3"/>
        <v>123.68400316994341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232" t="str">
        <f>'Occ T3'!A12</f>
        <v>21 Science, research, engineering and technology professionals</v>
      </c>
      <c r="M10" s="11">
        <v>22.377811895442257</v>
      </c>
      <c r="N10" s="11">
        <v>21.147922737477582</v>
      </c>
      <c r="O10" s="11">
        <v>21.373272016484531</v>
      </c>
      <c r="P10" s="11">
        <v>21.389519267710163</v>
      </c>
      <c r="Q10" s="11">
        <v>22.292308176904612</v>
      </c>
      <c r="R10" s="11">
        <v>23.692567314037618</v>
      </c>
      <c r="S10" s="11">
        <v>24.089672943557421</v>
      </c>
      <c r="T10" s="11">
        <v>23.173002025289225</v>
      </c>
      <c r="U10" s="11">
        <v>25.387472391358397</v>
      </c>
      <c r="V10" s="11">
        <v>25.522442469208741</v>
      </c>
      <c r="W10" s="11">
        <v>26.685661715036868</v>
      </c>
      <c r="X10" s="11">
        <v>26.537113256952846</v>
      </c>
      <c r="Y10" s="11">
        <v>26.764829987412725</v>
      </c>
      <c r="Z10" s="11">
        <v>27.046421478353572</v>
      </c>
      <c r="AA10" s="11">
        <v>27.387056553464774</v>
      </c>
      <c r="AB10" s="11">
        <v>27.673922841497888</v>
      </c>
      <c r="AC10" s="11">
        <v>27.930870573373916</v>
      </c>
      <c r="AD10" s="11">
        <v>28.174412322317384</v>
      </c>
      <c r="AE10" s="11">
        <v>28.414114414731127</v>
      </c>
      <c r="AF10" s="11">
        <v>28.65343845519612</v>
      </c>
      <c r="AG10" s="11">
        <v>28.921174488978188</v>
      </c>
      <c r="AH10" s="11">
        <v>29.185548361479622</v>
      </c>
      <c r="AI10" s="11">
        <v>29.454938667119137</v>
      </c>
      <c r="AJ10" s="11">
        <v>29.720744595972111</v>
      </c>
      <c r="AK10" s="11">
        <v>29.999021411339609</v>
      </c>
      <c r="AL10" s="11">
        <v>30.275163891514985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232" t="str">
        <f>'Occ T3'!A13</f>
        <v>22 Health professionals</v>
      </c>
      <c r="M11" s="11">
        <v>20.190295533415998</v>
      </c>
      <c r="N11" s="11">
        <v>21.70156410510868</v>
      </c>
      <c r="O11" s="11">
        <v>22.504275666399398</v>
      </c>
      <c r="P11" s="11">
        <v>22.874578467079271</v>
      </c>
      <c r="Q11" s="11">
        <v>23.07166554117379</v>
      </c>
      <c r="R11" s="11">
        <v>21.674771905892207</v>
      </c>
      <c r="S11" s="11">
        <v>24.616500003749774</v>
      </c>
      <c r="T11" s="11">
        <v>26.243237289701206</v>
      </c>
      <c r="U11" s="11">
        <v>25.449093962651098</v>
      </c>
      <c r="V11" s="11">
        <v>27.315802663195473</v>
      </c>
      <c r="W11" s="11">
        <v>26.829030859021046</v>
      </c>
      <c r="X11" s="11">
        <v>27.84604930574497</v>
      </c>
      <c r="Y11" s="11">
        <v>28.172919765327556</v>
      </c>
      <c r="Z11" s="11">
        <v>28.521900909903302</v>
      </c>
      <c r="AA11" s="11">
        <v>28.919138288718457</v>
      </c>
      <c r="AB11" s="11">
        <v>29.254758568518618</v>
      </c>
      <c r="AC11" s="11">
        <v>29.570348500553241</v>
      </c>
      <c r="AD11" s="11">
        <v>29.875101977132218</v>
      </c>
      <c r="AE11" s="11">
        <v>30.136415853810732</v>
      </c>
      <c r="AF11" s="11">
        <v>30.430130862116254</v>
      </c>
      <c r="AG11" s="11">
        <v>30.719924226145515</v>
      </c>
      <c r="AH11" s="11">
        <v>31.013531048485373</v>
      </c>
      <c r="AI11" s="11">
        <v>31.304813699953783</v>
      </c>
      <c r="AJ11" s="11">
        <v>31.600065314680563</v>
      </c>
      <c r="AK11" s="11">
        <v>31.888189360094408</v>
      </c>
      <c r="AL11" s="11">
        <v>32.15203505660476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232" t="str">
        <f>'Occ T3'!A14</f>
        <v>23 Teaching and other educational professionals</v>
      </c>
      <c r="M12" s="11">
        <v>20.456879175385708</v>
      </c>
      <c r="N12" s="11">
        <v>21.055623593171266</v>
      </c>
      <c r="O12" s="11">
        <v>19.699149496513829</v>
      </c>
      <c r="P12" s="11">
        <v>19.701836017610951</v>
      </c>
      <c r="Q12" s="11">
        <v>19.412369086952417</v>
      </c>
      <c r="R12" s="11">
        <v>19.540374765671238</v>
      </c>
      <c r="S12" s="11">
        <v>20.300023917060319</v>
      </c>
      <c r="T12" s="11">
        <v>19.859628265893946</v>
      </c>
      <c r="U12" s="11">
        <v>19.555534387074609</v>
      </c>
      <c r="V12" s="11">
        <v>20.765597855160525</v>
      </c>
      <c r="W12" s="11">
        <v>21.982938940498279</v>
      </c>
      <c r="X12" s="11">
        <v>22.24757306017797</v>
      </c>
      <c r="Y12" s="11">
        <v>22.465319219316946</v>
      </c>
      <c r="Z12" s="11">
        <v>22.754448756782882</v>
      </c>
      <c r="AA12" s="11">
        <v>23.075806562352689</v>
      </c>
      <c r="AB12" s="11">
        <v>23.36668850989928</v>
      </c>
      <c r="AC12" s="11">
        <v>23.657690395630262</v>
      </c>
      <c r="AD12" s="11">
        <v>23.950359633841479</v>
      </c>
      <c r="AE12" s="11">
        <v>24.226544812781121</v>
      </c>
      <c r="AF12" s="11">
        <v>24.484415491909797</v>
      </c>
      <c r="AG12" s="11">
        <v>24.754342307593173</v>
      </c>
      <c r="AH12" s="11">
        <v>25.037498639394563</v>
      </c>
      <c r="AI12" s="11">
        <v>25.291167337923142</v>
      </c>
      <c r="AJ12" s="11">
        <v>25.549403136739386</v>
      </c>
      <c r="AK12" s="11">
        <v>25.804776118367801</v>
      </c>
      <c r="AL12" s="11">
        <v>26.048744205571939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232" t="str">
        <f>'Occ T3'!A15</f>
        <v>24 Business, media and public service professionals</v>
      </c>
      <c r="M13" s="11">
        <v>23.181834838611632</v>
      </c>
      <c r="N13" s="11">
        <v>21.826206115414511</v>
      </c>
      <c r="O13" s="11">
        <v>20.995130824054332</v>
      </c>
      <c r="P13" s="11">
        <v>22.355232032549083</v>
      </c>
      <c r="Q13" s="11">
        <v>22.389596756490537</v>
      </c>
      <c r="R13" s="11">
        <v>22.80619365915933</v>
      </c>
      <c r="S13" s="11">
        <v>23.880882131659078</v>
      </c>
      <c r="T13" s="11">
        <v>24.162927613730837</v>
      </c>
      <c r="U13" s="11">
        <v>25.683521007827142</v>
      </c>
      <c r="V13" s="11">
        <v>25.456333561960083</v>
      </c>
      <c r="W13" s="11">
        <v>27.886221209663034</v>
      </c>
      <c r="X13" s="11">
        <v>29.570554921212487</v>
      </c>
      <c r="Y13" s="11">
        <v>29.864256531862942</v>
      </c>
      <c r="Z13" s="11">
        <v>30.241167428856798</v>
      </c>
      <c r="AA13" s="11">
        <v>30.689591351831908</v>
      </c>
      <c r="AB13" s="11">
        <v>31.080990691346837</v>
      </c>
      <c r="AC13" s="11">
        <v>31.458809587616525</v>
      </c>
      <c r="AD13" s="11">
        <v>31.840493012835317</v>
      </c>
      <c r="AE13" s="11">
        <v>32.243816569038422</v>
      </c>
      <c r="AF13" s="11">
        <v>32.643303922806837</v>
      </c>
      <c r="AG13" s="11">
        <v>33.067746380898612</v>
      </c>
      <c r="AH13" s="11">
        <v>33.488339561866702</v>
      </c>
      <c r="AI13" s="11">
        <v>33.911620627770603</v>
      </c>
      <c r="AJ13" s="11">
        <v>34.346763324747137</v>
      </c>
      <c r="AK13" s="11">
        <v>34.780492502895754</v>
      </c>
      <c r="AL13" s="11">
        <v>35.208060016251721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87">
        <f t="shared" ref="M15" si="4">SUM(M16:M20)</f>
        <v>53.373040106788572</v>
      </c>
      <c r="N15" s="87">
        <f>SUM(N16:N20)</f>
        <v>53.085699220941592</v>
      </c>
      <c r="O15" s="87">
        <f t="shared" ref="O15:AL15" si="5">SUM(O16:O20)</f>
        <v>54.517980862841341</v>
      </c>
      <c r="P15" s="87">
        <f t="shared" si="5"/>
        <v>54.016251400602997</v>
      </c>
      <c r="Q15" s="87">
        <f t="shared" si="5"/>
        <v>54.773115656466352</v>
      </c>
      <c r="R15" s="87">
        <f t="shared" si="5"/>
        <v>56.127385363836453</v>
      </c>
      <c r="S15" s="87">
        <f t="shared" si="5"/>
        <v>56.929880454625994</v>
      </c>
      <c r="T15" s="87">
        <f t="shared" si="5"/>
        <v>59.145991111724442</v>
      </c>
      <c r="U15" s="87">
        <f t="shared" si="5"/>
        <v>58.733511687785949</v>
      </c>
      <c r="V15" s="87">
        <f t="shared" si="5"/>
        <v>58.71638203189363</v>
      </c>
      <c r="W15" s="87">
        <f t="shared" si="5"/>
        <v>60.870563130092535</v>
      </c>
      <c r="X15" s="87">
        <f t="shared" si="5"/>
        <v>57.442333496803599</v>
      </c>
      <c r="Y15" s="87">
        <f t="shared" si="5"/>
        <v>57.704340942600403</v>
      </c>
      <c r="Z15" s="87">
        <f t="shared" si="5"/>
        <v>58.142820905054862</v>
      </c>
      <c r="AA15" s="87">
        <f t="shared" si="5"/>
        <v>58.75190152452349</v>
      </c>
      <c r="AB15" s="87">
        <f t="shared" si="5"/>
        <v>59.244897095735702</v>
      </c>
      <c r="AC15" s="87">
        <f t="shared" si="5"/>
        <v>59.677107882257957</v>
      </c>
      <c r="AD15" s="87">
        <f t="shared" si="5"/>
        <v>60.089613895628659</v>
      </c>
      <c r="AE15" s="87">
        <f t="shared" si="5"/>
        <v>60.518057932397625</v>
      </c>
      <c r="AF15" s="87">
        <f t="shared" si="5"/>
        <v>60.960189262745985</v>
      </c>
      <c r="AG15" s="87">
        <f t="shared" si="5"/>
        <v>61.414224996583748</v>
      </c>
      <c r="AH15" s="87">
        <f t="shared" si="5"/>
        <v>61.852665016203787</v>
      </c>
      <c r="AI15" s="87">
        <f t="shared" si="5"/>
        <v>62.284147253015504</v>
      </c>
      <c r="AJ15" s="87">
        <f t="shared" si="5"/>
        <v>62.765592948006486</v>
      </c>
      <c r="AK15" s="87">
        <f t="shared" si="5"/>
        <v>63.229726270377128</v>
      </c>
      <c r="AL15" s="87">
        <f t="shared" si="5"/>
        <v>63.713873046934694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232" t="str">
        <f>'Occ T3'!A18</f>
        <v>31 Science, engineering and technology associate professionals</v>
      </c>
      <c r="M16" s="11">
        <v>8.0026378401913014</v>
      </c>
      <c r="N16" s="11">
        <v>7.8918188838311778</v>
      </c>
      <c r="O16" s="11">
        <v>7.9566676567861307</v>
      </c>
      <c r="P16" s="11">
        <v>8.0950719656552472</v>
      </c>
      <c r="Q16" s="11">
        <v>7.5275931013521156</v>
      </c>
      <c r="R16" s="11">
        <v>7.6396337675645318</v>
      </c>
      <c r="S16" s="11">
        <v>7.7316004319096399</v>
      </c>
      <c r="T16" s="11">
        <v>8.4433808137116042</v>
      </c>
      <c r="U16" s="11">
        <v>8.6189110609179558</v>
      </c>
      <c r="V16" s="11">
        <v>8.0778177441015497</v>
      </c>
      <c r="W16" s="11">
        <v>8.7583830870047237</v>
      </c>
      <c r="X16" s="11">
        <v>7.3737508482823548</v>
      </c>
      <c r="Y16" s="11">
        <v>7.3971727148162119</v>
      </c>
      <c r="Z16" s="11">
        <v>7.4315513350589963</v>
      </c>
      <c r="AA16" s="11">
        <v>7.4817460731228964</v>
      </c>
      <c r="AB16" s="11">
        <v>7.5158864549179052</v>
      </c>
      <c r="AC16" s="11">
        <v>7.5472509978041025</v>
      </c>
      <c r="AD16" s="11">
        <v>7.5743287865842346</v>
      </c>
      <c r="AE16" s="11">
        <v>7.6021161370731614</v>
      </c>
      <c r="AF16" s="11">
        <v>7.6227281728263474</v>
      </c>
      <c r="AG16" s="11">
        <v>7.6471815463463866</v>
      </c>
      <c r="AH16" s="11">
        <v>7.67512157304356</v>
      </c>
      <c r="AI16" s="11">
        <v>7.701147212751394</v>
      </c>
      <c r="AJ16" s="11">
        <v>7.7271501834338672</v>
      </c>
      <c r="AK16" s="11">
        <v>7.7601480627335855</v>
      </c>
      <c r="AL16" s="11">
        <v>7.7929826577159558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232" t="str">
        <f>'Occ T3'!A19</f>
        <v>32 Health and social care associate professionals</v>
      </c>
      <c r="M17" s="11">
        <v>7.4533977210465165</v>
      </c>
      <c r="N17" s="11">
        <v>9.6402914284411612</v>
      </c>
      <c r="O17" s="11">
        <v>9.6565284049571467</v>
      </c>
      <c r="P17" s="11">
        <v>9.3633055853096216</v>
      </c>
      <c r="Q17" s="11">
        <v>9.4873040570003813</v>
      </c>
      <c r="R17" s="11">
        <v>9.0328897579836394</v>
      </c>
      <c r="S17" s="11">
        <v>10.067518877132974</v>
      </c>
      <c r="T17" s="11">
        <v>10.260715582861984</v>
      </c>
      <c r="U17" s="11">
        <v>10.639545655659225</v>
      </c>
      <c r="V17" s="11">
        <v>10.956729770428341</v>
      </c>
      <c r="W17" s="11">
        <v>11.033633555444206</v>
      </c>
      <c r="X17" s="11">
        <v>10.775479689673926</v>
      </c>
      <c r="Y17" s="11">
        <v>10.914720817465346</v>
      </c>
      <c r="Z17" s="11">
        <v>11.060559549407602</v>
      </c>
      <c r="AA17" s="11">
        <v>11.224799784077442</v>
      </c>
      <c r="AB17" s="11">
        <v>11.362405938440382</v>
      </c>
      <c r="AC17" s="11">
        <v>11.489489309434774</v>
      </c>
      <c r="AD17" s="11">
        <v>11.613532197854431</v>
      </c>
      <c r="AE17" s="11">
        <v>11.742761029893552</v>
      </c>
      <c r="AF17" s="11">
        <v>11.866871312785403</v>
      </c>
      <c r="AG17" s="11">
        <v>11.990685196717719</v>
      </c>
      <c r="AH17" s="11">
        <v>12.103423596120086</v>
      </c>
      <c r="AI17" s="11">
        <v>12.211814813659844</v>
      </c>
      <c r="AJ17" s="11">
        <v>12.338007919448868</v>
      </c>
      <c r="AK17" s="11">
        <v>12.464333097647028</v>
      </c>
      <c r="AL17" s="11">
        <v>12.588267509691507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232" t="str">
        <f>'Occ T3'!A20</f>
        <v>33 Protective service occupations</v>
      </c>
      <c r="M18" s="11">
        <v>4.3847456175225963</v>
      </c>
      <c r="N18" s="11">
        <v>4.9115292651673448</v>
      </c>
      <c r="O18" s="11">
        <v>5.1879496914215499</v>
      </c>
      <c r="P18" s="11">
        <v>4.5116944284687861</v>
      </c>
      <c r="Q18" s="11">
        <v>4.7548846718762015</v>
      </c>
      <c r="R18" s="11">
        <v>4.4444232941510675</v>
      </c>
      <c r="S18" s="11">
        <v>4.8746564590373813</v>
      </c>
      <c r="T18" s="11">
        <v>4.6762088076401831</v>
      </c>
      <c r="U18" s="11">
        <v>4.5919056855440186</v>
      </c>
      <c r="V18" s="11">
        <v>4.4270085893151148</v>
      </c>
      <c r="W18" s="11">
        <v>4.7001992247175384</v>
      </c>
      <c r="X18" s="11">
        <v>5.2480015015099708</v>
      </c>
      <c r="Y18" s="11">
        <v>5.345221490821066</v>
      </c>
      <c r="Z18" s="11">
        <v>5.4525264924214936</v>
      </c>
      <c r="AA18" s="11">
        <v>5.5767874409855107</v>
      </c>
      <c r="AB18" s="11">
        <v>5.69735112555668</v>
      </c>
      <c r="AC18" s="11">
        <v>5.8022048469176415</v>
      </c>
      <c r="AD18" s="11">
        <v>5.9054388598480552</v>
      </c>
      <c r="AE18" s="11">
        <v>5.9915946681660941</v>
      </c>
      <c r="AF18" s="11">
        <v>6.1068670381465351</v>
      </c>
      <c r="AG18" s="11">
        <v>6.2043813731658952</v>
      </c>
      <c r="AH18" s="11">
        <v>6.3003570587587214</v>
      </c>
      <c r="AI18" s="11">
        <v>6.3821898289626704</v>
      </c>
      <c r="AJ18" s="11">
        <v>6.5008449120898337</v>
      </c>
      <c r="AK18" s="11">
        <v>6.5855470290785822</v>
      </c>
      <c r="AL18" s="11">
        <v>6.7057443147351909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232" t="str">
        <f>'Occ T3'!A21</f>
        <v>34 Culture, media and sports occupations</v>
      </c>
      <c r="M19" s="11">
        <v>6.1358370109161919</v>
      </c>
      <c r="N19" s="11">
        <v>5.4715088391413085</v>
      </c>
      <c r="O19" s="11">
        <v>5.9313934480462036</v>
      </c>
      <c r="P19" s="11">
        <v>6.1979401114567683</v>
      </c>
      <c r="Q19" s="11">
        <v>6.3931837189110849</v>
      </c>
      <c r="R19" s="11">
        <v>7.5269975158661104</v>
      </c>
      <c r="S19" s="11">
        <v>6.9017045137573643</v>
      </c>
      <c r="T19" s="11">
        <v>7.3001313924002416</v>
      </c>
      <c r="U19" s="11">
        <v>6.6834593502709652</v>
      </c>
      <c r="V19" s="11">
        <v>7.4707121265529315</v>
      </c>
      <c r="W19" s="11">
        <v>7.6662439139121092</v>
      </c>
      <c r="X19" s="11">
        <v>7.1276068497315004</v>
      </c>
      <c r="Y19" s="11">
        <v>7.0290115605976364</v>
      </c>
      <c r="Z19" s="11">
        <v>7.0459875372715786</v>
      </c>
      <c r="AA19" s="11">
        <v>7.1380119569636653</v>
      </c>
      <c r="AB19" s="11">
        <v>7.2223067456246826</v>
      </c>
      <c r="AC19" s="11">
        <v>7.297705325039022</v>
      </c>
      <c r="AD19" s="11">
        <v>7.370373356019579</v>
      </c>
      <c r="AE19" s="11">
        <v>7.4458324890492058</v>
      </c>
      <c r="AF19" s="11">
        <v>7.5229663488957987</v>
      </c>
      <c r="AG19" s="11">
        <v>7.6072543395279677</v>
      </c>
      <c r="AH19" s="11">
        <v>7.6826981623624411</v>
      </c>
      <c r="AI19" s="11">
        <v>7.7674684028824732</v>
      </c>
      <c r="AJ19" s="11">
        <v>7.8576607391102531</v>
      </c>
      <c r="AK19" s="11">
        <v>7.9399584690172924</v>
      </c>
      <c r="AL19" s="11">
        <v>8.0255058830183881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232" t="str">
        <f>'Occ T3'!A22</f>
        <v>35 Business and public service associate professionals</v>
      </c>
      <c r="M20" s="11">
        <v>27.396421917111965</v>
      </c>
      <c r="N20" s="11">
        <v>25.170550804360605</v>
      </c>
      <c r="O20" s="11">
        <v>25.785441661630305</v>
      </c>
      <c r="P20" s="11">
        <v>25.848239309712579</v>
      </c>
      <c r="Q20" s="11">
        <v>26.610150107326568</v>
      </c>
      <c r="R20" s="11">
        <v>27.483441028271102</v>
      </c>
      <c r="S20" s="11">
        <v>27.354400172788637</v>
      </c>
      <c r="T20" s="11">
        <v>28.465554515110426</v>
      </c>
      <c r="U20" s="11">
        <v>28.199689935393781</v>
      </c>
      <c r="V20" s="11">
        <v>27.784113801495693</v>
      </c>
      <c r="W20" s="11">
        <v>28.712103349013955</v>
      </c>
      <c r="X20" s="11">
        <v>26.91749460760585</v>
      </c>
      <c r="Y20" s="11">
        <v>27.018214358900138</v>
      </c>
      <c r="Z20" s="11">
        <v>27.152195990895187</v>
      </c>
      <c r="AA20" s="11">
        <v>27.330556269373972</v>
      </c>
      <c r="AB20" s="11">
        <v>27.446946831196055</v>
      </c>
      <c r="AC20" s="11">
        <v>27.540457403062423</v>
      </c>
      <c r="AD20" s="11">
        <v>27.625940695322363</v>
      </c>
      <c r="AE20" s="11">
        <v>27.73575360821561</v>
      </c>
      <c r="AF20" s="11">
        <v>27.840756390091904</v>
      </c>
      <c r="AG20" s="11">
        <v>27.964722540825782</v>
      </c>
      <c r="AH20" s="11">
        <v>28.091064625918978</v>
      </c>
      <c r="AI20" s="11">
        <v>28.221526994759124</v>
      </c>
      <c r="AJ20" s="11">
        <v>28.341929193923672</v>
      </c>
      <c r="AK20" s="11">
        <v>28.479739611900644</v>
      </c>
      <c r="AL20" s="11">
        <v>28.60137268177365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87">
        <f t="shared" ref="M22" si="6">SUM(M23:M24)</f>
        <v>57.839044153626915</v>
      </c>
      <c r="N22" s="87">
        <f>SUM(N23:N24)</f>
        <v>57.908265786389578</v>
      </c>
      <c r="O22" s="87">
        <f t="shared" ref="O22:AL22" si="7">SUM(O23:O24)</f>
        <v>58.656731622355025</v>
      </c>
      <c r="P22" s="87">
        <f t="shared" si="7"/>
        <v>56.430568954100764</v>
      </c>
      <c r="Q22" s="87">
        <f t="shared" si="7"/>
        <v>57.452543673448162</v>
      </c>
      <c r="R22" s="87">
        <f t="shared" si="7"/>
        <v>60.137952735863834</v>
      </c>
      <c r="S22" s="87">
        <f t="shared" si="7"/>
        <v>57.612393248091699</v>
      </c>
      <c r="T22" s="87">
        <f t="shared" si="7"/>
        <v>60.105228409853098</v>
      </c>
      <c r="U22" s="87">
        <f t="shared" si="7"/>
        <v>58.395454884826407</v>
      </c>
      <c r="V22" s="87">
        <f t="shared" si="7"/>
        <v>54.660014915246528</v>
      </c>
      <c r="W22" s="87">
        <f t="shared" si="7"/>
        <v>56.605928964515698</v>
      </c>
      <c r="X22" s="87">
        <f t="shared" si="7"/>
        <v>54.408414396816077</v>
      </c>
      <c r="Y22" s="87">
        <f t="shared" si="7"/>
        <v>54.259670669317558</v>
      </c>
      <c r="Z22" s="87">
        <f t="shared" si="7"/>
        <v>54.05991766896247</v>
      </c>
      <c r="AA22" s="87">
        <f t="shared" si="7"/>
        <v>53.907290959990519</v>
      </c>
      <c r="AB22" s="87">
        <f t="shared" si="7"/>
        <v>53.603520890825322</v>
      </c>
      <c r="AC22" s="87">
        <f t="shared" si="7"/>
        <v>53.151646679872087</v>
      </c>
      <c r="AD22" s="87">
        <f t="shared" si="7"/>
        <v>52.667133831714914</v>
      </c>
      <c r="AE22" s="87">
        <f t="shared" si="7"/>
        <v>52.139683715668284</v>
      </c>
      <c r="AF22" s="87">
        <f t="shared" si="7"/>
        <v>51.592641000517929</v>
      </c>
      <c r="AG22" s="87">
        <f t="shared" si="7"/>
        <v>51.063396012234037</v>
      </c>
      <c r="AH22" s="87">
        <f t="shared" si="7"/>
        <v>50.502545249113687</v>
      </c>
      <c r="AI22" s="87">
        <f t="shared" si="7"/>
        <v>49.942640856519866</v>
      </c>
      <c r="AJ22" s="87">
        <f t="shared" si="7"/>
        <v>49.296886769648211</v>
      </c>
      <c r="AK22" s="87">
        <f t="shared" si="7"/>
        <v>48.68600762111047</v>
      </c>
      <c r="AL22" s="87">
        <f t="shared" si="7"/>
        <v>48.148843754609096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232" t="str">
        <f>'Occ T3'!A25</f>
        <v>41 Administrative occupations</v>
      </c>
      <c r="M23" s="11">
        <v>45.161833904360776</v>
      </c>
      <c r="N23" s="11">
        <v>46.115132316247113</v>
      </c>
      <c r="O23" s="11">
        <v>47.259612307060692</v>
      </c>
      <c r="P23" s="11">
        <v>45.025754410125678</v>
      </c>
      <c r="Q23" s="11">
        <v>46.156371669307269</v>
      </c>
      <c r="R23" s="11">
        <v>49.138399456658071</v>
      </c>
      <c r="S23" s="11">
        <v>47.20739248200384</v>
      </c>
      <c r="T23" s="11">
        <v>48.978127392640417</v>
      </c>
      <c r="U23" s="11">
        <v>47.505286060506641</v>
      </c>
      <c r="V23" s="11">
        <v>45.16515184624641</v>
      </c>
      <c r="W23" s="11">
        <v>47.317539575288471</v>
      </c>
      <c r="X23" s="11">
        <v>44.057363760533121</v>
      </c>
      <c r="Y23" s="11">
        <v>44.011200769834474</v>
      </c>
      <c r="Z23" s="11">
        <v>43.955441614926634</v>
      </c>
      <c r="AA23" s="11">
        <v>43.947499598574666</v>
      </c>
      <c r="AB23" s="11">
        <v>43.850294522272151</v>
      </c>
      <c r="AC23" s="11">
        <v>43.690925580091651</v>
      </c>
      <c r="AD23" s="11">
        <v>43.482759299845604</v>
      </c>
      <c r="AE23" s="11">
        <v>43.258909287446805</v>
      </c>
      <c r="AF23" s="11">
        <v>43.041504008103537</v>
      </c>
      <c r="AG23" s="11">
        <v>42.846698593311238</v>
      </c>
      <c r="AH23" s="11">
        <v>42.635041701430175</v>
      </c>
      <c r="AI23" s="11">
        <v>42.399505020870976</v>
      </c>
      <c r="AJ23" s="11">
        <v>42.160105531344598</v>
      </c>
      <c r="AK23" s="11">
        <v>41.896682124452767</v>
      </c>
      <c r="AL23" s="11">
        <v>41.608672087451644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232" t="str">
        <f>'Occ T3'!A26</f>
        <v>42 Secretarial and related occupations</v>
      </c>
      <c r="M24" s="11">
        <v>12.677210249266139</v>
      </c>
      <c r="N24" s="11">
        <v>11.793133470142468</v>
      </c>
      <c r="O24" s="11">
        <v>11.397119315294333</v>
      </c>
      <c r="P24" s="11">
        <v>11.404814543975085</v>
      </c>
      <c r="Q24" s="11">
        <v>11.296172004140891</v>
      </c>
      <c r="R24" s="11">
        <v>10.999553279205763</v>
      </c>
      <c r="S24" s="11">
        <v>10.405000766087859</v>
      </c>
      <c r="T24" s="11">
        <v>11.127101017212677</v>
      </c>
      <c r="U24" s="11">
        <v>10.890168824319764</v>
      </c>
      <c r="V24" s="11">
        <v>9.4948630690001199</v>
      </c>
      <c r="W24" s="11">
        <v>9.2883893892272287</v>
      </c>
      <c r="X24" s="11">
        <v>10.351050636282958</v>
      </c>
      <c r="Y24" s="11">
        <v>10.248469899483082</v>
      </c>
      <c r="Z24" s="11">
        <v>10.104476054035839</v>
      </c>
      <c r="AA24" s="11">
        <v>9.9597913614158546</v>
      </c>
      <c r="AB24" s="11">
        <v>9.7532263685531753</v>
      </c>
      <c r="AC24" s="11">
        <v>9.4607210997804341</v>
      </c>
      <c r="AD24" s="11">
        <v>9.1843745318693095</v>
      </c>
      <c r="AE24" s="11">
        <v>8.8807744282214749</v>
      </c>
      <c r="AF24" s="11">
        <v>8.5511369924143903</v>
      </c>
      <c r="AG24" s="11">
        <v>8.2166974189228004</v>
      </c>
      <c r="AH24" s="11">
        <v>7.8675035476835111</v>
      </c>
      <c r="AI24" s="11">
        <v>7.54313583564889</v>
      </c>
      <c r="AJ24" s="11">
        <v>7.1367812383036151</v>
      </c>
      <c r="AK24" s="11">
        <v>6.7893254966577024</v>
      </c>
      <c r="AL24" s="11">
        <v>6.5401716671574537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87">
        <f t="shared" ref="M26" si="8">SUM(M27:M30)</f>
        <v>62.283260145895568</v>
      </c>
      <c r="N26" s="87">
        <f>SUM(N27:N30)</f>
        <v>59.671523214064266</v>
      </c>
      <c r="O26" s="87">
        <f t="shared" ref="O26:AL26" si="9">SUM(O27:O30)</f>
        <v>59.696882766051296</v>
      </c>
      <c r="P26" s="87">
        <f t="shared" si="9"/>
        <v>58.625360838856096</v>
      </c>
      <c r="Q26" s="87">
        <f t="shared" si="9"/>
        <v>58.532682149842067</v>
      </c>
      <c r="R26" s="87">
        <f>SUM(R27:R30)</f>
        <v>61.298727794930358</v>
      </c>
      <c r="S26" s="87">
        <f t="shared" si="9"/>
        <v>55.383601143806672</v>
      </c>
      <c r="T26" s="87">
        <f t="shared" si="9"/>
        <v>56.415552069732712</v>
      </c>
      <c r="U26" s="87">
        <f t="shared" si="9"/>
        <v>59.120344981239569</v>
      </c>
      <c r="V26" s="87">
        <f t="shared" si="9"/>
        <v>61.935890697668654</v>
      </c>
      <c r="W26" s="87">
        <f t="shared" si="9"/>
        <v>52.306630670550817</v>
      </c>
      <c r="X26" s="87">
        <f t="shared" si="9"/>
        <v>53.213547449699838</v>
      </c>
      <c r="Y26" s="87">
        <f t="shared" si="9"/>
        <v>52.728232768282233</v>
      </c>
      <c r="Z26" s="87">
        <f t="shared" si="9"/>
        <v>52.209396939536006</v>
      </c>
      <c r="AA26" s="87">
        <f t="shared" si="9"/>
        <v>51.850543213581659</v>
      </c>
      <c r="AB26" s="87">
        <f t="shared" si="9"/>
        <v>51.461610878246773</v>
      </c>
      <c r="AC26" s="87">
        <f t="shared" si="9"/>
        <v>51.032207670320496</v>
      </c>
      <c r="AD26" s="87">
        <f t="shared" si="9"/>
        <v>50.585231316105663</v>
      </c>
      <c r="AE26" s="87">
        <f t="shared" si="9"/>
        <v>50.161880338193697</v>
      </c>
      <c r="AF26" s="87">
        <f t="shared" si="9"/>
        <v>49.733766197922833</v>
      </c>
      <c r="AG26" s="87">
        <f t="shared" si="9"/>
        <v>49.332706691016512</v>
      </c>
      <c r="AH26" s="87">
        <f t="shared" si="9"/>
        <v>48.930582798519033</v>
      </c>
      <c r="AI26" s="87">
        <f t="shared" si="9"/>
        <v>48.544779439297159</v>
      </c>
      <c r="AJ26" s="87">
        <f t="shared" si="9"/>
        <v>48.165076448109005</v>
      </c>
      <c r="AK26" s="87">
        <f t="shared" si="9"/>
        <v>47.781412871265445</v>
      </c>
      <c r="AL26" s="87">
        <f t="shared" si="9"/>
        <v>47.401734716717307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232" t="str">
        <f>'Occ T3'!A29</f>
        <v>51 Skilled agricultural and related trades</v>
      </c>
      <c r="M27" s="11">
        <v>4.080435662613568</v>
      </c>
      <c r="N27" s="11">
        <v>3.5904698845939773</v>
      </c>
      <c r="O27" s="11">
        <v>4.3377884149111736</v>
      </c>
      <c r="P27" s="11">
        <v>3.2697117352010374</v>
      </c>
      <c r="Q27" s="11">
        <v>3.2934022970348686</v>
      </c>
      <c r="R27" s="11">
        <v>4.3313158907234133</v>
      </c>
      <c r="S27" s="11">
        <v>3.5746174495726151</v>
      </c>
      <c r="T27" s="11">
        <v>3.2279705212636527</v>
      </c>
      <c r="U27" s="11">
        <v>3.8565027737642148</v>
      </c>
      <c r="V27" s="11">
        <v>3.8065912759839788</v>
      </c>
      <c r="W27" s="11">
        <v>3.1859142674106149</v>
      </c>
      <c r="X27" s="11">
        <v>3.1215382572709167</v>
      </c>
      <c r="Y27" s="11">
        <v>3.1487476259115184</v>
      </c>
      <c r="Z27" s="11">
        <v>3.203848969870474</v>
      </c>
      <c r="AA27" s="11">
        <v>3.2681127852174154</v>
      </c>
      <c r="AB27" s="11">
        <v>3.3169662328551017</v>
      </c>
      <c r="AC27" s="11">
        <v>3.3596052987640523</v>
      </c>
      <c r="AD27" s="11">
        <v>3.4018847035326054</v>
      </c>
      <c r="AE27" s="11">
        <v>3.4422752034404591</v>
      </c>
      <c r="AF27" s="11">
        <v>3.4815354747554808</v>
      </c>
      <c r="AG27" s="11">
        <v>3.5211529679083551</v>
      </c>
      <c r="AH27" s="11">
        <v>3.5609264400854461</v>
      </c>
      <c r="AI27" s="11">
        <v>3.5994012675522753</v>
      </c>
      <c r="AJ27" s="11">
        <v>3.6386238873945409</v>
      </c>
      <c r="AK27" s="11">
        <v>3.6767096855280021</v>
      </c>
      <c r="AL27" s="11">
        <v>3.713963148852669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232" t="str">
        <f>'Occ T3'!A30</f>
        <v>52 Skilled metal, electrical and electronic trades</v>
      </c>
      <c r="M28" s="11">
        <v>26.661298653155974</v>
      </c>
      <c r="N28" s="11">
        <v>27.83055534218758</v>
      </c>
      <c r="O28" s="11">
        <v>26.20716600711464</v>
      </c>
      <c r="P28" s="11">
        <v>26.962480865521833</v>
      </c>
      <c r="Q28" s="11">
        <v>27.624335576488789</v>
      </c>
      <c r="R28" s="11">
        <v>28.622677836919472</v>
      </c>
      <c r="S28" s="11">
        <v>25.724720859878769</v>
      </c>
      <c r="T28" s="11">
        <v>25.635212164857723</v>
      </c>
      <c r="U28" s="11">
        <v>26.539787075308933</v>
      </c>
      <c r="V28" s="11">
        <v>28.343637186861049</v>
      </c>
      <c r="W28" s="11">
        <v>23.336997409184566</v>
      </c>
      <c r="X28" s="11">
        <v>23.284028694537515</v>
      </c>
      <c r="Y28" s="11">
        <v>23.062878214521525</v>
      </c>
      <c r="Z28" s="11">
        <v>22.870752113240098</v>
      </c>
      <c r="AA28" s="11">
        <v>22.744157348813665</v>
      </c>
      <c r="AB28" s="11">
        <v>22.590240240806626</v>
      </c>
      <c r="AC28" s="11">
        <v>22.413003695326051</v>
      </c>
      <c r="AD28" s="11">
        <v>22.222437634560436</v>
      </c>
      <c r="AE28" s="11">
        <v>22.027109296027</v>
      </c>
      <c r="AF28" s="11">
        <v>21.830954845194878</v>
      </c>
      <c r="AG28" s="11">
        <v>21.656406703999824</v>
      </c>
      <c r="AH28" s="11">
        <v>21.486195839295121</v>
      </c>
      <c r="AI28" s="11">
        <v>21.329162939683638</v>
      </c>
      <c r="AJ28" s="11">
        <v>21.169965149019212</v>
      </c>
      <c r="AK28" s="11">
        <v>21.008785389477087</v>
      </c>
      <c r="AL28" s="11">
        <v>20.844900637900004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232" t="str">
        <f>'Occ T3'!A31</f>
        <v>53 Skilled construction and building trades</v>
      </c>
      <c r="M29" s="11">
        <v>21.939953590862331</v>
      </c>
      <c r="N29" s="11">
        <v>19.266645040314831</v>
      </c>
      <c r="O29" s="11">
        <v>19.142441405836848</v>
      </c>
      <c r="P29" s="11">
        <v>18.733869847113901</v>
      </c>
      <c r="Q29" s="11">
        <v>17.544630040894642</v>
      </c>
      <c r="R29" s="11">
        <v>18.67563056886091</v>
      </c>
      <c r="S29" s="11">
        <v>16.649291473084322</v>
      </c>
      <c r="T29" s="11">
        <v>17.534964933690933</v>
      </c>
      <c r="U29" s="11">
        <v>19.903460972146664</v>
      </c>
      <c r="V29" s="11">
        <v>21.339556958033437</v>
      </c>
      <c r="W29" s="11">
        <v>17.433599719002551</v>
      </c>
      <c r="X29" s="11">
        <v>18.461197175676674</v>
      </c>
      <c r="Y29" s="11">
        <v>18.233341932301251</v>
      </c>
      <c r="Z29" s="11">
        <v>17.957262374998237</v>
      </c>
      <c r="AA29" s="11">
        <v>17.749038953573283</v>
      </c>
      <c r="AB29" s="11">
        <v>17.553314521586643</v>
      </c>
      <c r="AC29" s="11">
        <v>17.328481183368844</v>
      </c>
      <c r="AD29" s="11">
        <v>17.097629540171514</v>
      </c>
      <c r="AE29" s="11">
        <v>16.888440145799777</v>
      </c>
      <c r="AF29" s="11">
        <v>16.670066580082185</v>
      </c>
      <c r="AG29" s="11">
        <v>16.451366174416059</v>
      </c>
      <c r="AH29" s="11">
        <v>16.228679713840986</v>
      </c>
      <c r="AI29" s="11">
        <v>16.009762247200502</v>
      </c>
      <c r="AJ29" s="11">
        <v>15.795926991542348</v>
      </c>
      <c r="AK29" s="11">
        <v>15.577790865560063</v>
      </c>
      <c r="AL29" s="11">
        <v>15.357819560659681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232" t="str">
        <f>'Occ T3'!A32</f>
        <v>54 Textiles, printing and other skilled trades</v>
      </c>
      <c r="M30" s="11">
        <v>9.601572239263696</v>
      </c>
      <c r="N30" s="11">
        <v>8.9838529469678683</v>
      </c>
      <c r="O30" s="11">
        <v>10.009486938188639</v>
      </c>
      <c r="P30" s="11">
        <v>9.6592983910193162</v>
      </c>
      <c r="Q30" s="11">
        <v>10.070314235423767</v>
      </c>
      <c r="R30" s="11">
        <v>9.669103498426562</v>
      </c>
      <c r="S30" s="11">
        <v>9.4349713612709696</v>
      </c>
      <c r="T30" s="11">
        <v>10.017404449920406</v>
      </c>
      <c r="U30" s="11">
        <v>8.8205941600197484</v>
      </c>
      <c r="V30" s="11">
        <v>8.4461052767901936</v>
      </c>
      <c r="W30" s="11">
        <v>8.3501192749530908</v>
      </c>
      <c r="X30" s="11">
        <v>8.3467833222147334</v>
      </c>
      <c r="Y30" s="11">
        <v>8.28326499554794</v>
      </c>
      <c r="Z30" s="11">
        <v>8.1775334814271989</v>
      </c>
      <c r="AA30" s="11">
        <v>8.0892341259772955</v>
      </c>
      <c r="AB30" s="11">
        <v>8.0010898829984018</v>
      </c>
      <c r="AC30" s="11">
        <v>7.9311174928615538</v>
      </c>
      <c r="AD30" s="11">
        <v>7.8632794378411086</v>
      </c>
      <c r="AE30" s="11">
        <v>7.8040556929264611</v>
      </c>
      <c r="AF30" s="11">
        <v>7.7512092978902878</v>
      </c>
      <c r="AG30" s="11">
        <v>7.7037808446922726</v>
      </c>
      <c r="AH30" s="11">
        <v>7.6547808052974835</v>
      </c>
      <c r="AI30" s="11">
        <v>7.6064529848607432</v>
      </c>
      <c r="AJ30" s="11">
        <v>7.5605604201529015</v>
      </c>
      <c r="AK30" s="11">
        <v>7.5181269307002916</v>
      </c>
      <c r="AL30" s="11">
        <v>7.4850513693049479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87">
        <f t="shared" ref="M32:AD32" si="10">SUM(M33:M35)</f>
        <v>49.64955246647142</v>
      </c>
      <c r="N32" s="87">
        <f t="shared" si="10"/>
        <v>48.53703457437981</v>
      </c>
      <c r="O32" s="87">
        <f t="shared" si="10"/>
        <v>48.50352353155295</v>
      </c>
      <c r="P32" s="87">
        <f t="shared" si="10"/>
        <v>48.320399174321786</v>
      </c>
      <c r="Q32" s="87">
        <f t="shared" si="10"/>
        <v>49.428066574358013</v>
      </c>
      <c r="R32" s="87">
        <f t="shared" si="10"/>
        <v>50.478192628686529</v>
      </c>
      <c r="S32" s="87">
        <f t="shared" si="10"/>
        <v>53.914374344641068</v>
      </c>
      <c r="T32" s="87">
        <f t="shared" si="10"/>
        <v>54.303486700278015</v>
      </c>
      <c r="U32" s="87">
        <f t="shared" si="10"/>
        <v>50.660892596097916</v>
      </c>
      <c r="V32" s="87">
        <f t="shared" si="10"/>
        <v>51.457710511437924</v>
      </c>
      <c r="W32" s="87">
        <f t="shared" si="10"/>
        <v>49.410643446209662</v>
      </c>
      <c r="X32" s="87">
        <f t="shared" si="10"/>
        <v>50.93430164664008</v>
      </c>
      <c r="Y32" s="87">
        <f t="shared" si="10"/>
        <v>51.397760370707559</v>
      </c>
      <c r="Z32" s="87">
        <f t="shared" si="10"/>
        <v>51.933359126299464</v>
      </c>
      <c r="AA32" s="87">
        <f t="shared" si="10"/>
        <v>52.544633539241261</v>
      </c>
      <c r="AB32" s="87">
        <f t="shared" si="10"/>
        <v>53.053345602630927</v>
      </c>
      <c r="AC32" s="87">
        <f t="shared" si="10"/>
        <v>53.517484645223924</v>
      </c>
      <c r="AD32" s="87">
        <f t="shared" si="10"/>
        <v>53.964634979888338</v>
      </c>
      <c r="AE32" s="87">
        <f t="shared" ref="AE32" si="11">SUM(AE33:AE35)</f>
        <v>54.428452251081517</v>
      </c>
      <c r="AF32" s="87">
        <f t="shared" ref="AF32" si="12">SUM(AF33:AF35)</f>
        <v>54.876490547722575</v>
      </c>
      <c r="AG32" s="87">
        <f t="shared" ref="AG32" si="13">SUM(AG33:AG35)</f>
        <v>55.321361377425255</v>
      </c>
      <c r="AH32" s="87">
        <f t="shared" ref="AH32" si="14">SUM(AH33:AH35)</f>
        <v>55.7810399562782</v>
      </c>
      <c r="AI32" s="87">
        <f t="shared" ref="AI32" si="15">SUM(AI33:AI35)</f>
        <v>56.227251431491297</v>
      </c>
      <c r="AJ32" s="87">
        <f t="shared" ref="AJ32" si="16">SUM(AJ33:AJ35)</f>
        <v>56.703303861042876</v>
      </c>
      <c r="AK32" s="87">
        <f t="shared" ref="AK32" si="17">SUM(AK33:AK35)</f>
        <v>57.189806338644878</v>
      </c>
      <c r="AL32" s="87">
        <f t="shared" ref="AL32" si="18">SUM(AL33:AL35)</f>
        <v>57.663130107930762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232" t="str">
        <f>'Occ T3'!A35</f>
        <v>61 Caring personal service occupations</v>
      </c>
      <c r="M33" s="11">
        <v>40.033207993116129</v>
      </c>
      <c r="N33" s="11">
        <v>37.959200933851498</v>
      </c>
      <c r="O33" s="11">
        <v>38.406042557451286</v>
      </c>
      <c r="P33" s="11">
        <v>38.25971965827393</v>
      </c>
      <c r="Q33" s="11">
        <v>39.543933941939848</v>
      </c>
      <c r="R33" s="11">
        <v>38.549226321705412</v>
      </c>
      <c r="S33" s="11">
        <v>41.942520287753212</v>
      </c>
      <c r="T33" s="11">
        <v>42.545881975677794</v>
      </c>
      <c r="U33" s="11">
        <v>40.176890723472624</v>
      </c>
      <c r="V33" s="11">
        <v>41.061869374214055</v>
      </c>
      <c r="W33" s="11">
        <v>39.805845710644</v>
      </c>
      <c r="X33" s="11">
        <v>41.393943044685422</v>
      </c>
      <c r="Y33" s="11">
        <v>41.844931238740649</v>
      </c>
      <c r="Z33" s="11">
        <v>42.350589082901635</v>
      </c>
      <c r="AA33" s="11">
        <v>42.916675554131622</v>
      </c>
      <c r="AB33" s="11">
        <v>43.392777484738282</v>
      </c>
      <c r="AC33" s="11">
        <v>43.834033264990289</v>
      </c>
      <c r="AD33" s="11">
        <v>44.261168458521553</v>
      </c>
      <c r="AE33" s="11">
        <v>44.711112044394433</v>
      </c>
      <c r="AF33" s="11">
        <v>45.143675221735613</v>
      </c>
      <c r="AG33" s="11">
        <v>45.573022045842748</v>
      </c>
      <c r="AH33" s="11">
        <v>46.013827133101913</v>
      </c>
      <c r="AI33" s="11">
        <v>46.443055625807503</v>
      </c>
      <c r="AJ33" s="11">
        <v>46.901801054867207</v>
      </c>
      <c r="AK33" s="11">
        <v>47.363787799760779</v>
      </c>
      <c r="AL33" s="11">
        <v>47.806525479323881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232" t="str">
        <f>'Occ T3'!A36</f>
        <v>62 Leisure, travel and related personal service occupations</v>
      </c>
      <c r="M34" s="11">
        <v>8.9170316585108402</v>
      </c>
      <c r="N34" s="11">
        <v>10.106101074173056</v>
      </c>
      <c r="O34" s="11">
        <v>9.5986225024087677</v>
      </c>
      <c r="P34" s="11">
        <v>9.6299066863696687</v>
      </c>
      <c r="Q34" s="11">
        <v>9.378679267001468</v>
      </c>
      <c r="R34" s="11">
        <v>11.482295485656088</v>
      </c>
      <c r="S34" s="11">
        <v>11.590410131388957</v>
      </c>
      <c r="T34" s="11">
        <v>11.344925892794908</v>
      </c>
      <c r="U34" s="11">
        <v>10.053805296838453</v>
      </c>
      <c r="V34" s="11">
        <v>10.028377892597494</v>
      </c>
      <c r="W34" s="11">
        <v>9.1467848880288667</v>
      </c>
      <c r="X34" s="11">
        <v>9.1758400468276218</v>
      </c>
      <c r="Y34" s="11">
        <v>9.1844571380669038</v>
      </c>
      <c r="Z34" s="11">
        <v>9.210293413907582</v>
      </c>
      <c r="AA34" s="11">
        <v>9.2505254747091605</v>
      </c>
      <c r="AB34" s="11">
        <v>9.2777953908540791</v>
      </c>
      <c r="AC34" s="11">
        <v>9.2968299020191143</v>
      </c>
      <c r="AD34" s="11">
        <v>9.3131543526631386</v>
      </c>
      <c r="AE34" s="11">
        <v>9.3244936175580975</v>
      </c>
      <c r="AF34" s="11">
        <v>9.3351285229610639</v>
      </c>
      <c r="AG34" s="11">
        <v>9.3471102762113247</v>
      </c>
      <c r="AH34" s="11">
        <v>9.3625583708309765</v>
      </c>
      <c r="AI34" s="11">
        <v>9.37711750592808</v>
      </c>
      <c r="AJ34" s="11">
        <v>9.3897924934936547</v>
      </c>
      <c r="AK34" s="11">
        <v>9.4118499942447968</v>
      </c>
      <c r="AL34" s="11">
        <v>9.4378645671143033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232" t="str">
        <f>'Occ T3'!A37</f>
        <v>63 Community and civil enforcement occupations</v>
      </c>
      <c r="M35" s="11">
        <v>0.6993128148444463</v>
      </c>
      <c r="N35" s="11">
        <v>0.47173256635525901</v>
      </c>
      <c r="O35" s="11">
        <v>0.49885847169290004</v>
      </c>
      <c r="P35" s="11">
        <v>0.43077282967818448</v>
      </c>
      <c r="Q35" s="11">
        <v>0.50545336541669728</v>
      </c>
      <c r="R35" s="11">
        <v>0.44667082132503055</v>
      </c>
      <c r="S35" s="11">
        <v>0.38144392549890049</v>
      </c>
      <c r="T35" s="11">
        <v>0.4126788318053074</v>
      </c>
      <c r="U35" s="11">
        <v>0.43019657578683396</v>
      </c>
      <c r="V35" s="11">
        <v>0.3674632446263803</v>
      </c>
      <c r="W35" s="11">
        <v>0.45801284753679466</v>
      </c>
      <c r="X35" s="11">
        <v>0.3645185551270369</v>
      </c>
      <c r="Y35" s="11">
        <v>0.36837199390000896</v>
      </c>
      <c r="Z35" s="11">
        <v>0.37247662949025234</v>
      </c>
      <c r="AA35" s="11">
        <v>0.37743251040047854</v>
      </c>
      <c r="AB35" s="11">
        <v>0.38277272703856241</v>
      </c>
      <c r="AC35" s="11">
        <v>0.38662147821452203</v>
      </c>
      <c r="AD35" s="11">
        <v>0.39031216870364399</v>
      </c>
      <c r="AE35" s="11">
        <v>0.39284658912898462</v>
      </c>
      <c r="AF35" s="11">
        <v>0.39768680302589765</v>
      </c>
      <c r="AG35" s="11">
        <v>0.40122905537118175</v>
      </c>
      <c r="AH35" s="11">
        <v>0.40465445234531033</v>
      </c>
      <c r="AI35" s="11">
        <v>0.40707829975570736</v>
      </c>
      <c r="AJ35" s="11">
        <v>0.41171031268201219</v>
      </c>
      <c r="AK35" s="11">
        <v>0.41416854463929925</v>
      </c>
      <c r="AL35" s="11">
        <v>0.41874006149257798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87">
        <f>SUM(M38:M39)</f>
        <v>41.378814923302365</v>
      </c>
      <c r="N37" s="87">
        <f t="shared" ref="N37:AL37" si="19">SUM(N38:N39)</f>
        <v>42.501680808369002</v>
      </c>
      <c r="O37" s="87">
        <f t="shared" si="19"/>
        <v>43.753137498169878</v>
      </c>
      <c r="P37" s="87">
        <f t="shared" si="19"/>
        <v>42.95877828728355</v>
      </c>
      <c r="Q37" s="87">
        <f t="shared" si="19"/>
        <v>44.416715983540058</v>
      </c>
      <c r="R37" s="87">
        <f t="shared" si="19"/>
        <v>43.312490842090227</v>
      </c>
      <c r="S37" s="87">
        <f t="shared" si="19"/>
        <v>42.182400288866916</v>
      </c>
      <c r="T37" s="87">
        <f t="shared" si="19"/>
        <v>43.509005380004226</v>
      </c>
      <c r="U37" s="87">
        <f t="shared" si="19"/>
        <v>41.689892449189017</v>
      </c>
      <c r="V37" s="87">
        <f t="shared" si="19"/>
        <v>39.58425723188698</v>
      </c>
      <c r="W37" s="87">
        <f t="shared" si="19"/>
        <v>39.309638587229429</v>
      </c>
      <c r="X37" s="87">
        <f t="shared" si="19"/>
        <v>39.256818511038411</v>
      </c>
      <c r="Y37" s="87">
        <f t="shared" si="19"/>
        <v>39.292455739827993</v>
      </c>
      <c r="Z37" s="87">
        <f t="shared" si="19"/>
        <v>39.379448389904837</v>
      </c>
      <c r="AA37" s="87">
        <f t="shared" si="19"/>
        <v>39.495439458560284</v>
      </c>
      <c r="AB37" s="87">
        <f t="shared" si="19"/>
        <v>39.513198289376646</v>
      </c>
      <c r="AC37" s="87">
        <f t="shared" si="19"/>
        <v>39.498686228019345</v>
      </c>
      <c r="AD37" s="87">
        <f t="shared" si="19"/>
        <v>39.47129307805011</v>
      </c>
      <c r="AE37" s="87">
        <f t="shared" si="19"/>
        <v>39.442241325329178</v>
      </c>
      <c r="AF37" s="87">
        <f t="shared" si="19"/>
        <v>39.414775057074635</v>
      </c>
      <c r="AG37" s="87">
        <f t="shared" si="19"/>
        <v>39.392615844782888</v>
      </c>
      <c r="AH37" s="87">
        <f t="shared" si="19"/>
        <v>39.407329123574669</v>
      </c>
      <c r="AI37" s="87">
        <f t="shared" si="19"/>
        <v>39.419584137553741</v>
      </c>
      <c r="AJ37" s="87">
        <f t="shared" si="19"/>
        <v>39.43663754167526</v>
      </c>
      <c r="AK37" s="87">
        <f t="shared" si="19"/>
        <v>39.435859875312062</v>
      </c>
      <c r="AL37" s="87">
        <f t="shared" si="19"/>
        <v>39.410882758368302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232" t="str">
        <f>'Occ T3'!A40</f>
        <v>71 Sales occupations</v>
      </c>
      <c r="M38" s="11">
        <v>33.039305303843605</v>
      </c>
      <c r="N38" s="11">
        <v>34.189149003085063</v>
      </c>
      <c r="O38" s="11">
        <v>35.184989148868603</v>
      </c>
      <c r="P38" s="11">
        <v>34.562793579659036</v>
      </c>
      <c r="Q38" s="11">
        <v>36.447825021672365</v>
      </c>
      <c r="R38" s="11">
        <v>34.223800198352485</v>
      </c>
      <c r="S38" s="11">
        <v>33.259163684145598</v>
      </c>
      <c r="T38" s="11">
        <v>33.681160277601073</v>
      </c>
      <c r="U38" s="11">
        <v>32.137963975215584</v>
      </c>
      <c r="V38" s="11">
        <v>30.736255514037822</v>
      </c>
      <c r="W38" s="11">
        <v>30.191807825248862</v>
      </c>
      <c r="X38" s="11">
        <v>28.186875545796408</v>
      </c>
      <c r="Y38" s="11">
        <v>28.034001030325136</v>
      </c>
      <c r="Z38" s="11">
        <v>27.943508274047673</v>
      </c>
      <c r="AA38" s="11">
        <v>27.87387875554511</v>
      </c>
      <c r="AB38" s="11">
        <v>27.72715045001522</v>
      </c>
      <c r="AC38" s="11">
        <v>27.556822563616176</v>
      </c>
      <c r="AD38" s="11">
        <v>27.370792648561636</v>
      </c>
      <c r="AE38" s="11">
        <v>27.178178816456285</v>
      </c>
      <c r="AF38" s="11">
        <v>26.983741102677048</v>
      </c>
      <c r="AG38" s="11">
        <v>26.790030333732599</v>
      </c>
      <c r="AH38" s="11">
        <v>26.640518371175819</v>
      </c>
      <c r="AI38" s="11">
        <v>26.490998570592144</v>
      </c>
      <c r="AJ38" s="11">
        <v>26.338156398184605</v>
      </c>
      <c r="AK38" s="11">
        <v>26.167489744477511</v>
      </c>
      <c r="AL38" s="11">
        <v>25.969905791596378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232" t="str">
        <f>'Occ T3'!A41</f>
        <v>72 Customer service occupations</v>
      </c>
      <c r="M39" s="11">
        <v>8.3395096194587595</v>
      </c>
      <c r="N39" s="11">
        <v>8.3125318052839425</v>
      </c>
      <c r="O39" s="11">
        <v>8.5681483493012731</v>
      </c>
      <c r="P39" s="11">
        <v>8.3959847076245175</v>
      </c>
      <c r="Q39" s="11">
        <v>7.9688909618676895</v>
      </c>
      <c r="R39" s="11">
        <v>9.0886906437377402</v>
      </c>
      <c r="S39" s="11">
        <v>8.9232366047213141</v>
      </c>
      <c r="T39" s="11">
        <v>9.8278451024031508</v>
      </c>
      <c r="U39" s="11">
        <v>9.5519284739734296</v>
      </c>
      <c r="V39" s="11">
        <v>8.8480017178491579</v>
      </c>
      <c r="W39" s="11">
        <v>9.1178307619805707</v>
      </c>
      <c r="X39" s="11">
        <v>11.069942965242005</v>
      </c>
      <c r="Y39" s="11">
        <v>11.258454709502855</v>
      </c>
      <c r="Z39" s="11">
        <v>11.435940115857161</v>
      </c>
      <c r="AA39" s="11">
        <v>11.62156070301517</v>
      </c>
      <c r="AB39" s="11">
        <v>11.78604783936143</v>
      </c>
      <c r="AC39" s="11">
        <v>11.94186366440317</v>
      </c>
      <c r="AD39" s="11">
        <v>12.100500429488477</v>
      </c>
      <c r="AE39" s="11">
        <v>12.264062508872897</v>
      </c>
      <c r="AF39" s="11">
        <v>12.43103395439759</v>
      </c>
      <c r="AG39" s="11">
        <v>12.602585511050291</v>
      </c>
      <c r="AH39" s="11">
        <v>12.766810752398852</v>
      </c>
      <c r="AI39" s="11">
        <v>12.928585566961596</v>
      </c>
      <c r="AJ39" s="11">
        <v>13.098481143490654</v>
      </c>
      <c r="AK39" s="11">
        <v>13.268370130834549</v>
      </c>
      <c r="AL39" s="11">
        <v>13.440976966771922</v>
      </c>
      <c r="AM39" s="11"/>
    </row>
    <row r="40" spans="12:64" ht="13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87">
        <f>SUM(M42:M43)</f>
        <v>42.973045681419549</v>
      </c>
      <c r="N41" s="87">
        <f t="shared" ref="N41" si="20">SUM(N42:N43)</f>
        <v>40.858503899412554</v>
      </c>
      <c r="O41" s="87">
        <f t="shared" ref="O41" si="21">SUM(O42:O43)</f>
        <v>43.603423611850573</v>
      </c>
      <c r="P41" s="87">
        <f t="shared" ref="P41" si="22">SUM(P42:P43)</f>
        <v>42.297145873867827</v>
      </c>
      <c r="Q41" s="87">
        <f t="shared" ref="Q41" si="23">SUM(Q42:Q43)</f>
        <v>44.404439947504322</v>
      </c>
      <c r="R41" s="87">
        <f t="shared" ref="R41" si="24">SUM(R42:R43)</f>
        <v>47.140684059777136</v>
      </c>
      <c r="S41" s="87">
        <f t="shared" ref="S41" si="25">SUM(S42:S43)</f>
        <v>45.758727910640985</v>
      </c>
      <c r="T41" s="87">
        <f t="shared" ref="T41" si="26">SUM(T42:T43)</f>
        <v>45.111181661888381</v>
      </c>
      <c r="U41" s="87">
        <f t="shared" ref="U41" si="27">SUM(U42:U43)</f>
        <v>46.62243256412399</v>
      </c>
      <c r="V41" s="87">
        <f t="shared" ref="V41" si="28">SUM(V42:V43)</f>
        <v>46.572468845695923</v>
      </c>
      <c r="W41" s="87">
        <f t="shared" ref="W41" si="29">SUM(W42:W43)</f>
        <v>40.267755299281561</v>
      </c>
      <c r="X41" s="87">
        <f t="shared" ref="X41" si="30">SUM(X42:X43)</f>
        <v>45.727371290452453</v>
      </c>
      <c r="Y41" s="87">
        <f t="shared" ref="Y41" si="31">SUM(Y42:Y43)</f>
        <v>45.671745958674308</v>
      </c>
      <c r="Z41" s="87">
        <f t="shared" ref="Z41" si="32">SUM(Z42:Z43)</f>
        <v>45.682722018997552</v>
      </c>
      <c r="AA41" s="87">
        <f t="shared" ref="AA41" si="33">SUM(AA42:AA43)</f>
        <v>45.789076179439242</v>
      </c>
      <c r="AB41" s="87">
        <f t="shared" ref="AB41" si="34">SUM(AB42:AB43)</f>
        <v>45.789999084206102</v>
      </c>
      <c r="AC41" s="87">
        <f t="shared" ref="AC41" si="35">SUM(AC42:AC43)</f>
        <v>45.807153814617557</v>
      </c>
      <c r="AD41" s="87">
        <f t="shared" ref="AD41" si="36">SUM(AD42:AD43)</f>
        <v>45.801802884598885</v>
      </c>
      <c r="AE41" s="87">
        <f t="shared" ref="AE41" si="37">SUM(AE42:AE43)</f>
        <v>45.77845340497668</v>
      </c>
      <c r="AF41" s="87">
        <f t="shared" ref="AF41" si="38">SUM(AF42:AF43)</f>
        <v>45.735851564330808</v>
      </c>
      <c r="AG41" s="87">
        <f t="shared" ref="AG41" si="39">SUM(AG42:AG43)</f>
        <v>45.708735616898551</v>
      </c>
      <c r="AH41" s="87">
        <f t="shared" ref="AH41" si="40">SUM(AH42:AH43)</f>
        <v>45.661997468866261</v>
      </c>
      <c r="AI41" s="87">
        <f t="shared" ref="AI41" si="41">SUM(AI42:AI43)</f>
        <v>45.638063896720794</v>
      </c>
      <c r="AJ41" s="87">
        <f t="shared" ref="AJ41" si="42">SUM(AJ42:AJ43)</f>
        <v>45.608987921940326</v>
      </c>
      <c r="AK41" s="87">
        <f t="shared" ref="AK41" si="43">SUM(AK42:AK43)</f>
        <v>45.546671132141967</v>
      </c>
      <c r="AL41" s="87">
        <f t="shared" ref="AL41" si="44">SUM(AL42:AL43)</f>
        <v>45.466920875438291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232" t="str">
        <f>'Occ T3'!A44</f>
        <v>81 Process, plant and machine operatives</v>
      </c>
      <c r="M42" s="11">
        <v>22.556040057468326</v>
      </c>
      <c r="N42" s="11">
        <v>21.419891198961661</v>
      </c>
      <c r="O42" s="11">
        <v>21.667953124371625</v>
      </c>
      <c r="P42" s="11">
        <v>22.57750804022016</v>
      </c>
      <c r="Q42" s="11">
        <v>23.080935372543752</v>
      </c>
      <c r="R42" s="11">
        <v>23.017676946693587</v>
      </c>
      <c r="S42" s="11">
        <v>21.877360281524915</v>
      </c>
      <c r="T42" s="11">
        <v>22.023418013640295</v>
      </c>
      <c r="U42" s="11">
        <v>22.659305985348219</v>
      </c>
      <c r="V42" s="11">
        <v>21.73705414319814</v>
      </c>
      <c r="W42" s="11">
        <v>18.31625402877377</v>
      </c>
      <c r="X42" s="11">
        <v>22.188847874516046</v>
      </c>
      <c r="Y42" s="11">
        <v>22.107286832977351</v>
      </c>
      <c r="Z42" s="11">
        <v>22.035946161926312</v>
      </c>
      <c r="AA42" s="11">
        <v>22.027570187934732</v>
      </c>
      <c r="AB42" s="11">
        <v>21.943097050143233</v>
      </c>
      <c r="AC42" s="11">
        <v>21.91325251627153</v>
      </c>
      <c r="AD42" s="11">
        <v>21.871598024162115</v>
      </c>
      <c r="AE42" s="11">
        <v>21.814882993012898</v>
      </c>
      <c r="AF42" s="11">
        <v>21.743717441077035</v>
      </c>
      <c r="AG42" s="11">
        <v>21.680422789747805</v>
      </c>
      <c r="AH42" s="11">
        <v>21.605502339081955</v>
      </c>
      <c r="AI42" s="11">
        <v>21.552797941786192</v>
      </c>
      <c r="AJ42" s="11">
        <v>21.497863051439854</v>
      </c>
      <c r="AK42" s="11">
        <v>21.412751283646585</v>
      </c>
      <c r="AL42" s="11">
        <v>21.313020528914095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232" t="str">
        <f>'Occ T3'!A45</f>
        <v>82 Transport and mobile machine drivers and operatives</v>
      </c>
      <c r="M43" s="11">
        <v>20.417005623951219</v>
      </c>
      <c r="N43" s="11">
        <v>19.438612700450896</v>
      </c>
      <c r="O43" s="11">
        <v>21.935470487478952</v>
      </c>
      <c r="P43" s="11">
        <v>19.719637833647667</v>
      </c>
      <c r="Q43" s="11">
        <v>21.32350457496057</v>
      </c>
      <c r="R43" s="11">
        <v>24.123007113083549</v>
      </c>
      <c r="S43" s="11">
        <v>23.88136762911607</v>
      </c>
      <c r="T43" s="11">
        <v>23.087763648248085</v>
      </c>
      <c r="U43" s="11">
        <v>23.963126578775771</v>
      </c>
      <c r="V43" s="11">
        <v>24.835414702497786</v>
      </c>
      <c r="W43" s="11">
        <v>21.951501270507791</v>
      </c>
      <c r="X43" s="11">
        <v>23.538523415936403</v>
      </c>
      <c r="Y43" s="11">
        <v>23.564459125696953</v>
      </c>
      <c r="Z43" s="11">
        <v>23.646775857071241</v>
      </c>
      <c r="AA43" s="11">
        <v>23.76150599150451</v>
      </c>
      <c r="AB43" s="11">
        <v>23.846902034062865</v>
      </c>
      <c r="AC43" s="11">
        <v>23.893901298346027</v>
      </c>
      <c r="AD43" s="11">
        <v>23.930204860436774</v>
      </c>
      <c r="AE43" s="11">
        <v>23.963570411963783</v>
      </c>
      <c r="AF43" s="11">
        <v>23.992134123253773</v>
      </c>
      <c r="AG43" s="11">
        <v>24.028312827150742</v>
      </c>
      <c r="AH43" s="11">
        <v>24.056495129784309</v>
      </c>
      <c r="AI43" s="11">
        <v>24.085265954934602</v>
      </c>
      <c r="AJ43" s="11">
        <v>24.111124870500475</v>
      </c>
      <c r="AK43" s="11">
        <v>24.133919848495381</v>
      </c>
      <c r="AL43" s="11">
        <v>24.153900346524193</v>
      </c>
      <c r="AM43" s="11"/>
    </row>
    <row r="44" spans="12:64" ht="13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87">
        <f>SUM(M46:M47)</f>
        <v>56.558240212106682</v>
      </c>
      <c r="N45" s="87">
        <f t="shared" ref="N45" si="45">SUM(N46:N47)</f>
        <v>53.287801355768835</v>
      </c>
      <c r="O45" s="87">
        <f t="shared" ref="O45" si="46">SUM(O46:O47)</f>
        <v>54.241899859391026</v>
      </c>
      <c r="P45" s="87">
        <f t="shared" ref="P45" si="47">SUM(P46:P47)</f>
        <v>51.36191417215398</v>
      </c>
      <c r="Q45" s="87">
        <f t="shared" ref="Q45" si="48">SUM(Q46:Q47)</f>
        <v>52.54762346611151</v>
      </c>
      <c r="R45" s="87">
        <f t="shared" ref="R45" si="49">SUM(R46:R47)</f>
        <v>56.959938314054902</v>
      </c>
      <c r="S45" s="87">
        <f t="shared" ref="S45" si="50">SUM(S46:S47)</f>
        <v>56.285078773834464</v>
      </c>
      <c r="T45" s="87">
        <f t="shared" ref="T45" si="51">SUM(T46:T47)</f>
        <v>55.13933233631267</v>
      </c>
      <c r="U45" s="87">
        <f t="shared" ref="U45" si="52">SUM(U46:U47)</f>
        <v>53.461687163278597</v>
      </c>
      <c r="V45" s="87">
        <f t="shared" ref="V45" si="53">SUM(V46:V47)</f>
        <v>51.59895120706809</v>
      </c>
      <c r="W45" s="87">
        <f t="shared" ref="W45" si="54">SUM(W46:W47)</f>
        <v>46.376753906216948</v>
      </c>
      <c r="X45" s="87">
        <f t="shared" ref="X45" si="55">SUM(X46:X47)</f>
        <v>46.611238440359678</v>
      </c>
      <c r="Y45" s="87">
        <f t="shared" ref="Y45" si="56">SUM(Y46:Y47)</f>
        <v>46.411623738205122</v>
      </c>
      <c r="Z45" s="87">
        <f t="shared" ref="Z45" si="57">SUM(Z46:Z47)</f>
        <v>46.073911260391704</v>
      </c>
      <c r="AA45" s="87">
        <f t="shared" ref="AA45" si="58">SUM(AA46:AA47)</f>
        <v>45.749112737483522</v>
      </c>
      <c r="AB45" s="87">
        <f t="shared" ref="AB45" si="59">SUM(AB46:AB47)</f>
        <v>45.460220180301008</v>
      </c>
      <c r="AC45" s="87">
        <f t="shared" ref="AC45" si="60">SUM(AC46:AC47)</f>
        <v>45.104008436833908</v>
      </c>
      <c r="AD45" s="87">
        <f t="shared" ref="AD45" si="61">SUM(AD46:AD47)</f>
        <v>44.674204100494805</v>
      </c>
      <c r="AE45" s="87">
        <f t="shared" ref="AE45" si="62">SUM(AE46:AE47)</f>
        <v>44.289525300299594</v>
      </c>
      <c r="AF45" s="87">
        <f t="shared" ref="AF45" si="63">SUM(AF46:AF47)</f>
        <v>43.931971865115464</v>
      </c>
      <c r="AG45" s="87">
        <f t="shared" ref="AG45" si="64">SUM(AG46:AG47)</f>
        <v>43.614861101116603</v>
      </c>
      <c r="AH45" s="87">
        <f t="shared" ref="AH45" si="65">SUM(AH46:AH47)</f>
        <v>43.283965133613691</v>
      </c>
      <c r="AI45" s="87">
        <f t="shared" ref="AI45" si="66">SUM(AI46:AI47)</f>
        <v>42.983811851100953</v>
      </c>
      <c r="AJ45" s="87">
        <f t="shared" ref="AJ45" si="67">SUM(AJ46:AJ47)</f>
        <v>42.685713506187824</v>
      </c>
      <c r="AK45" s="87">
        <f t="shared" ref="AK45" si="68">SUM(AK46:AK47)</f>
        <v>42.394086903650461</v>
      </c>
      <c r="AL45" s="87">
        <f t="shared" ref="AL45" si="69">SUM(AL46:AL47)</f>
        <v>42.114721270652204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232" t="str">
        <f>'Occ T3'!A48</f>
        <v>91 Elementary trades and related occupations</v>
      </c>
      <c r="M46" s="11">
        <v>9.9359847376257004</v>
      </c>
      <c r="N46" s="11">
        <v>9.6203569958692263</v>
      </c>
      <c r="O46" s="11">
        <v>9.7502072772979496</v>
      </c>
      <c r="P46" s="11">
        <v>9.6280714033618509</v>
      </c>
      <c r="Q46" s="11">
        <v>10.441831648369295</v>
      </c>
      <c r="R46" s="11">
        <v>11.487443580203083</v>
      </c>
      <c r="S46" s="11">
        <v>11.160257153468606</v>
      </c>
      <c r="T46" s="11">
        <v>10.041157722278529</v>
      </c>
      <c r="U46" s="11">
        <v>10.375070492135517</v>
      </c>
      <c r="V46" s="11">
        <v>9.8320405541299731</v>
      </c>
      <c r="W46" s="11">
        <v>8.6428835980951746</v>
      </c>
      <c r="X46" s="11">
        <v>7.4222574786159399</v>
      </c>
      <c r="Y46" s="11">
        <v>7.3874786818368072</v>
      </c>
      <c r="Z46" s="11">
        <v>7.3637088021520025</v>
      </c>
      <c r="AA46" s="11">
        <v>7.3473213671467903</v>
      </c>
      <c r="AB46" s="11">
        <v>7.3188128388141793</v>
      </c>
      <c r="AC46" s="11">
        <v>7.2680708677606027</v>
      </c>
      <c r="AD46" s="11">
        <v>7.2081857856809135</v>
      </c>
      <c r="AE46" s="11">
        <v>7.1634194312932342</v>
      </c>
      <c r="AF46" s="11">
        <v>7.1161225971057265</v>
      </c>
      <c r="AG46" s="11">
        <v>7.0701728930023542</v>
      </c>
      <c r="AH46" s="11">
        <v>7.0238590889177983</v>
      </c>
      <c r="AI46" s="11">
        <v>6.9811337352328744</v>
      </c>
      <c r="AJ46" s="11">
        <v>6.9399515447754574</v>
      </c>
      <c r="AK46" s="11">
        <v>6.9022734791954461</v>
      </c>
      <c r="AL46" s="11">
        <v>6.864739167432238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232" t="str">
        <f>'Occ T3'!A49</f>
        <v>92 Elementary administration and service occupations</v>
      </c>
      <c r="M47" s="11">
        <v>46.62225547448098</v>
      </c>
      <c r="N47" s="11">
        <v>43.667444359899605</v>
      </c>
      <c r="O47" s="11">
        <v>44.49169258209308</v>
      </c>
      <c r="P47" s="11">
        <v>41.73384276879213</v>
      </c>
      <c r="Q47" s="11">
        <v>42.105791817742215</v>
      </c>
      <c r="R47" s="11">
        <v>45.472494733851818</v>
      </c>
      <c r="S47" s="11">
        <v>45.124821620365857</v>
      </c>
      <c r="T47" s="11">
        <v>45.098174614034143</v>
      </c>
      <c r="U47" s="11">
        <v>43.086616671143076</v>
      </c>
      <c r="V47" s="11">
        <v>41.766910652938115</v>
      </c>
      <c r="W47" s="11">
        <v>37.733870308121773</v>
      </c>
      <c r="X47" s="11">
        <v>39.188980961743738</v>
      </c>
      <c r="Y47" s="11">
        <v>39.024145056368319</v>
      </c>
      <c r="Z47" s="11">
        <v>38.710202458239699</v>
      </c>
      <c r="AA47" s="11">
        <v>38.401791370336731</v>
      </c>
      <c r="AB47" s="11">
        <v>38.141407341486826</v>
      </c>
      <c r="AC47" s="11">
        <v>37.835937569073302</v>
      </c>
      <c r="AD47" s="11">
        <v>37.466018314813894</v>
      </c>
      <c r="AE47" s="11">
        <v>37.126105869006359</v>
      </c>
      <c r="AF47" s="11">
        <v>36.815849268009735</v>
      </c>
      <c r="AG47" s="11">
        <v>36.544688208114245</v>
      </c>
      <c r="AH47" s="11">
        <v>36.260106044695895</v>
      </c>
      <c r="AI47" s="11">
        <v>36.002678115868079</v>
      </c>
      <c r="AJ47" s="11">
        <v>35.745761961412363</v>
      </c>
      <c r="AK47" s="11">
        <v>35.491813424455017</v>
      </c>
      <c r="AL47" s="11">
        <v>35.249982103219963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87">
        <f t="shared" ref="M49:AD49" si="70">SUM(M5,M9,M15,M22,M26,M32,M37,M41,M45)</f>
        <v>486.12400000000008</v>
      </c>
      <c r="N49" s="87">
        <f t="shared" si="70"/>
        <v>480.09300000000019</v>
      </c>
      <c r="O49" s="87">
        <f t="shared" si="70"/>
        <v>487.1880000000001</v>
      </c>
      <c r="P49" s="87">
        <f t="shared" si="70"/>
        <v>480.6479999999998</v>
      </c>
      <c r="Q49" s="87">
        <f t="shared" si="70"/>
        <v>488.96500000000003</v>
      </c>
      <c r="R49" s="87">
        <f t="shared" si="70"/>
        <v>505.56200000000024</v>
      </c>
      <c r="S49" s="87">
        <f t="shared" si="70"/>
        <v>503.93899999999991</v>
      </c>
      <c r="T49" s="87">
        <f t="shared" si="70"/>
        <v>512.15299999999991</v>
      </c>
      <c r="U49" s="87">
        <f t="shared" si="70"/>
        <v>510.73500000000018</v>
      </c>
      <c r="V49" s="87">
        <f t="shared" si="70"/>
        <v>509.93099999999981</v>
      </c>
      <c r="W49" s="87">
        <f t="shared" si="70"/>
        <v>496.19400000000024</v>
      </c>
      <c r="X49" s="87">
        <f t="shared" si="70"/>
        <v>500.11499999999978</v>
      </c>
      <c r="Y49" s="87">
        <f t="shared" si="70"/>
        <v>501.57899999999972</v>
      </c>
      <c r="Z49" s="87">
        <f t="shared" si="70"/>
        <v>503.4489999999999</v>
      </c>
      <c r="AA49" s="87">
        <f t="shared" si="70"/>
        <v>506.20599999999996</v>
      </c>
      <c r="AB49" s="87">
        <f t="shared" si="70"/>
        <v>508.12799999999987</v>
      </c>
      <c r="AC49" s="87">
        <f t="shared" si="70"/>
        <v>509.565</v>
      </c>
      <c r="AD49" s="87">
        <f t="shared" si="70"/>
        <v>510.77499999999975</v>
      </c>
      <c r="AE49" s="87">
        <f t="shared" ref="AE49:AL49" si="71">SUM(AE5,AE9,AE15,AE22,AE26,AE32,AE37,AE41,AE45)</f>
        <v>511.99800000000016</v>
      </c>
      <c r="AF49" s="87">
        <f t="shared" si="71"/>
        <v>513.22199999999975</v>
      </c>
      <c r="AG49" s="87">
        <f t="shared" si="71"/>
        <v>514.65600000000018</v>
      </c>
      <c r="AH49" s="87">
        <f t="shared" si="71"/>
        <v>516.06300000000022</v>
      </c>
      <c r="AI49" s="87">
        <f t="shared" si="71"/>
        <v>517.49699999999996</v>
      </c>
      <c r="AJ49" s="87">
        <f t="shared" si="71"/>
        <v>518.96700000000033</v>
      </c>
      <c r="AK49" s="87">
        <f t="shared" si="71"/>
        <v>520.44200000000023</v>
      </c>
      <c r="AL49" s="87">
        <f t="shared" si="71"/>
        <v>521.94399999999996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37">
        <f t="shared" ref="M52:AD52" si="73">M5/M$49</f>
        <v>7.3771673209990618E-2</v>
      </c>
      <c r="N52" s="337">
        <f t="shared" si="73"/>
        <v>8.0216071864206567E-2</v>
      </c>
      <c r="O52" s="337">
        <f t="shared" si="73"/>
        <v>8.1370214874618874E-2</v>
      </c>
      <c r="P52" s="337">
        <f t="shared" si="73"/>
        <v>8.3879295271931484E-2</v>
      </c>
      <c r="Q52" s="337">
        <f t="shared" si="73"/>
        <v>8.2304199660933039E-2</v>
      </c>
      <c r="R52" s="337">
        <f t="shared" si="73"/>
        <v>8.3852664195490006E-2</v>
      </c>
      <c r="S52" s="337">
        <f t="shared" si="73"/>
        <v>8.5298944593424034E-2</v>
      </c>
      <c r="T52" s="337">
        <f t="shared" si="73"/>
        <v>8.7833961991028456E-2</v>
      </c>
      <c r="U52" s="337">
        <f t="shared" si="73"/>
        <v>9.0017645010714881E-2</v>
      </c>
      <c r="V52" s="337">
        <f t="shared" si="73"/>
        <v>9.0885135458674396E-2</v>
      </c>
      <c r="W52" s="337">
        <f t="shared" si="73"/>
        <v>9.6055642090965038E-2</v>
      </c>
      <c r="X52" s="337">
        <f t="shared" si="73"/>
        <v>9.2618066292955534E-2</v>
      </c>
      <c r="Y52" s="337">
        <f t="shared" si="73"/>
        <v>9.3396741706619477E-2</v>
      </c>
      <c r="Z52" s="337">
        <f t="shared" si="73"/>
        <v>9.4157471992111386E-2</v>
      </c>
      <c r="AA52" s="337">
        <f t="shared" si="73"/>
        <v>9.4914737539286753E-2</v>
      </c>
      <c r="AB52" s="337">
        <f t="shared" si="73"/>
        <v>9.5694091582071303E-2</v>
      </c>
      <c r="AC52" s="337">
        <f t="shared" si="73"/>
        <v>9.6472453142741041E-2</v>
      </c>
      <c r="AD52" s="337">
        <f t="shared" si="73"/>
        <v>9.7265369227922338E-2</v>
      </c>
      <c r="AE52" s="337">
        <f t="shared" ref="AE52:AL52" si="74">AE5/AE$49</f>
        <v>9.8084004393947197E-2</v>
      </c>
      <c r="AF52" s="337">
        <f t="shared" si="74"/>
        <v>9.8914360203850443E-2</v>
      </c>
      <c r="AG52" s="337">
        <f t="shared" si="74"/>
        <v>9.9765495702618903E-2</v>
      </c>
      <c r="AH52" s="337">
        <f t="shared" si="74"/>
        <v>0.10060391394578684</v>
      </c>
      <c r="AI52" s="337">
        <f t="shared" si="74"/>
        <v>0.10143861858432793</v>
      </c>
      <c r="AJ52" s="337">
        <f t="shared" si="74"/>
        <v>0.10229518376168624</v>
      </c>
      <c r="AK52" s="337">
        <f t="shared" si="74"/>
        <v>0.10319295828315198</v>
      </c>
      <c r="AL52" s="337">
        <f t="shared" si="74"/>
        <v>0.10411057565448745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232" t="str">
        <f>'Occ T3'!A8</f>
        <v>11 Corporate managers and directors</v>
      </c>
      <c r="M53" s="336">
        <f t="shared" ref="M53:AD53" si="75">M6/M$49</f>
        <v>5.2619482351086856E-2</v>
      </c>
      <c r="N53" s="336">
        <f t="shared" si="75"/>
        <v>5.7075807969787881E-2</v>
      </c>
      <c r="O53" s="336">
        <f t="shared" si="75"/>
        <v>5.7818665133343272E-2</v>
      </c>
      <c r="P53" s="336">
        <f t="shared" si="75"/>
        <v>5.9710525571302062E-2</v>
      </c>
      <c r="Q53" s="336">
        <f t="shared" si="75"/>
        <v>5.6295706125652628E-2</v>
      </c>
      <c r="R53" s="336">
        <f t="shared" si="75"/>
        <v>5.9104097619839702E-2</v>
      </c>
      <c r="S53" s="336">
        <f t="shared" si="75"/>
        <v>6.2307250106359457E-2</v>
      </c>
      <c r="T53" s="336">
        <f t="shared" si="75"/>
        <v>6.2562450220498333E-2</v>
      </c>
      <c r="U53" s="336">
        <f t="shared" si="75"/>
        <v>6.5194413048213676E-2</v>
      </c>
      <c r="V53" s="336">
        <f t="shared" si="75"/>
        <v>6.6030072989576624E-2</v>
      </c>
      <c r="W53" s="336">
        <f t="shared" si="75"/>
        <v>6.9445183163356752E-2</v>
      </c>
      <c r="X53" s="336">
        <f t="shared" si="75"/>
        <v>6.1885874316966558E-2</v>
      </c>
      <c r="Y53" s="336">
        <f t="shared" si="75"/>
        <v>6.2227472275468237E-2</v>
      </c>
      <c r="Z53" s="336">
        <f t="shared" si="75"/>
        <v>6.2613226473948916E-2</v>
      </c>
      <c r="AA53" s="336">
        <f t="shared" si="75"/>
        <v>6.3027098417289679E-2</v>
      </c>
      <c r="AB53" s="336">
        <f t="shared" si="75"/>
        <v>6.3421339565992524E-2</v>
      </c>
      <c r="AC53" s="336">
        <f t="shared" si="75"/>
        <v>6.3831398075359966E-2</v>
      </c>
      <c r="AD53" s="336">
        <f t="shared" si="75"/>
        <v>6.4262505412782736E-2</v>
      </c>
      <c r="AE53" s="336">
        <f t="shared" ref="AE53:AL53" si="76">AE6/AE$49</f>
        <v>6.4708111912217273E-2</v>
      </c>
      <c r="AF53" s="336">
        <f t="shared" si="76"/>
        <v>6.5141860882553249E-2</v>
      </c>
      <c r="AG53" s="336">
        <f t="shared" si="76"/>
        <v>6.5591856231981327E-2</v>
      </c>
      <c r="AH53" s="336">
        <f t="shared" si="76"/>
        <v>6.6029903648787636E-2</v>
      </c>
      <c r="AI53" s="336">
        <f t="shared" si="76"/>
        <v>6.6472154970037459E-2</v>
      </c>
      <c r="AJ53" s="336">
        <f t="shared" si="76"/>
        <v>6.6922152367323975E-2</v>
      </c>
      <c r="AK53" s="336">
        <f t="shared" si="76"/>
        <v>6.7378809660011404E-2</v>
      </c>
      <c r="AL53" s="336">
        <f t="shared" si="76"/>
        <v>6.7838985018147446E-2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232" t="str">
        <f>'Occ T3'!A9</f>
        <v>12 Other managers and proprietors</v>
      </c>
      <c r="M54" s="336">
        <f t="shared" ref="M54:AD54" si="77">M7/M$49</f>
        <v>2.1152190858903748E-2</v>
      </c>
      <c r="N54" s="336">
        <f t="shared" si="77"/>
        <v>2.314026389441869E-2</v>
      </c>
      <c r="O54" s="336">
        <f t="shared" si="77"/>
        <v>2.3551549741275605E-2</v>
      </c>
      <c r="P54" s="336">
        <f t="shared" si="77"/>
        <v>2.4168769700629422E-2</v>
      </c>
      <c r="Q54" s="336">
        <f t="shared" si="77"/>
        <v>2.6008493535280421E-2</v>
      </c>
      <c r="R54" s="336">
        <f t="shared" si="77"/>
        <v>2.4748566575650308E-2</v>
      </c>
      <c r="S54" s="336">
        <f t="shared" si="77"/>
        <v>2.2991694487064576E-2</v>
      </c>
      <c r="T54" s="336">
        <f t="shared" si="77"/>
        <v>2.5271511770530122E-2</v>
      </c>
      <c r="U54" s="336">
        <f t="shared" si="77"/>
        <v>2.4823231962501191E-2</v>
      </c>
      <c r="V54" s="336">
        <f t="shared" si="77"/>
        <v>2.4855062469097779E-2</v>
      </c>
      <c r="W54" s="336">
        <f t="shared" si="77"/>
        <v>2.6610458927608289E-2</v>
      </c>
      <c r="X54" s="336">
        <f t="shared" si="77"/>
        <v>3.0732191975988987E-2</v>
      </c>
      <c r="Y54" s="336">
        <f t="shared" si="77"/>
        <v>3.116926943115125E-2</v>
      </c>
      <c r="Z54" s="336">
        <f t="shared" si="77"/>
        <v>3.1544245518162456E-2</v>
      </c>
      <c r="AA54" s="336">
        <f t="shared" si="77"/>
        <v>3.1887639121997075E-2</v>
      </c>
      <c r="AB54" s="336">
        <f t="shared" si="77"/>
        <v>3.2272752016078779E-2</v>
      </c>
      <c r="AC54" s="336">
        <f t="shared" si="77"/>
        <v>3.2641055067381075E-2</v>
      </c>
      <c r="AD54" s="336">
        <f t="shared" si="77"/>
        <v>3.3002863815139616E-2</v>
      </c>
      <c r="AE54" s="336">
        <f t="shared" ref="AE54:AL54" si="78">AE7/AE$49</f>
        <v>3.3375892481729924E-2</v>
      </c>
      <c r="AF54" s="336">
        <f t="shared" si="78"/>
        <v>3.3772499321297209E-2</v>
      </c>
      <c r="AG54" s="336">
        <f t="shared" si="78"/>
        <v>3.4173639470637569E-2</v>
      </c>
      <c r="AH54" s="336">
        <f t="shared" si="78"/>
        <v>3.4574010296999205E-2</v>
      </c>
      <c r="AI54" s="336">
        <f t="shared" si="78"/>
        <v>3.4966463614290476E-2</v>
      </c>
      <c r="AJ54" s="336">
        <f t="shared" si="78"/>
        <v>3.5373031394362271E-2</v>
      </c>
      <c r="AK54" s="336">
        <f t="shared" si="78"/>
        <v>3.5814148623140578E-2</v>
      </c>
      <c r="AL54" s="336">
        <f t="shared" si="78"/>
        <v>3.6271590636340001E-2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ht="13" x14ac:dyDescent="0.3">
      <c r="L56" s="17" t="str">
        <f>'Occ T3'!A11</f>
        <v>Professional occupations</v>
      </c>
      <c r="M56" s="337">
        <f t="shared" ref="M56:AD56" si="79">M9/M$49</f>
        <v>0.17733504505610828</v>
      </c>
      <c r="N56" s="337">
        <f t="shared" si="79"/>
        <v>0.1785723110963334</v>
      </c>
      <c r="O56" s="337">
        <f t="shared" si="79"/>
        <v>0.17359177156139327</v>
      </c>
      <c r="P56" s="337">
        <f t="shared" si="79"/>
        <v>0.17959331108201743</v>
      </c>
      <c r="Q56" s="337">
        <f t="shared" si="79"/>
        <v>0.17826621447653992</v>
      </c>
      <c r="R56" s="337">
        <f t="shared" si="79"/>
        <v>0.1734978254788935</v>
      </c>
      <c r="S56" s="337">
        <f t="shared" si="79"/>
        <v>0.18432206873456233</v>
      </c>
      <c r="T56" s="337">
        <f t="shared" si="79"/>
        <v>0.18244312772670515</v>
      </c>
      <c r="U56" s="337">
        <f t="shared" si="79"/>
        <v>0.18811246879284013</v>
      </c>
      <c r="V56" s="337">
        <f t="shared" si="79"/>
        <v>0.19426192278862209</v>
      </c>
      <c r="W56" s="337">
        <f t="shared" si="79"/>
        <v>0.20835369376538043</v>
      </c>
      <c r="X56" s="337">
        <f t="shared" si="79"/>
        <v>0.2123537397280392</v>
      </c>
      <c r="Y56" s="337">
        <f t="shared" si="79"/>
        <v>0.21385928339089202</v>
      </c>
      <c r="Z56" s="337">
        <f t="shared" si="79"/>
        <v>0.21564038973937097</v>
      </c>
      <c r="AA56" s="337">
        <f t="shared" si="79"/>
        <v>0.21744426726741253</v>
      </c>
      <c r="AB56" s="337">
        <f t="shared" si="79"/>
        <v>0.21918957548346607</v>
      </c>
      <c r="AC56" s="337">
        <f t="shared" si="79"/>
        <v>0.22100756342600836</v>
      </c>
      <c r="AD56" s="337">
        <f t="shared" si="79"/>
        <v>0.22287771904679446</v>
      </c>
      <c r="AE56" s="337">
        <f t="shared" ref="AE56:AL56" si="80">AE9/AE$49</f>
        <v>0.22465105654780165</v>
      </c>
      <c r="AF56" s="337">
        <f t="shared" si="80"/>
        <v>0.2264347372716467</v>
      </c>
      <c r="AG56" s="337">
        <f t="shared" si="80"/>
        <v>0.2282363120290358</v>
      </c>
      <c r="AH56" s="337">
        <f t="shared" si="80"/>
        <v>0.23005896104007884</v>
      </c>
      <c r="AI56" s="337">
        <f t="shared" si="80"/>
        <v>0.23181301598418286</v>
      </c>
      <c r="AJ56" s="337">
        <f t="shared" si="80"/>
        <v>0.23357357283245198</v>
      </c>
      <c r="AK56" s="337">
        <f t="shared" si="80"/>
        <v>0.23532397345467412</v>
      </c>
      <c r="AL56" s="337">
        <f t="shared" si="80"/>
        <v>0.23696795665807716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232" t="str">
        <f>'Occ T3'!A12</f>
        <v>21 Science, research, engineering and technology professionals</v>
      </c>
      <c r="M57" s="336">
        <f t="shared" ref="M57:AD57" si="81">M10/M$49</f>
        <v>4.6033135363492142E-2</v>
      </c>
      <c r="N57" s="336">
        <f t="shared" si="81"/>
        <v>4.4049637752430412E-2</v>
      </c>
      <c r="O57" s="336">
        <f t="shared" si="81"/>
        <v>4.3870686503946169E-2</v>
      </c>
      <c r="P57" s="336">
        <f t="shared" si="81"/>
        <v>4.4501421555296544E-2</v>
      </c>
      <c r="Q57" s="336">
        <f t="shared" si="81"/>
        <v>4.5590805429641404E-2</v>
      </c>
      <c r="R57" s="336">
        <f t="shared" si="81"/>
        <v>4.6863821477954447E-2</v>
      </c>
      <c r="S57" s="336">
        <f t="shared" si="81"/>
        <v>4.7802755777102836E-2</v>
      </c>
      <c r="T57" s="336">
        <f t="shared" si="81"/>
        <v>4.5246248728972066E-2</v>
      </c>
      <c r="U57" s="336">
        <f t="shared" si="81"/>
        <v>4.9707720033595477E-2</v>
      </c>
      <c r="V57" s="336">
        <f t="shared" si="81"/>
        <v>5.0050776417218702E-2</v>
      </c>
      <c r="W57" s="336">
        <f t="shared" si="81"/>
        <v>5.3780702134723225E-2</v>
      </c>
      <c r="X57" s="336">
        <f t="shared" si="81"/>
        <v>5.3062022248788497E-2</v>
      </c>
      <c r="Y57" s="336">
        <f t="shared" si="81"/>
        <v>5.3361145477407827E-2</v>
      </c>
      <c r="Z57" s="336">
        <f t="shared" si="81"/>
        <v>5.3722266760592587E-2</v>
      </c>
      <c r="AA57" s="336">
        <f t="shared" si="81"/>
        <v>5.4102591738274093E-2</v>
      </c>
      <c r="AB57" s="336">
        <f t="shared" si="81"/>
        <v>5.4462503230481088E-2</v>
      </c>
      <c r="AC57" s="336">
        <f t="shared" si="81"/>
        <v>5.4813165294660966E-2</v>
      </c>
      <c r="AD57" s="336">
        <f t="shared" si="81"/>
        <v>5.5160123973016291E-2</v>
      </c>
      <c r="AE57" s="336">
        <f t="shared" ref="AE57:AL57" si="82">AE10/AE$49</f>
        <v>5.5496533999607654E-2</v>
      </c>
      <c r="AF57" s="336">
        <f t="shared" si="82"/>
        <v>5.5830495292867675E-2</v>
      </c>
      <c r="AG57" s="336">
        <f t="shared" si="82"/>
        <v>5.6195156549186602E-2</v>
      </c>
      <c r="AH57" s="336">
        <f t="shared" si="82"/>
        <v>5.6554235357852839E-2</v>
      </c>
      <c r="AI57" s="336">
        <f t="shared" si="82"/>
        <v>5.6918085838408995E-2</v>
      </c>
      <c r="AJ57" s="336">
        <f t="shared" si="82"/>
        <v>5.726904523018244E-2</v>
      </c>
      <c r="AK57" s="336">
        <f t="shared" si="82"/>
        <v>5.7641430575048891E-2</v>
      </c>
      <c r="AL57" s="336">
        <f t="shared" si="82"/>
        <v>5.8004620977566534E-2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80" t="str">
        <f>CONCATENATE("Occupation Figure 2.1  Employment by Occupation (% shares), ",$M$2,"-",$O$2,", ",Info!B5)</f>
        <v>Occupation Figure 2.1  Employment by Occupation (% shares), 2010-2035, Black Country</v>
      </c>
      <c r="L58" s="232" t="str">
        <f>'Occ T3'!A13</f>
        <v>22 Health professionals</v>
      </c>
      <c r="M58" s="336">
        <f t="shared" ref="M58:AD58" si="83">M11/M$49</f>
        <v>4.1533221016481381E-2</v>
      </c>
      <c r="N58" s="336">
        <f t="shared" si="83"/>
        <v>4.5202833836587228E-2</v>
      </c>
      <c r="O58" s="336">
        <f t="shared" si="83"/>
        <v>4.6192179746626337E-2</v>
      </c>
      <c r="P58" s="336">
        <f t="shared" si="83"/>
        <v>4.7591123789299611E-2</v>
      </c>
      <c r="Q58" s="336">
        <f t="shared" si="83"/>
        <v>4.7184697352926665E-2</v>
      </c>
      <c r="R58" s="336">
        <f t="shared" si="83"/>
        <v>4.2872628690234227E-2</v>
      </c>
      <c r="S58" s="336">
        <f t="shared" si="83"/>
        <v>4.8848174092002761E-2</v>
      </c>
      <c r="T58" s="336">
        <f t="shared" si="83"/>
        <v>5.1241010576334046E-2</v>
      </c>
      <c r="U58" s="336">
        <f t="shared" si="83"/>
        <v>4.9828372762099893E-2</v>
      </c>
      <c r="V58" s="336">
        <f t="shared" si="83"/>
        <v>5.356764476604773E-2</v>
      </c>
      <c r="W58" s="336">
        <f t="shared" si="83"/>
        <v>5.4069639816323921E-2</v>
      </c>
      <c r="X58" s="336">
        <f t="shared" si="83"/>
        <v>5.5679292374243884E-2</v>
      </c>
      <c r="Y58" s="336">
        <f t="shared" si="83"/>
        <v>5.6168459535442215E-2</v>
      </c>
      <c r="Z58" s="336">
        <f t="shared" si="83"/>
        <v>5.6653009361232833E-2</v>
      </c>
      <c r="AA58" s="336">
        <f t="shared" si="83"/>
        <v>5.7129189082544378E-2</v>
      </c>
      <c r="AB58" s="336">
        <f t="shared" si="83"/>
        <v>5.757360068431306E-2</v>
      </c>
      <c r="AC58" s="336">
        <f t="shared" si="83"/>
        <v>5.8030572155766666E-2</v>
      </c>
      <c r="AD58" s="336">
        <f t="shared" si="83"/>
        <v>5.8489749845102502E-2</v>
      </c>
      <c r="AE58" s="336">
        <f t="shared" ref="AE58:AL58" si="84">AE11/AE$49</f>
        <v>5.8860417137978516E-2</v>
      </c>
      <c r="AF58" s="336">
        <f t="shared" si="84"/>
        <v>5.9292335211889334E-2</v>
      </c>
      <c r="AG58" s="336">
        <f t="shared" si="84"/>
        <v>5.9690209044770688E-2</v>
      </c>
      <c r="AH58" s="336">
        <f t="shared" si="84"/>
        <v>6.0096404990253822E-2</v>
      </c>
      <c r="AI58" s="336">
        <f t="shared" si="84"/>
        <v>6.0492744305674785E-2</v>
      </c>
      <c r="AJ58" s="336">
        <f t="shared" si="84"/>
        <v>6.0890317331700368E-2</v>
      </c>
      <c r="AK58" s="336">
        <f t="shared" si="84"/>
        <v>6.1271360420746969E-2</v>
      </c>
      <c r="AL58" s="336">
        <f t="shared" si="84"/>
        <v>6.1600545377674162E-2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232" t="str">
        <f>'Occ T3'!A14</f>
        <v>23 Teaching and other educational professionals</v>
      </c>
      <c r="M59" s="336">
        <f t="shared" ref="M59:AD59" si="85">M12/M$49</f>
        <v>4.2081607111324901E-2</v>
      </c>
      <c r="N59" s="336">
        <f t="shared" si="85"/>
        <v>4.3857385117406958E-2</v>
      </c>
      <c r="O59" s="336">
        <f t="shared" si="85"/>
        <v>4.043438979719087E-2</v>
      </c>
      <c r="P59" s="336">
        <f t="shared" si="85"/>
        <v>4.0990154994114111E-2</v>
      </c>
      <c r="Q59" s="336">
        <f t="shared" si="85"/>
        <v>3.9700937872756567E-2</v>
      </c>
      <c r="R59" s="336">
        <f t="shared" si="85"/>
        <v>3.8650798053792075E-2</v>
      </c>
      <c r="S59" s="336">
        <f t="shared" si="85"/>
        <v>4.02827007178653E-2</v>
      </c>
      <c r="T59" s="336">
        <f t="shared" si="85"/>
        <v>3.8776748873664606E-2</v>
      </c>
      <c r="U59" s="336">
        <f t="shared" si="85"/>
        <v>3.8289003861248207E-2</v>
      </c>
      <c r="V59" s="336">
        <f t="shared" si="85"/>
        <v>4.0722368036382441E-2</v>
      </c>
      <c r="W59" s="336">
        <f t="shared" si="85"/>
        <v>4.4303113178511364E-2</v>
      </c>
      <c r="X59" s="336">
        <f t="shared" si="85"/>
        <v>4.4484914590000257E-2</v>
      </c>
      <c r="Y59" s="336">
        <f t="shared" si="85"/>
        <v>4.478919416346569E-2</v>
      </c>
      <c r="Z59" s="336">
        <f t="shared" si="85"/>
        <v>4.5197127726508315E-2</v>
      </c>
      <c r="AA59" s="336">
        <f t="shared" si="85"/>
        <v>4.5585802148438957E-2</v>
      </c>
      <c r="AB59" s="336">
        <f t="shared" si="85"/>
        <v>4.5985831345446988E-2</v>
      </c>
      <c r="AC59" s="336">
        <f t="shared" si="85"/>
        <v>4.642722792112932E-2</v>
      </c>
      <c r="AD59" s="336">
        <f t="shared" si="85"/>
        <v>4.6890234709689178E-2</v>
      </c>
      <c r="AE59" s="336">
        <f t="shared" ref="AE59:AL59" si="86">AE12/AE$49</f>
        <v>4.7317655172053628E-2</v>
      </c>
      <c r="AF59" s="336">
        <f t="shared" si="86"/>
        <v>4.7707260195217288E-2</v>
      </c>
      <c r="AG59" s="336">
        <f t="shared" si="86"/>
        <v>4.8098812231069231E-2</v>
      </c>
      <c r="AH59" s="336">
        <f t="shared" si="86"/>
        <v>4.8516360675720897E-2</v>
      </c>
      <c r="AI59" s="336">
        <f t="shared" si="86"/>
        <v>4.8872104259393083E-2</v>
      </c>
      <c r="AJ59" s="336">
        <f t="shared" si="86"/>
        <v>4.9231267376806942E-2</v>
      </c>
      <c r="AK59" s="336">
        <f t="shared" si="86"/>
        <v>4.9582424397661584E-2</v>
      </c>
      <c r="AL59" s="336">
        <f t="shared" si="86"/>
        <v>4.9907162848067878E-2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232" t="str">
        <f>'Occ T3'!A15</f>
        <v>24 Business, media and public service professionals</v>
      </c>
      <c r="M60" s="336">
        <f t="shared" ref="M60:AD60" si="87">M13/M$49</f>
        <v>4.7687081564809858E-2</v>
      </c>
      <c r="N60" s="336">
        <f t="shared" si="87"/>
        <v>4.5462454389908834E-2</v>
      </c>
      <c r="O60" s="336">
        <f t="shared" si="87"/>
        <v>4.3094515513629909E-2</v>
      </c>
      <c r="P60" s="336">
        <f t="shared" si="87"/>
        <v>4.6510610743307146E-2</v>
      </c>
      <c r="Q60" s="336">
        <f t="shared" si="87"/>
        <v>4.5789773821215289E-2</v>
      </c>
      <c r="R60" s="336">
        <f t="shared" si="87"/>
        <v>4.511057725691274E-2</v>
      </c>
      <c r="S60" s="336">
        <f t="shared" si="87"/>
        <v>4.7388438147591437E-2</v>
      </c>
      <c r="T60" s="336">
        <f t="shared" si="87"/>
        <v>4.7179119547734447E-2</v>
      </c>
      <c r="U60" s="336">
        <f t="shared" si="87"/>
        <v>5.0287372135896569E-2</v>
      </c>
      <c r="V60" s="336">
        <f t="shared" si="87"/>
        <v>4.9921133568973236E-2</v>
      </c>
      <c r="W60" s="336">
        <f t="shared" si="87"/>
        <v>5.6200238635821916E-2</v>
      </c>
      <c r="X60" s="336">
        <f t="shared" si="87"/>
        <v>5.9127510515006546E-2</v>
      </c>
      <c r="Y60" s="336">
        <f t="shared" si="87"/>
        <v>5.9540484214576285E-2</v>
      </c>
      <c r="Z60" s="336">
        <f t="shared" si="87"/>
        <v>6.0067985891037234E-2</v>
      </c>
      <c r="AA60" s="336">
        <f t="shared" si="87"/>
        <v>6.0626684298155119E-2</v>
      </c>
      <c r="AB60" s="336">
        <f t="shared" si="87"/>
        <v>6.1167640223224948E-2</v>
      </c>
      <c r="AC60" s="336">
        <f t="shared" si="87"/>
        <v>6.1736598054451391E-2</v>
      </c>
      <c r="AD60" s="336">
        <f t="shared" si="87"/>
        <v>6.2337610518986508E-2</v>
      </c>
      <c r="AE60" s="336">
        <f t="shared" ref="AE60:AL60" si="88">AE13/AE$49</f>
        <v>6.2976450238161896E-2</v>
      </c>
      <c r="AF60" s="336">
        <f t="shared" si="88"/>
        <v>6.3604646571672405E-2</v>
      </c>
      <c r="AG60" s="336">
        <f t="shared" si="88"/>
        <v>6.4252134204009284E-2</v>
      </c>
      <c r="AH60" s="336">
        <f t="shared" si="88"/>
        <v>6.4891960016251291E-2</v>
      </c>
      <c r="AI60" s="336">
        <f t="shared" si="88"/>
        <v>6.5530081580705987E-2</v>
      </c>
      <c r="AJ60" s="336">
        <f t="shared" si="88"/>
        <v>6.6182942893762253E-2</v>
      </c>
      <c r="AK60" s="336">
        <f t="shared" si="88"/>
        <v>6.68287580612167E-2</v>
      </c>
      <c r="AL60" s="336">
        <f t="shared" si="88"/>
        <v>6.745562745476856E-2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37">
        <f t="shared" ref="M62:AD62" si="89">M15/M$49</f>
        <v>0.10979305713519301</v>
      </c>
      <c r="N62" s="337">
        <f t="shared" si="89"/>
        <v>0.11057378303983097</v>
      </c>
      <c r="O62" s="337">
        <f t="shared" si="89"/>
        <v>0.11190337377530098</v>
      </c>
      <c r="P62" s="337">
        <f t="shared" si="89"/>
        <v>0.11238214119397776</v>
      </c>
      <c r="Q62" s="337">
        <f t="shared" si="89"/>
        <v>0.11201847914772295</v>
      </c>
      <c r="R62" s="337">
        <f t="shared" si="89"/>
        <v>0.11101978662129754</v>
      </c>
      <c r="S62" s="337">
        <f t="shared" si="89"/>
        <v>0.11296978494346738</v>
      </c>
      <c r="T62" s="337">
        <f t="shared" si="89"/>
        <v>0.11548500372295867</v>
      </c>
      <c r="U62" s="337">
        <f t="shared" si="89"/>
        <v>0.11499801597263928</v>
      </c>
      <c r="V62" s="337">
        <f t="shared" si="89"/>
        <v>0.11514573938806162</v>
      </c>
      <c r="W62" s="337">
        <f t="shared" si="89"/>
        <v>0.1226749278106799</v>
      </c>
      <c r="X62" s="337">
        <f t="shared" si="89"/>
        <v>0.11485824959620013</v>
      </c>
      <c r="Y62" s="337">
        <f t="shared" si="89"/>
        <v>0.11504536861112694</v>
      </c>
      <c r="Z62" s="337">
        <f t="shared" si="89"/>
        <v>0.11548899869709717</v>
      </c>
      <c r="AA62" s="337">
        <f t="shared" si="89"/>
        <v>0.11606322628440495</v>
      </c>
      <c r="AB62" s="337">
        <f t="shared" si="89"/>
        <v>0.11659443505521387</v>
      </c>
      <c r="AC62" s="337">
        <f t="shared" si="89"/>
        <v>0.11711382823046708</v>
      </c>
      <c r="AD62" s="337">
        <f t="shared" si="89"/>
        <v>0.11764399959987996</v>
      </c>
      <c r="AE62" s="337">
        <f t="shared" ref="AE62:AL62" si="90">AE15/AE$49</f>
        <v>0.11819979361715789</v>
      </c>
      <c r="AF62" s="337">
        <f t="shared" si="90"/>
        <v>0.11877937668834543</v>
      </c>
      <c r="AG62" s="337">
        <f t="shared" si="90"/>
        <v>0.11933063055047202</v>
      </c>
      <c r="AH62" s="337">
        <f t="shared" si="90"/>
        <v>0.11985487240163267</v>
      </c>
      <c r="AI62" s="337">
        <f t="shared" si="90"/>
        <v>0.12035653782150527</v>
      </c>
      <c r="AJ62" s="337">
        <f t="shared" si="90"/>
        <v>0.12094332192221556</v>
      </c>
      <c r="AK62" s="337">
        <f t="shared" si="90"/>
        <v>0.12149235893793564</v>
      </c>
      <c r="AL62" s="337">
        <f t="shared" si="90"/>
        <v>0.12207032372617503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232" t="str">
        <f>'Occ T3'!A18</f>
        <v>31 Science, engineering and technology associate professionals</v>
      </c>
      <c r="M63" s="336">
        <f t="shared" ref="M63:AD63" si="91">M16/M$49</f>
        <v>1.6462132789558426E-2</v>
      </c>
      <c r="N63" s="336">
        <f t="shared" si="91"/>
        <v>1.6438104458576099E-2</v>
      </c>
      <c r="O63" s="336">
        <f t="shared" si="91"/>
        <v>1.6331821918409584E-2</v>
      </c>
      <c r="P63" s="336">
        <f t="shared" si="91"/>
        <v>1.6841996566417109E-2</v>
      </c>
      <c r="Q63" s="336">
        <f t="shared" si="91"/>
        <v>1.5394952811248485E-2</v>
      </c>
      <c r="R63" s="336">
        <f t="shared" si="91"/>
        <v>1.5111170870367093E-2</v>
      </c>
      <c r="S63" s="336">
        <f t="shared" si="91"/>
        <v>1.5342333956906771E-2</v>
      </c>
      <c r="T63" s="336">
        <f t="shared" si="91"/>
        <v>1.6486051655875501E-2</v>
      </c>
      <c r="U63" s="336">
        <f t="shared" si="91"/>
        <v>1.6875505028866148E-2</v>
      </c>
      <c r="V63" s="336">
        <f t="shared" si="91"/>
        <v>1.5841001516090514E-2</v>
      </c>
      <c r="W63" s="336">
        <f t="shared" si="91"/>
        <v>1.7651126549302731E-2</v>
      </c>
      <c r="X63" s="336">
        <f t="shared" si="91"/>
        <v>1.4744110551137954E-2</v>
      </c>
      <c r="Y63" s="336">
        <f t="shared" si="91"/>
        <v>1.4747771965764548E-2</v>
      </c>
      <c r="Z63" s="336">
        <f t="shared" si="91"/>
        <v>1.4761279365057826E-2</v>
      </c>
      <c r="AA63" s="336">
        <f t="shared" si="91"/>
        <v>1.4780042261693653E-2</v>
      </c>
      <c r="AB63" s="336">
        <f t="shared" si="91"/>
        <v>1.4791325128546168E-2</v>
      </c>
      <c r="AC63" s="336">
        <f t="shared" si="91"/>
        <v>1.4811164420248844E-2</v>
      </c>
      <c r="AD63" s="336">
        <f t="shared" si="91"/>
        <v>1.4829090669246221E-2</v>
      </c>
      <c r="AE63" s="336">
        <f t="shared" ref="AE63:AL63" si="92">AE16/AE$49</f>
        <v>1.4847941079990858E-2</v>
      </c>
      <c r="AF63" s="336">
        <f t="shared" si="92"/>
        <v>1.4852691764628856E-2</v>
      </c>
      <c r="AG63" s="336">
        <f t="shared" si="92"/>
        <v>1.485882132209939E-2</v>
      </c>
      <c r="AH63" s="336">
        <f t="shared" si="92"/>
        <v>1.4872450791945086E-2</v>
      </c>
      <c r="AI63" s="336">
        <f t="shared" si="92"/>
        <v>1.4881530159114729E-2</v>
      </c>
      <c r="AJ63" s="336">
        <f t="shared" si="92"/>
        <v>1.4889482729024895E-2</v>
      </c>
      <c r="AK63" s="336">
        <f t="shared" si="92"/>
        <v>1.4910687574664577E-2</v>
      </c>
      <c r="AL63" s="336">
        <f t="shared" si="92"/>
        <v>1.4930687310738234E-2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232" t="str">
        <f>'Occ T3'!A19</f>
        <v>32 Health and social care associate professionals</v>
      </c>
      <c r="M64" s="336">
        <f t="shared" ref="M64:AD64" si="93">M17/M$49</f>
        <v>1.5332297358382872E-2</v>
      </c>
      <c r="N64" s="336">
        <f t="shared" si="93"/>
        <v>2.008004996623812E-2</v>
      </c>
      <c r="O64" s="336">
        <f t="shared" si="93"/>
        <v>1.9820948802017176E-2</v>
      </c>
      <c r="P64" s="336">
        <f t="shared" si="93"/>
        <v>1.9480587842474379E-2</v>
      </c>
      <c r="Q64" s="336">
        <f t="shared" si="93"/>
        <v>1.9402828539875822E-2</v>
      </c>
      <c r="R64" s="336">
        <f t="shared" si="93"/>
        <v>1.7867026710835933E-2</v>
      </c>
      <c r="S64" s="336">
        <f t="shared" si="93"/>
        <v>1.9977653797648081E-2</v>
      </c>
      <c r="T64" s="336">
        <f t="shared" si="93"/>
        <v>2.0034473258698057E-2</v>
      </c>
      <c r="U64" s="336">
        <f t="shared" si="93"/>
        <v>2.0831831880836874E-2</v>
      </c>
      <c r="V64" s="336">
        <f t="shared" si="93"/>
        <v>2.148669088646963E-2</v>
      </c>
      <c r="W64" s="336">
        <f t="shared" si="93"/>
        <v>2.2236531589346506E-2</v>
      </c>
      <c r="X64" s="336">
        <f t="shared" si="93"/>
        <v>2.1546003798474211E-2</v>
      </c>
      <c r="Y64" s="336">
        <f t="shared" si="93"/>
        <v>2.1760721277137504E-2</v>
      </c>
      <c r="Z64" s="336">
        <f t="shared" si="93"/>
        <v>2.196957298436903E-2</v>
      </c>
      <c r="AA64" s="336">
        <f t="shared" si="93"/>
        <v>2.2174371271927718E-2</v>
      </c>
      <c r="AB64" s="336">
        <f t="shared" si="93"/>
        <v>2.2361306478762014E-2</v>
      </c>
      <c r="AC64" s="336">
        <f t="shared" si="93"/>
        <v>2.2547642223140863E-2</v>
      </c>
      <c r="AD64" s="336">
        <f t="shared" si="93"/>
        <v>2.2737080314922296E-2</v>
      </c>
      <c r="AE64" s="336">
        <f t="shared" ref="AE64:AL64" si="94">AE17/AE$49</f>
        <v>2.2935169727017583E-2</v>
      </c>
      <c r="AF64" s="336">
        <f t="shared" si="94"/>
        <v>2.3122296613912515E-2</v>
      </c>
      <c r="AG64" s="336">
        <f t="shared" si="94"/>
        <v>2.3298446334479174E-2</v>
      </c>
      <c r="AH64" s="336">
        <f t="shared" si="94"/>
        <v>2.3453383784770621E-2</v>
      </c>
      <c r="AI64" s="336">
        <f t="shared" si="94"/>
        <v>2.3597846583960573E-2</v>
      </c>
      <c r="AJ64" s="336">
        <f t="shared" si="94"/>
        <v>2.3774166602980269E-2</v>
      </c>
      <c r="AK64" s="336">
        <f t="shared" si="94"/>
        <v>2.3949514254512555E-2</v>
      </c>
      <c r="AL64" s="336">
        <f t="shared" si="94"/>
        <v>2.4118042375602569E-2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232" t="str">
        <f>'Occ T3'!A20</f>
        <v>33 Protective service occupations</v>
      </c>
      <c r="M65" s="336">
        <f t="shared" ref="M65:AD65" si="95">M18/M$49</f>
        <v>9.0198089736828364E-3</v>
      </c>
      <c r="N65" s="336">
        <f t="shared" si="95"/>
        <v>1.0230370501480636E-2</v>
      </c>
      <c r="O65" s="336">
        <f t="shared" si="95"/>
        <v>1.0648763293475104E-2</v>
      </c>
      <c r="P65" s="336">
        <f t="shared" si="95"/>
        <v>9.386691359308242E-3</v>
      </c>
      <c r="Q65" s="336">
        <f t="shared" si="95"/>
        <v>9.7243865550217315E-3</v>
      </c>
      <c r="R65" s="336">
        <f t="shared" si="95"/>
        <v>8.7910548936650009E-3</v>
      </c>
      <c r="S65" s="336">
        <f t="shared" si="95"/>
        <v>9.6731081718965627E-3</v>
      </c>
      <c r="T65" s="336">
        <f t="shared" si="95"/>
        <v>9.130491879653509E-3</v>
      </c>
      <c r="U65" s="336">
        <f t="shared" si="95"/>
        <v>8.9907793386864356E-3</v>
      </c>
      <c r="V65" s="336">
        <f t="shared" si="95"/>
        <v>8.6815835658454119E-3</v>
      </c>
      <c r="W65" s="336">
        <f t="shared" si="95"/>
        <v>9.4725031433623465E-3</v>
      </c>
      <c r="X65" s="336">
        <f t="shared" si="95"/>
        <v>1.0493589477440135E-2</v>
      </c>
      <c r="Y65" s="336">
        <f t="shared" si="95"/>
        <v>1.0656788842477593E-2</v>
      </c>
      <c r="Z65" s="336">
        <f t="shared" si="95"/>
        <v>1.0830345263217316E-2</v>
      </c>
      <c r="AA65" s="336">
        <f t="shared" si="95"/>
        <v>1.1016833939118681E-2</v>
      </c>
      <c r="AB65" s="336">
        <f t="shared" si="95"/>
        <v>1.1212432941220877E-2</v>
      </c>
      <c r="AC65" s="336">
        <f t="shared" si="95"/>
        <v>1.1386584335497222E-2</v>
      </c>
      <c r="AD65" s="336">
        <f t="shared" si="95"/>
        <v>1.1561722597715351E-2</v>
      </c>
      <c r="AE65" s="336">
        <f t="shared" ref="AE65:AL65" si="96">AE18/AE$49</f>
        <v>1.1702379048680057E-2</v>
      </c>
      <c r="AF65" s="336">
        <f t="shared" si="96"/>
        <v>1.1899074938616307E-2</v>
      </c>
      <c r="AG65" s="336">
        <f t="shared" si="96"/>
        <v>1.2055395007861354E-2</v>
      </c>
      <c r="AH65" s="336">
        <f t="shared" si="96"/>
        <v>1.2208503726790564E-2</v>
      </c>
      <c r="AI65" s="336">
        <f t="shared" si="96"/>
        <v>1.2332805463534418E-2</v>
      </c>
      <c r="AJ65" s="336">
        <f t="shared" si="96"/>
        <v>1.2526509223302888E-2</v>
      </c>
      <c r="AK65" s="336">
        <f t="shared" si="96"/>
        <v>1.2653757823308994E-2</v>
      </c>
      <c r="AL65" s="336">
        <f t="shared" si="96"/>
        <v>1.2847631766502138E-2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232" t="str">
        <f>'Occ T3'!A21</f>
        <v>34 Culture, media and sports occupations</v>
      </c>
      <c r="M66" s="336">
        <f t="shared" ref="M66:AD66" si="97">M19/M$49</f>
        <v>1.2621958617381966E-2</v>
      </c>
      <c r="N66" s="336">
        <f t="shared" si="97"/>
        <v>1.1396768624290099E-2</v>
      </c>
      <c r="O66" s="336">
        <f t="shared" si="97"/>
        <v>1.2174752760836068E-2</v>
      </c>
      <c r="P66" s="336">
        <f t="shared" si="97"/>
        <v>1.289496702671554E-2</v>
      </c>
      <c r="Q66" s="336">
        <f t="shared" si="97"/>
        <v>1.3074931168715725E-2</v>
      </c>
      <c r="R66" s="336">
        <f t="shared" si="97"/>
        <v>1.488837672899883E-2</v>
      </c>
      <c r="S66" s="336">
        <f t="shared" si="97"/>
        <v>1.3695515754401555E-2</v>
      </c>
      <c r="T66" s="336">
        <f t="shared" si="97"/>
        <v>1.4253809686558983E-2</v>
      </c>
      <c r="U66" s="336">
        <f t="shared" si="97"/>
        <v>1.3085963073356952E-2</v>
      </c>
      <c r="V66" s="336">
        <f t="shared" si="97"/>
        <v>1.4650437268087122E-2</v>
      </c>
      <c r="W66" s="336">
        <f t="shared" si="97"/>
        <v>1.54500939429177E-2</v>
      </c>
      <c r="X66" s="336">
        <f t="shared" si="97"/>
        <v>1.4251935754239532E-2</v>
      </c>
      <c r="Y66" s="336">
        <f t="shared" si="97"/>
        <v>1.4013767642978753E-2</v>
      </c>
      <c r="Z66" s="336">
        <f t="shared" si="97"/>
        <v>1.3995434566900678E-2</v>
      </c>
      <c r="AA66" s="336">
        <f t="shared" si="97"/>
        <v>1.4101002273706092E-2</v>
      </c>
      <c r="AB66" s="336">
        <f t="shared" si="97"/>
        <v>1.4213557894122514E-2</v>
      </c>
      <c r="AC66" s="336">
        <f t="shared" si="97"/>
        <v>1.4321441474667651E-2</v>
      </c>
      <c r="AD66" s="336">
        <f t="shared" si="97"/>
        <v>1.4429784848552851E-2</v>
      </c>
      <c r="AE66" s="336">
        <f t="shared" ref="AE66:AL66" si="98">AE19/AE$49</f>
        <v>1.4542698387589802E-2</v>
      </c>
      <c r="AF66" s="336">
        <f t="shared" si="98"/>
        <v>1.465830839070773E-2</v>
      </c>
      <c r="AG66" s="336">
        <f t="shared" si="98"/>
        <v>1.4781240944491009E-2</v>
      </c>
      <c r="AH66" s="336">
        <f t="shared" si="98"/>
        <v>1.4887132312067399E-2</v>
      </c>
      <c r="AI66" s="336">
        <f t="shared" si="98"/>
        <v>1.5009687791199705E-2</v>
      </c>
      <c r="AJ66" s="336">
        <f t="shared" si="98"/>
        <v>1.514096414436804E-2</v>
      </c>
      <c r="AK66" s="336">
        <f t="shared" si="98"/>
        <v>1.5256183146281984E-2</v>
      </c>
      <c r="AL66" s="336">
        <f t="shared" si="98"/>
        <v>1.5376181895027798E-2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232" t="str">
        <f>'Occ T3'!A22</f>
        <v>35 Business and public service associate professionals</v>
      </c>
      <c r="M67" s="336">
        <f t="shared" ref="M67:AD67" si="99">M20/M$49</f>
        <v>5.6356859396186898E-2</v>
      </c>
      <c r="N67" s="336">
        <f t="shared" si="99"/>
        <v>5.2428489489246034E-2</v>
      </c>
      <c r="O67" s="336">
        <f t="shared" si="99"/>
        <v>5.2927087000563026E-2</v>
      </c>
      <c r="P67" s="336">
        <f t="shared" si="99"/>
        <v>5.3777898399062496E-2</v>
      </c>
      <c r="Q67" s="336">
        <f t="shared" si="99"/>
        <v>5.4421380072861181E-2</v>
      </c>
      <c r="R67" s="336">
        <f t="shared" si="99"/>
        <v>5.4362157417430682E-2</v>
      </c>
      <c r="S67" s="336">
        <f t="shared" si="99"/>
        <v>5.4281173262614404E-2</v>
      </c>
      <c r="T67" s="336">
        <f t="shared" si="99"/>
        <v>5.5580177242172617E-2</v>
      </c>
      <c r="U67" s="336">
        <f t="shared" si="99"/>
        <v>5.5213936650892873E-2</v>
      </c>
      <c r="V67" s="336">
        <f t="shared" si="99"/>
        <v>5.4486026151568945E-2</v>
      </c>
      <c r="W67" s="336">
        <f t="shared" si="99"/>
        <v>5.7864672585750614E-2</v>
      </c>
      <c r="X67" s="336">
        <f t="shared" si="99"/>
        <v>5.3822610014908297E-2</v>
      </c>
      <c r="Y67" s="336">
        <f t="shared" si="99"/>
        <v>5.3866318882768521E-2</v>
      </c>
      <c r="Z67" s="336">
        <f t="shared" si="99"/>
        <v>5.3932366517552309E-2</v>
      </c>
      <c r="AA67" s="336">
        <f t="shared" si="99"/>
        <v>5.3990976537958806E-2</v>
      </c>
      <c r="AB67" s="336">
        <f t="shared" si="99"/>
        <v>5.401581261256231E-2</v>
      </c>
      <c r="AC67" s="336">
        <f t="shared" si="99"/>
        <v>5.4046995776912507E-2</v>
      </c>
      <c r="AD67" s="336">
        <f t="shared" si="99"/>
        <v>5.4086321169443251E-2</v>
      </c>
      <c r="AE67" s="336">
        <f t="shared" ref="AE67:AL67" si="100">AE20/AE$49</f>
        <v>5.4171605373879592E-2</v>
      </c>
      <c r="AF67" s="336">
        <f t="shared" si="100"/>
        <v>5.4247004980480025E-2</v>
      </c>
      <c r="AG67" s="336">
        <f t="shared" si="100"/>
        <v>5.433672694154109E-2</v>
      </c>
      <c r="AH67" s="336">
        <f t="shared" si="100"/>
        <v>5.4433401786059002E-2</v>
      </c>
      <c r="AI67" s="336">
        <f t="shared" si="100"/>
        <v>5.4534667823695843E-2</v>
      </c>
      <c r="AJ67" s="336">
        <f t="shared" si="100"/>
        <v>5.4612199222539494E-2</v>
      </c>
      <c r="AK67" s="336">
        <f t="shared" si="100"/>
        <v>5.4722216139167536E-2</v>
      </c>
      <c r="AL67" s="336">
        <f t="shared" si="100"/>
        <v>5.4797780378304288E-2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37">
        <f t="shared" ref="M69:AD69" si="101">M22/M$49</f>
        <v>0.11898002187430966</v>
      </c>
      <c r="N69" s="337">
        <f t="shared" si="101"/>
        <v>0.12061885048602991</v>
      </c>
      <c r="O69" s="337">
        <f t="shared" si="101"/>
        <v>0.12039855583954247</v>
      </c>
      <c r="P69" s="337">
        <f t="shared" si="101"/>
        <v>0.11740518831681561</v>
      </c>
      <c r="Q69" s="337">
        <f t="shared" si="101"/>
        <v>0.11749827425981033</v>
      </c>
      <c r="R69" s="337">
        <f t="shared" si="101"/>
        <v>0.11895267590496082</v>
      </c>
      <c r="S69" s="337">
        <f t="shared" si="101"/>
        <v>0.11432414091406244</v>
      </c>
      <c r="T69" s="337">
        <f t="shared" si="101"/>
        <v>0.11735795438053298</v>
      </c>
      <c r="U69" s="337">
        <f t="shared" si="101"/>
        <v>0.11433611341464044</v>
      </c>
      <c r="V69" s="337">
        <f t="shared" si="101"/>
        <v>0.10719100214587179</v>
      </c>
      <c r="W69" s="337">
        <f t="shared" si="101"/>
        <v>0.11408023669072111</v>
      </c>
      <c r="X69" s="337">
        <f t="shared" si="101"/>
        <v>0.10879180667809624</v>
      </c>
      <c r="Y69" s="337">
        <f t="shared" si="101"/>
        <v>0.10817771611115615</v>
      </c>
      <c r="Z69" s="337">
        <f t="shared" si="101"/>
        <v>0.1073791340711025</v>
      </c>
      <c r="AA69" s="337">
        <f t="shared" si="101"/>
        <v>0.10649279336868887</v>
      </c>
      <c r="AB69" s="337">
        <f t="shared" si="101"/>
        <v>0.10549216120903657</v>
      </c>
      <c r="AC69" s="337">
        <f t="shared" si="101"/>
        <v>0.10430788354748087</v>
      </c>
      <c r="AD69" s="337">
        <f t="shared" si="101"/>
        <v>0.10311219975863137</v>
      </c>
      <c r="AE69" s="337">
        <f t="shared" ref="AE69:AL69" si="102">AE22/AE$49</f>
        <v>0.10183571755293627</v>
      </c>
      <c r="AF69" s="337">
        <f t="shared" si="102"/>
        <v>0.10052694740388751</v>
      </c>
      <c r="AG69" s="337">
        <f t="shared" si="102"/>
        <v>9.9218499370907987E-2</v>
      </c>
      <c r="AH69" s="337">
        <f t="shared" si="102"/>
        <v>9.786120153762945E-2</v>
      </c>
      <c r="AI69" s="337">
        <f t="shared" si="102"/>
        <v>9.6508078030442437E-2</v>
      </c>
      <c r="AJ69" s="337">
        <f t="shared" si="102"/>
        <v>9.4990407424071624E-2</v>
      </c>
      <c r="AK69" s="337">
        <f t="shared" si="102"/>
        <v>9.3547422423844437E-2</v>
      </c>
      <c r="AL69" s="337">
        <f t="shared" si="102"/>
        <v>9.2249060731820084E-2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232" t="str">
        <f>'Occ T3'!A25</f>
        <v>41 Administrative occupations</v>
      </c>
      <c r="M70" s="336">
        <f t="shared" ref="M70:AD70" si="103">M23/M$49</f>
        <v>9.2901880804816817E-2</v>
      </c>
      <c r="N70" s="336">
        <f t="shared" si="103"/>
        <v>9.6054581750300655E-2</v>
      </c>
      <c r="O70" s="336">
        <f t="shared" si="103"/>
        <v>9.7004877597684433E-2</v>
      </c>
      <c r="P70" s="336">
        <f t="shared" si="103"/>
        <v>9.3677190813496986E-2</v>
      </c>
      <c r="Q70" s="336">
        <f t="shared" si="103"/>
        <v>9.439606448172623E-2</v>
      </c>
      <c r="R70" s="336">
        <f t="shared" si="103"/>
        <v>9.7195595113276009E-2</v>
      </c>
      <c r="S70" s="336">
        <f t="shared" si="103"/>
        <v>9.3676799140379782E-2</v>
      </c>
      <c r="T70" s="336">
        <f t="shared" si="103"/>
        <v>9.5631827584023568E-2</v>
      </c>
      <c r="U70" s="336">
        <f t="shared" si="103"/>
        <v>9.3013570756863395E-2</v>
      </c>
      <c r="V70" s="336">
        <f t="shared" si="103"/>
        <v>8.8571104416570914E-2</v>
      </c>
      <c r="W70" s="336">
        <f t="shared" si="103"/>
        <v>9.5360966830087518E-2</v>
      </c>
      <c r="X70" s="336">
        <f t="shared" si="103"/>
        <v>8.8094465793933679E-2</v>
      </c>
      <c r="Y70" s="336">
        <f t="shared" si="103"/>
        <v>8.7745301876343509E-2</v>
      </c>
      <c r="Z70" s="336">
        <f t="shared" si="103"/>
        <v>8.7308628311758771E-2</v>
      </c>
      <c r="AA70" s="336">
        <f t="shared" si="103"/>
        <v>8.6817421363189429E-2</v>
      </c>
      <c r="AB70" s="336">
        <f t="shared" si="103"/>
        <v>8.6297733095346371E-2</v>
      </c>
      <c r="AC70" s="336">
        <f t="shared" si="103"/>
        <v>8.5741614082779721E-2</v>
      </c>
      <c r="AD70" s="336">
        <f t="shared" si="103"/>
        <v>8.513094669834198E-2</v>
      </c>
      <c r="AE70" s="336">
        <f t="shared" ref="AE70:AL70" si="104">AE23/AE$49</f>
        <v>8.4490387242619674E-2</v>
      </c>
      <c r="AF70" s="336">
        <f t="shared" si="104"/>
        <v>8.3865274692245376E-2</v>
      </c>
      <c r="AG70" s="336">
        <f t="shared" si="104"/>
        <v>8.3253082822917102E-2</v>
      </c>
      <c r="AH70" s="336">
        <f t="shared" si="104"/>
        <v>8.2615962976284207E-2</v>
      </c>
      <c r="AI70" s="336">
        <f t="shared" si="104"/>
        <v>8.1931885635802684E-2</v>
      </c>
      <c r="AJ70" s="336">
        <f t="shared" si="104"/>
        <v>8.1238509445387797E-2</v>
      </c>
      <c r="AK70" s="336">
        <f t="shared" si="104"/>
        <v>8.0502115748638178E-2</v>
      </c>
      <c r="AL70" s="336">
        <f t="shared" si="104"/>
        <v>7.9718651976939378E-2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232" t="str">
        <f>'Occ T3'!A26</f>
        <v>42 Secretarial and related occupations</v>
      </c>
      <c r="M71" s="336">
        <f t="shared" ref="M71:AD71" si="105">M24/M$49</f>
        <v>2.6078141069492838E-2</v>
      </c>
      <c r="N71" s="336">
        <f t="shared" si="105"/>
        <v>2.4564268735729252E-2</v>
      </c>
      <c r="O71" s="336">
        <f t="shared" si="105"/>
        <v>2.3393678241858031E-2</v>
      </c>
      <c r="P71" s="336">
        <f t="shared" si="105"/>
        <v>2.3727997503318624E-2</v>
      </c>
      <c r="Q71" s="336">
        <f t="shared" si="105"/>
        <v>2.3102209778084096E-2</v>
      </c>
      <c r="R71" s="336">
        <f t="shared" si="105"/>
        <v>2.1757080791684813E-2</v>
      </c>
      <c r="S71" s="336">
        <f t="shared" si="105"/>
        <v>2.0647341773682649E-2</v>
      </c>
      <c r="T71" s="336">
        <f t="shared" si="105"/>
        <v>2.1726126796509402E-2</v>
      </c>
      <c r="U71" s="336">
        <f t="shared" si="105"/>
        <v>2.1322542657777045E-2</v>
      </c>
      <c r="V71" s="336">
        <f t="shared" si="105"/>
        <v>1.8619897729300873E-2</v>
      </c>
      <c r="W71" s="336">
        <f t="shared" si="105"/>
        <v>1.8719269860633592E-2</v>
      </c>
      <c r="X71" s="336">
        <f t="shared" si="105"/>
        <v>2.0697340884162568E-2</v>
      </c>
      <c r="Y71" s="336">
        <f t="shared" si="105"/>
        <v>2.0432414234812638E-2</v>
      </c>
      <c r="Z71" s="336">
        <f t="shared" si="105"/>
        <v>2.0070505759343729E-2</v>
      </c>
      <c r="AA71" s="336">
        <f t="shared" si="105"/>
        <v>1.9675372005499452E-2</v>
      </c>
      <c r="AB71" s="336">
        <f t="shared" si="105"/>
        <v>1.9194428113690206E-2</v>
      </c>
      <c r="AC71" s="336">
        <f t="shared" si="105"/>
        <v>1.8566269464701135E-2</v>
      </c>
      <c r="AD71" s="336">
        <f t="shared" si="105"/>
        <v>1.7981253060289391E-2</v>
      </c>
      <c r="AE71" s="336">
        <f t="shared" ref="AE71:AL71" si="106">AE24/AE$49</f>
        <v>1.7345330310316587E-2</v>
      </c>
      <c r="AF71" s="336">
        <f t="shared" si="106"/>
        <v>1.6661672711642126E-2</v>
      </c>
      <c r="AG71" s="336">
        <f t="shared" si="106"/>
        <v>1.5965416547990885E-2</v>
      </c>
      <c r="AH71" s="336">
        <f t="shared" si="106"/>
        <v>1.5245238561345239E-2</v>
      </c>
      <c r="AI71" s="336">
        <f t="shared" si="106"/>
        <v>1.4576192394639758E-2</v>
      </c>
      <c r="AJ71" s="336">
        <f t="shared" si="106"/>
        <v>1.3751897978683829E-2</v>
      </c>
      <c r="AK71" s="336">
        <f t="shared" si="106"/>
        <v>1.3045306675206265E-2</v>
      </c>
      <c r="AL71" s="336">
        <f t="shared" si="106"/>
        <v>1.2530408754880705E-2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37">
        <f t="shared" ref="M73:AD73" si="107">M26/M$49</f>
        <v>0.12812216666096626</v>
      </c>
      <c r="N73" s="337">
        <f t="shared" si="107"/>
        <v>0.12429159186670967</v>
      </c>
      <c r="O73" s="337">
        <f t="shared" si="107"/>
        <v>0.122533565617485</v>
      </c>
      <c r="P73" s="337">
        <f t="shared" si="107"/>
        <v>0.1219715068799956</v>
      </c>
      <c r="Q73" s="337">
        <f t="shared" si="107"/>
        <v>0.11970730451022479</v>
      </c>
      <c r="R73" s="337">
        <f t="shared" si="107"/>
        <v>0.12124868521552318</v>
      </c>
      <c r="S73" s="337">
        <f t="shared" si="107"/>
        <v>0.1099013990657732</v>
      </c>
      <c r="T73" s="337">
        <f t="shared" si="107"/>
        <v>0.11015370811014037</v>
      </c>
      <c r="U73" s="337">
        <f t="shared" si="107"/>
        <v>0.11575542107206192</v>
      </c>
      <c r="V73" s="337">
        <f t="shared" si="107"/>
        <v>0.121459355672961</v>
      </c>
      <c r="W73" s="337">
        <f t="shared" si="107"/>
        <v>0.10541568553942771</v>
      </c>
      <c r="X73" s="337">
        <f t="shared" si="107"/>
        <v>0.10640262229627158</v>
      </c>
      <c r="Y73" s="337">
        <f t="shared" si="107"/>
        <v>0.10512448242107876</v>
      </c>
      <c r="Z73" s="337">
        <f t="shared" si="107"/>
        <v>0.10370344749822925</v>
      </c>
      <c r="AA73" s="337">
        <f t="shared" si="107"/>
        <v>0.10242972863534147</v>
      </c>
      <c r="AB73" s="337">
        <f t="shared" si="107"/>
        <v>0.10127686503842888</v>
      </c>
      <c r="AC73" s="337">
        <f t="shared" si="107"/>
        <v>0.10014857313653901</v>
      </c>
      <c r="AD73" s="337">
        <f t="shared" si="107"/>
        <v>9.9036231836142505E-2</v>
      </c>
      <c r="AE73" s="337">
        <f t="shared" ref="AE73:AL73" si="108">AE26/AE$49</f>
        <v>9.7972805241805003E-2</v>
      </c>
      <c r="AF73" s="337">
        <f t="shared" si="108"/>
        <v>9.6904977179315885E-2</v>
      </c>
      <c r="AG73" s="337">
        <f t="shared" si="108"/>
        <v>9.5855691356977274E-2</v>
      </c>
      <c r="AH73" s="337">
        <f t="shared" si="108"/>
        <v>9.4815134583411356E-2</v>
      </c>
      <c r="AI73" s="337">
        <f t="shared" si="108"/>
        <v>9.380688088877262E-2</v>
      </c>
      <c r="AJ73" s="337">
        <f t="shared" si="108"/>
        <v>9.280951669009585E-2</v>
      </c>
      <c r="AK73" s="337">
        <f t="shared" si="108"/>
        <v>9.1809294544378472E-2</v>
      </c>
      <c r="AL73" s="337">
        <f t="shared" si="108"/>
        <v>9.0817663804387661E-2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232" t="str">
        <f>'Occ T3'!A29</f>
        <v>51 Skilled agricultural and related trades</v>
      </c>
      <c r="M74" s="336">
        <f t="shared" ref="M74:AD74" si="109">M27/M$49</f>
        <v>8.3938165213270025E-3</v>
      </c>
      <c r="N74" s="336">
        <f t="shared" si="109"/>
        <v>7.4786965954387503E-3</v>
      </c>
      <c r="O74" s="336">
        <f t="shared" si="109"/>
        <v>8.903725902344008E-3</v>
      </c>
      <c r="P74" s="336">
        <f t="shared" si="109"/>
        <v>6.8027157820297569E-3</v>
      </c>
      <c r="Q74" s="336">
        <f t="shared" si="109"/>
        <v>6.7354561104268577E-3</v>
      </c>
      <c r="R74" s="336">
        <f t="shared" si="109"/>
        <v>8.5673288157009642E-3</v>
      </c>
      <c r="S74" s="336">
        <f t="shared" si="109"/>
        <v>7.0933534605827605E-3</v>
      </c>
      <c r="T74" s="336">
        <f t="shared" si="109"/>
        <v>6.302746486428183E-3</v>
      </c>
      <c r="U74" s="336">
        <f t="shared" si="109"/>
        <v>7.5508879825432239E-3</v>
      </c>
      <c r="V74" s="336">
        <f t="shared" si="109"/>
        <v>7.4649144217236851E-3</v>
      </c>
      <c r="W74" s="336">
        <f t="shared" si="109"/>
        <v>6.4207029254900573E-3</v>
      </c>
      <c r="X74" s="336">
        <f t="shared" si="109"/>
        <v>6.2416409371262973E-3</v>
      </c>
      <c r="Y74" s="336">
        <f t="shared" si="109"/>
        <v>6.2776703687983746E-3</v>
      </c>
      <c r="Z74" s="336">
        <f t="shared" si="109"/>
        <v>6.3638004442763312E-3</v>
      </c>
      <c r="AA74" s="336">
        <f t="shared" si="109"/>
        <v>6.4560925497078574E-3</v>
      </c>
      <c r="AB74" s="336">
        <f t="shared" si="109"/>
        <v>6.5278162841943422E-3</v>
      </c>
      <c r="AC74" s="336">
        <f t="shared" si="109"/>
        <v>6.5930848837028686E-3</v>
      </c>
      <c r="AD74" s="336">
        <f t="shared" si="109"/>
        <v>6.6602412090110263E-3</v>
      </c>
      <c r="AE74" s="336">
        <f t="shared" ref="AE74:AL74" si="110">AE27/AE$49</f>
        <v>6.7232200192978448E-3</v>
      </c>
      <c r="AF74" s="336">
        <f t="shared" si="110"/>
        <v>6.7836832301722888E-3</v>
      </c>
      <c r="AG74" s="336">
        <f t="shared" si="110"/>
        <v>6.8417602591019124E-3</v>
      </c>
      <c r="AH74" s="336">
        <f t="shared" si="110"/>
        <v>6.9001777691588906E-3</v>
      </c>
      <c r="AI74" s="336">
        <f t="shared" si="110"/>
        <v>6.9554050894058816E-3</v>
      </c>
      <c r="AJ74" s="336">
        <f t="shared" si="110"/>
        <v>7.0112818105862963E-3</v>
      </c>
      <c r="AK74" s="336">
        <f t="shared" si="110"/>
        <v>7.0645906470423224E-3</v>
      </c>
      <c r="AL74" s="336">
        <f t="shared" si="110"/>
        <v>7.1156352958414489E-3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232" t="str">
        <f>'Occ T3'!A30</f>
        <v>52 Skilled metal, electrical and electronic trades</v>
      </c>
      <c r="M75" s="336">
        <f t="shared" ref="M75:AD75" si="111">M28/M$49</f>
        <v>5.4844645919880461E-2</v>
      </c>
      <c r="N75" s="336">
        <f t="shared" si="111"/>
        <v>5.7969092117959579E-2</v>
      </c>
      <c r="O75" s="336">
        <f t="shared" si="111"/>
        <v>5.37927165839771E-2</v>
      </c>
      <c r="P75" s="336">
        <f t="shared" si="111"/>
        <v>5.6096105394221642E-2</v>
      </c>
      <c r="Q75" s="336">
        <f t="shared" si="111"/>
        <v>5.6495527443659134E-2</v>
      </c>
      <c r="R75" s="336">
        <f t="shared" si="111"/>
        <v>5.6615564138363758E-2</v>
      </c>
      <c r="S75" s="336">
        <f t="shared" si="111"/>
        <v>5.1047291159999071E-2</v>
      </c>
      <c r="T75" s="336">
        <f t="shared" si="111"/>
        <v>5.0053816271422268E-2</v>
      </c>
      <c r="U75" s="336">
        <f t="shared" si="111"/>
        <v>5.1963909023875245E-2</v>
      </c>
      <c r="V75" s="336">
        <f t="shared" si="111"/>
        <v>5.558327928064985E-2</v>
      </c>
      <c r="W75" s="336">
        <f t="shared" si="111"/>
        <v>4.7032002420796207E-2</v>
      </c>
      <c r="X75" s="336">
        <f t="shared" si="111"/>
        <v>4.6557349198759333E-2</v>
      </c>
      <c r="Y75" s="336">
        <f t="shared" si="111"/>
        <v>4.5980549852608542E-2</v>
      </c>
      <c r="Z75" s="336">
        <f t="shared" si="111"/>
        <v>4.5428140910479718E-2</v>
      </c>
      <c r="AA75" s="336">
        <f t="shared" si="111"/>
        <v>4.4930635647964796E-2</v>
      </c>
      <c r="AB75" s="336">
        <f t="shared" si="111"/>
        <v>4.4457774892953411E-2</v>
      </c>
      <c r="AC75" s="336">
        <f t="shared" si="111"/>
        <v>4.3984582330666454E-2</v>
      </c>
      <c r="AD75" s="336">
        <f t="shared" si="111"/>
        <v>4.3507293102756493E-2</v>
      </c>
      <c r="AE75" s="336">
        <f t="shared" ref="AE75:AL75" si="112">AE28/AE$49</f>
        <v>4.3021865897966381E-2</v>
      </c>
      <c r="AF75" s="336">
        <f t="shared" si="112"/>
        <v>4.2537059684103345E-2</v>
      </c>
      <c r="AG75" s="336">
        <f t="shared" si="112"/>
        <v>4.2079382546788176E-2</v>
      </c>
      <c r="AH75" s="336">
        <f t="shared" si="112"/>
        <v>4.1634831094837475E-2</v>
      </c>
      <c r="AI75" s="336">
        <f t="shared" si="112"/>
        <v>4.1216012729897257E-2</v>
      </c>
      <c r="AJ75" s="336">
        <f t="shared" si="112"/>
        <v>4.0792507325165567E-2</v>
      </c>
      <c r="AK75" s="336">
        <f t="shared" si="112"/>
        <v>4.0367198245870005E-2</v>
      </c>
      <c r="AL75" s="336">
        <f t="shared" si="112"/>
        <v>3.9937044276589069E-2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232" t="str">
        <f>'Occ T3'!A31</f>
        <v>53 Skilled construction and building trades</v>
      </c>
      <c r="M76" s="336">
        <f t="shared" ref="M76:AD76" si="113">M29/M$49</f>
        <v>4.5132422161552048E-2</v>
      </c>
      <c r="N76" s="336">
        <f t="shared" si="113"/>
        <v>4.0131068439479063E-2</v>
      </c>
      <c r="O76" s="336">
        <f t="shared" si="113"/>
        <v>3.9291693157132039E-2</v>
      </c>
      <c r="P76" s="336">
        <f t="shared" si="113"/>
        <v>3.8976277540141456E-2</v>
      </c>
      <c r="Q76" s="336">
        <f t="shared" si="113"/>
        <v>3.5881157221671574E-2</v>
      </c>
      <c r="R76" s="336">
        <f t="shared" si="113"/>
        <v>3.6940336830815809E-2</v>
      </c>
      <c r="S76" s="336">
        <f t="shared" si="113"/>
        <v>3.3038307162343704E-2</v>
      </c>
      <c r="T76" s="336">
        <f t="shared" si="113"/>
        <v>3.4237747184319794E-2</v>
      </c>
      <c r="U76" s="336">
        <f t="shared" si="113"/>
        <v>3.8970231082942536E-2</v>
      </c>
      <c r="V76" s="336">
        <f t="shared" si="113"/>
        <v>4.1847930323972153E-2</v>
      </c>
      <c r="W76" s="336">
        <f t="shared" si="113"/>
        <v>3.51346443508034E-2</v>
      </c>
      <c r="X76" s="336">
        <f t="shared" si="113"/>
        <v>3.6913904153398083E-2</v>
      </c>
      <c r="Y76" s="336">
        <f t="shared" si="113"/>
        <v>3.6351884612994684E-2</v>
      </c>
      <c r="Z76" s="336">
        <f t="shared" si="113"/>
        <v>3.5668483550465369E-2</v>
      </c>
      <c r="AA76" s="336">
        <f t="shared" si="113"/>
        <v>3.5062877471964543E-2</v>
      </c>
      <c r="AB76" s="336">
        <f t="shared" si="113"/>
        <v>3.4545064475066611E-2</v>
      </c>
      <c r="AC76" s="336">
        <f t="shared" si="113"/>
        <v>3.4006419560544475E-2</v>
      </c>
      <c r="AD76" s="336">
        <f t="shared" si="113"/>
        <v>3.347389660843135E-2</v>
      </c>
      <c r="AE76" s="336">
        <f t="shared" ref="AE76:AL76" si="114">AE29/AE$49</f>
        <v>3.2985363508841382E-2</v>
      </c>
      <c r="AF76" s="336">
        <f t="shared" si="114"/>
        <v>3.2481200299445838E-2</v>
      </c>
      <c r="AG76" s="336">
        <f t="shared" si="114"/>
        <v>3.1965752219766316E-2</v>
      </c>
      <c r="AH76" s="336">
        <f t="shared" si="114"/>
        <v>3.1447090207670343E-2</v>
      </c>
      <c r="AI76" s="336">
        <f t="shared" si="114"/>
        <v>3.0936917986385436E-2</v>
      </c>
      <c r="AJ76" s="336">
        <f t="shared" si="114"/>
        <v>3.0437247438743386E-2</v>
      </c>
      <c r="AK76" s="336">
        <f t="shared" si="114"/>
        <v>2.9931848055230085E-2</v>
      </c>
      <c r="AL76" s="336">
        <f t="shared" si="114"/>
        <v>2.9424266895796643E-2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232" t="str">
        <f>'Occ T3'!A32</f>
        <v>54 Textiles, printing and other skilled trades</v>
      </c>
      <c r="M77" s="336">
        <f t="shared" ref="M77:AD77" si="115">M30/M$49</f>
        <v>1.9751282058206743E-2</v>
      </c>
      <c r="N77" s="336">
        <f t="shared" si="115"/>
        <v>1.8712734713832245E-2</v>
      </c>
      <c r="O77" s="336">
        <f t="shared" si="115"/>
        <v>2.0545429974031866E-2</v>
      </c>
      <c r="P77" s="336">
        <f t="shared" si="115"/>
        <v>2.0096408163602721E-2</v>
      </c>
      <c r="Q77" s="336">
        <f t="shared" si="115"/>
        <v>2.0595163734467226E-2</v>
      </c>
      <c r="R77" s="336">
        <f t="shared" si="115"/>
        <v>1.9125455430642646E-2</v>
      </c>
      <c r="S77" s="336">
        <f t="shared" si="115"/>
        <v>1.8722447282847669E-2</v>
      </c>
      <c r="T77" s="336">
        <f t="shared" si="115"/>
        <v>1.9559398167970133E-2</v>
      </c>
      <c r="U77" s="336">
        <f t="shared" si="115"/>
        <v>1.7270392982700902E-2</v>
      </c>
      <c r="V77" s="336">
        <f t="shared" si="115"/>
        <v>1.6563231646615321E-2</v>
      </c>
      <c r="W77" s="336">
        <f t="shared" si="115"/>
        <v>1.682833584233805E-2</v>
      </c>
      <c r="X77" s="336">
        <f t="shared" si="115"/>
        <v>1.6689728006987866E-2</v>
      </c>
      <c r="Y77" s="336">
        <f t="shared" si="115"/>
        <v>1.6514377586677162E-2</v>
      </c>
      <c r="Z77" s="336">
        <f t="shared" si="115"/>
        <v>1.6243022593007833E-2</v>
      </c>
      <c r="AA77" s="336">
        <f t="shared" si="115"/>
        <v>1.5980122965704269E-2</v>
      </c>
      <c r="AB77" s="336">
        <f t="shared" si="115"/>
        <v>1.5746209386214505E-2</v>
      </c>
      <c r="AC77" s="336">
        <f t="shared" si="115"/>
        <v>1.5564486361625217E-2</v>
      </c>
      <c r="AD77" s="336">
        <f t="shared" si="115"/>
        <v>1.5394800915943639E-2</v>
      </c>
      <c r="AE77" s="336">
        <f t="shared" ref="AE77:AL77" si="116">AE30/AE$49</f>
        <v>1.5242355815699394E-2</v>
      </c>
      <c r="AF77" s="336">
        <f t="shared" si="116"/>
        <v>1.5103033965594405E-2</v>
      </c>
      <c r="AG77" s="336">
        <f t="shared" si="116"/>
        <v>1.4968796331320863E-2</v>
      </c>
      <c r="AH77" s="336">
        <f t="shared" si="116"/>
        <v>1.4833035511744651E-2</v>
      </c>
      <c r="AI77" s="336">
        <f t="shared" si="116"/>
        <v>1.4698545083084045E-2</v>
      </c>
      <c r="AJ77" s="336">
        <f t="shared" si="116"/>
        <v>1.45684801156006E-2</v>
      </c>
      <c r="AK77" s="336">
        <f t="shared" si="116"/>
        <v>1.4445657596236061E-2</v>
      </c>
      <c r="AL77" s="336">
        <f t="shared" si="116"/>
        <v>1.4340717336160486E-2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37">
        <f t="shared" ref="M79:AD79" si="117">M32/M$49</f>
        <v>0.10213351421956417</v>
      </c>
      <c r="N79" s="337">
        <f t="shared" si="117"/>
        <v>0.10109923405336006</v>
      </c>
      <c r="O79" s="337">
        <f t="shared" si="117"/>
        <v>9.9558124443855228E-2</v>
      </c>
      <c r="P79" s="337">
        <f t="shared" si="117"/>
        <v>0.10053178037632905</v>
      </c>
      <c r="Q79" s="337">
        <f t="shared" si="117"/>
        <v>0.10108712601997691</v>
      </c>
      <c r="R79" s="337">
        <f t="shared" si="117"/>
        <v>9.9845701671973972E-2</v>
      </c>
      <c r="S79" s="337">
        <f t="shared" si="117"/>
        <v>0.1069859136614572</v>
      </c>
      <c r="T79" s="337">
        <f t="shared" si="117"/>
        <v>0.10602981277133595</v>
      </c>
      <c r="U79" s="337">
        <f t="shared" si="117"/>
        <v>9.9192130157709765E-2</v>
      </c>
      <c r="V79" s="337">
        <f t="shared" si="117"/>
        <v>0.10091112427257402</v>
      </c>
      <c r="W79" s="337">
        <f t="shared" si="117"/>
        <v>9.957928440531251E-2</v>
      </c>
      <c r="X79" s="337">
        <f t="shared" si="117"/>
        <v>0.10184517890213271</v>
      </c>
      <c r="Y79" s="337">
        <f t="shared" si="117"/>
        <v>0.10247191443562746</v>
      </c>
      <c r="Z79" s="337">
        <f t="shared" si="117"/>
        <v>0.10315515400030485</v>
      </c>
      <c r="AA79" s="337">
        <f t="shared" si="117"/>
        <v>0.10380089042650871</v>
      </c>
      <c r="AB79" s="337">
        <f t="shared" si="117"/>
        <v>0.10440941180692845</v>
      </c>
      <c r="AC79" s="337">
        <f t="shared" si="117"/>
        <v>0.10502582525335123</v>
      </c>
      <c r="AD79" s="337">
        <f t="shared" si="117"/>
        <v>0.10565245945844719</v>
      </c>
      <c r="AE79" s="337">
        <f t="shared" ref="AE79:AL79" si="118">AE32/AE$49</f>
        <v>0.1063059860606516</v>
      </c>
      <c r="AF79" s="337">
        <f t="shared" si="118"/>
        <v>0.10692544463745242</v>
      </c>
      <c r="AG79" s="337">
        <f t="shared" si="118"/>
        <v>0.10749191960732069</v>
      </c>
      <c r="AH79" s="337">
        <f t="shared" si="118"/>
        <v>0.1080895936276737</v>
      </c>
      <c r="AI79" s="337">
        <f t="shared" si="118"/>
        <v>0.10865232345596458</v>
      </c>
      <c r="AJ79" s="337">
        <f t="shared" si="118"/>
        <v>0.10926186802059253</v>
      </c>
      <c r="AK79" s="337">
        <f t="shared" si="118"/>
        <v>0.10988699286115428</v>
      </c>
      <c r="AL79" s="337">
        <f t="shared" si="118"/>
        <v>0.11047761849533813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232" t="str">
        <f>'Occ T3'!A35</f>
        <v>61 Caring personal service occupations</v>
      </c>
      <c r="M80" s="336">
        <f t="shared" ref="M80:AD80" si="119">M33/M$49</f>
        <v>8.2351844371222407E-2</v>
      </c>
      <c r="N80" s="336">
        <f t="shared" si="119"/>
        <v>7.906634950697361E-2</v>
      </c>
      <c r="O80" s="336">
        <f t="shared" si="119"/>
        <v>7.8832078288979368E-2</v>
      </c>
      <c r="P80" s="336">
        <f t="shared" si="119"/>
        <v>7.9600288898058341E-2</v>
      </c>
      <c r="Q80" s="336">
        <f t="shared" si="119"/>
        <v>8.0872729013201042E-2</v>
      </c>
      <c r="R80" s="336">
        <f t="shared" si="119"/>
        <v>7.6250244918932578E-2</v>
      </c>
      <c r="S80" s="336">
        <f t="shared" si="119"/>
        <v>8.3229359679947809E-2</v>
      </c>
      <c r="T80" s="336">
        <f t="shared" si="119"/>
        <v>8.3072601304059149E-2</v>
      </c>
      <c r="U80" s="336">
        <f t="shared" si="119"/>
        <v>7.8664847178032848E-2</v>
      </c>
      <c r="V80" s="336">
        <f t="shared" si="119"/>
        <v>8.0524363833958071E-2</v>
      </c>
      <c r="W80" s="336">
        <f t="shared" si="119"/>
        <v>8.0222343903078197E-2</v>
      </c>
      <c r="X80" s="336">
        <f t="shared" si="119"/>
        <v>8.2768849254042445E-2</v>
      </c>
      <c r="Y80" s="336">
        <f t="shared" si="119"/>
        <v>8.3426401900280264E-2</v>
      </c>
      <c r="Z80" s="336">
        <f t="shared" si="119"/>
        <v>8.412091211404063E-2</v>
      </c>
      <c r="AA80" s="336">
        <f t="shared" si="119"/>
        <v>8.4781048731409001E-2</v>
      </c>
      <c r="AB80" s="336">
        <f t="shared" si="119"/>
        <v>8.5397335877452712E-2</v>
      </c>
      <c r="AC80" s="336">
        <f t="shared" si="119"/>
        <v>8.6022456928930138E-2</v>
      </c>
      <c r="AD80" s="336">
        <f t="shared" si="119"/>
        <v>8.6654923319507762E-2</v>
      </c>
      <c r="AE80" s="336">
        <f t="shared" ref="AE80:AL80" si="120">AE33/AE$49</f>
        <v>8.7326731831754073E-2</v>
      </c>
      <c r="AF80" s="336">
        <f t="shared" si="120"/>
        <v>8.796130177922154E-2</v>
      </c>
      <c r="AG80" s="336">
        <f t="shared" si="120"/>
        <v>8.8550453207273852E-2</v>
      </c>
      <c r="AH80" s="336">
        <f t="shared" si="120"/>
        <v>8.916319738695061E-2</v>
      </c>
      <c r="AI80" s="336">
        <f t="shared" si="120"/>
        <v>8.974555528980363E-2</v>
      </c>
      <c r="AJ80" s="336">
        <f t="shared" si="120"/>
        <v>9.0375305279270512E-2</v>
      </c>
      <c r="AK80" s="336">
        <f t="shared" si="120"/>
        <v>9.1006851483471277E-2</v>
      </c>
      <c r="AL80" s="336">
        <f t="shared" si="120"/>
        <v>9.1593208235603601E-2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232" t="str">
        <f>'Occ T3'!A36</f>
        <v>62 Leisure, travel and related personal service occupations</v>
      </c>
      <c r="M81" s="336">
        <f t="shared" ref="M81:AD81" si="121">M34/M$49</f>
        <v>1.8343121628454549E-2</v>
      </c>
      <c r="N81" s="336">
        <f t="shared" si="121"/>
        <v>2.105029874247917E-2</v>
      </c>
      <c r="O81" s="336">
        <f t="shared" si="121"/>
        <v>1.9702091394715727E-2</v>
      </c>
      <c r="P81" s="336">
        <f t="shared" si="121"/>
        <v>2.0035257998305772E-2</v>
      </c>
      <c r="Q81" s="336">
        <f t="shared" si="121"/>
        <v>1.9180676054526332E-2</v>
      </c>
      <c r="R81" s="336">
        <f t="shared" si="121"/>
        <v>2.2711943313888469E-2</v>
      </c>
      <c r="S81" s="336">
        <f t="shared" si="121"/>
        <v>2.2999629184065846E-2</v>
      </c>
      <c r="T81" s="336">
        <f t="shared" si="121"/>
        <v>2.215143891140911E-2</v>
      </c>
      <c r="U81" s="336">
        <f t="shared" si="121"/>
        <v>1.9684974197653284E-2</v>
      </c>
      <c r="V81" s="336">
        <f t="shared" si="121"/>
        <v>1.9666146777892492E-2</v>
      </c>
      <c r="W81" s="336">
        <f t="shared" si="121"/>
        <v>1.843388853559064E-2</v>
      </c>
      <c r="X81" s="336">
        <f t="shared" si="121"/>
        <v>1.8347460177814353E-2</v>
      </c>
      <c r="Y81" s="336">
        <f t="shared" si="121"/>
        <v>1.8311087860669824E-2</v>
      </c>
      <c r="Z81" s="336">
        <f t="shared" si="121"/>
        <v>1.8294392111033262E-2</v>
      </c>
      <c r="AA81" s="336">
        <f t="shared" si="121"/>
        <v>1.8274231191864894E-2</v>
      </c>
      <c r="AB81" s="336">
        <f t="shared" si="121"/>
        <v>1.825877611714781E-2</v>
      </c>
      <c r="AC81" s="336">
        <f t="shared" si="121"/>
        <v>1.8244639843825839E-2</v>
      </c>
      <c r="AD81" s="336">
        <f t="shared" si="121"/>
        <v>1.8233379379693885E-2</v>
      </c>
      <c r="AE81" s="336">
        <f t="shared" ref="AE81:AL81" si="122">AE34/AE$49</f>
        <v>1.821197273731166E-2</v>
      </c>
      <c r="AF81" s="336">
        <f t="shared" si="122"/>
        <v>1.8189260247925981E-2</v>
      </c>
      <c r="AG81" s="336">
        <f t="shared" si="122"/>
        <v>1.8161860108910265E-2</v>
      </c>
      <c r="AH81" s="336">
        <f t="shared" si="122"/>
        <v>1.8142277921166548E-2</v>
      </c>
      <c r="AI81" s="336">
        <f t="shared" si="122"/>
        <v>1.8120138872163665E-2</v>
      </c>
      <c r="AJ81" s="336">
        <f t="shared" si="122"/>
        <v>1.8093236166256521E-2</v>
      </c>
      <c r="AK81" s="336">
        <f t="shared" si="122"/>
        <v>1.8084339838531079E-2</v>
      </c>
      <c r="AL81" s="336">
        <f t="shared" si="122"/>
        <v>1.8082140166597E-2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232" t="str">
        <f>'Occ T3'!A37</f>
        <v>63 Community and civil enforcement occupations</v>
      </c>
      <c r="M82" s="336">
        <f t="shared" ref="M82:AD82" si="123">M35/M$49</f>
        <v>1.438548219887202E-3</v>
      </c>
      <c r="N82" s="336">
        <f t="shared" si="123"/>
        <v>9.8258580390728212E-4</v>
      </c>
      <c r="O82" s="336">
        <f t="shared" si="123"/>
        <v>1.0239547601601435E-3</v>
      </c>
      <c r="P82" s="336">
        <f t="shared" si="123"/>
        <v>8.9623347996493203E-4</v>
      </c>
      <c r="Q82" s="336">
        <f t="shared" si="123"/>
        <v>1.0337209522495419E-3</v>
      </c>
      <c r="R82" s="336">
        <f t="shared" si="123"/>
        <v>8.835134391529236E-4</v>
      </c>
      <c r="S82" s="336">
        <f t="shared" si="123"/>
        <v>7.5692479744354096E-4</v>
      </c>
      <c r="T82" s="336">
        <f t="shared" si="123"/>
        <v>8.0577255586769471E-4</v>
      </c>
      <c r="U82" s="336">
        <f t="shared" si="123"/>
        <v>8.423087820236205E-4</v>
      </c>
      <c r="V82" s="336">
        <f t="shared" si="123"/>
        <v>7.2061366072347132E-4</v>
      </c>
      <c r="W82" s="336">
        <f t="shared" si="123"/>
        <v>9.2305196664368061E-4</v>
      </c>
      <c r="X82" s="336">
        <f t="shared" si="123"/>
        <v>7.2886947027591071E-4</v>
      </c>
      <c r="Y82" s="336">
        <f t="shared" si="123"/>
        <v>7.3442467467738711E-4</v>
      </c>
      <c r="Z82" s="336">
        <f t="shared" si="123"/>
        <v>7.3984977523096167E-4</v>
      </c>
      <c r="AA82" s="336">
        <f t="shared" si="123"/>
        <v>7.4561050323480676E-4</v>
      </c>
      <c r="AB82" s="336">
        <f t="shared" si="123"/>
        <v>7.5329981232792229E-4</v>
      </c>
      <c r="AC82" s="336">
        <f t="shared" si="123"/>
        <v>7.5872848059525681E-4</v>
      </c>
      <c r="AD82" s="336">
        <f t="shared" si="123"/>
        <v>7.6415675924554685E-4</v>
      </c>
      <c r="AE82" s="336">
        <f t="shared" ref="AE82:AL82" si="124">AE35/AE$49</f>
        <v>7.6728149158587441E-4</v>
      </c>
      <c r="AF82" s="336">
        <f t="shared" si="124"/>
        <v>7.7488261030489306E-4</v>
      </c>
      <c r="AG82" s="336">
        <f t="shared" si="124"/>
        <v>7.7960629113656816E-4</v>
      </c>
      <c r="AH82" s="336">
        <f t="shared" si="124"/>
        <v>7.8411831955654669E-4</v>
      </c>
      <c r="AI82" s="336">
        <f t="shared" si="124"/>
        <v>7.8662929399727418E-4</v>
      </c>
      <c r="AJ82" s="336">
        <f t="shared" si="124"/>
        <v>7.933265750654896E-4</v>
      </c>
      <c r="AK82" s="336">
        <f t="shared" si="124"/>
        <v>7.9580153915191144E-4</v>
      </c>
      <c r="AL82" s="336">
        <f t="shared" si="124"/>
        <v>8.0227009313753588E-4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37">
        <f t="shared" ref="M84:AD84" si="125">M37/M$49</f>
        <v>8.5119876663777877E-2</v>
      </c>
      <c r="N84" s="337">
        <f t="shared" si="125"/>
        <v>8.8528016047659489E-2</v>
      </c>
      <c r="O84" s="337">
        <f t="shared" si="125"/>
        <v>8.9807502438832384E-2</v>
      </c>
      <c r="P84" s="337">
        <f t="shared" si="125"/>
        <v>8.9376796090451988E-2</v>
      </c>
      <c r="Q84" s="337">
        <f t="shared" si="125"/>
        <v>9.0838231741617606E-2</v>
      </c>
      <c r="R84" s="337">
        <f t="shared" si="125"/>
        <v>8.567196672631687E-2</v>
      </c>
      <c r="S84" s="337">
        <f t="shared" si="125"/>
        <v>8.3705369675430796E-2</v>
      </c>
      <c r="T84" s="337">
        <f t="shared" si="125"/>
        <v>8.49531397453578E-2</v>
      </c>
      <c r="U84" s="337">
        <f t="shared" si="125"/>
        <v>8.1627247886259996E-2</v>
      </c>
      <c r="V84" s="337">
        <f t="shared" si="125"/>
        <v>7.7626693085705703E-2</v>
      </c>
      <c r="W84" s="337">
        <f t="shared" si="125"/>
        <v>7.9222317454925709E-2</v>
      </c>
      <c r="X84" s="337">
        <f t="shared" si="125"/>
        <v>7.8495583037978114E-2</v>
      </c>
      <c r="Y84" s="337">
        <f t="shared" si="125"/>
        <v>7.8337521586485909E-2</v>
      </c>
      <c r="Z84" s="337">
        <f t="shared" si="125"/>
        <v>7.821933977404831E-2</v>
      </c>
      <c r="AA84" s="337">
        <f t="shared" si="125"/>
        <v>7.8022464092800725E-2</v>
      </c>
      <c r="AB84" s="337">
        <f t="shared" si="125"/>
        <v>7.7762292747844353E-2</v>
      </c>
      <c r="AC84" s="337">
        <f t="shared" si="125"/>
        <v>7.7514519694286979E-2</v>
      </c>
      <c r="AD84" s="337">
        <f t="shared" si="125"/>
        <v>7.727726117772038E-2</v>
      </c>
      <c r="AE84" s="337">
        <f t="shared" ref="AE84:AL84" si="126">AE37/AE$49</f>
        <v>7.7035928510129276E-2</v>
      </c>
      <c r="AF84" s="337">
        <f t="shared" si="126"/>
        <v>7.6798685670284306E-2</v>
      </c>
      <c r="AG84" s="337">
        <f t="shared" si="126"/>
        <v>7.6541643048527314E-2</v>
      </c>
      <c r="AH84" s="337">
        <f t="shared" si="126"/>
        <v>7.6361469672452109E-2</v>
      </c>
      <c r="AI84" s="337">
        <f t="shared" si="126"/>
        <v>7.6173551030351366E-2</v>
      </c>
      <c r="AJ84" s="337">
        <f t="shared" si="126"/>
        <v>7.5990645920983868E-2</v>
      </c>
      <c r="AK84" s="337">
        <f t="shared" si="126"/>
        <v>7.5773784351209253E-2</v>
      </c>
      <c r="AL84" s="337">
        <f t="shared" si="126"/>
        <v>7.5507875860951187E-2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232" t="str">
        <f>'Occ T3'!A40</f>
        <v>71 Sales occupations</v>
      </c>
      <c r="M85" s="336">
        <f t="shared" ref="M85:AD85" si="127">M38/M$49</f>
        <v>6.796476887346356E-2</v>
      </c>
      <c r="N85" s="336">
        <f t="shared" si="127"/>
        <v>7.1213596122178521E-2</v>
      </c>
      <c r="O85" s="336">
        <f t="shared" si="127"/>
        <v>7.2220557872666388E-2</v>
      </c>
      <c r="P85" s="336">
        <f t="shared" si="127"/>
        <v>7.1908743154364629E-2</v>
      </c>
      <c r="Q85" s="336">
        <f t="shared" si="127"/>
        <v>7.4540764720731262E-2</v>
      </c>
      <c r="R85" s="336">
        <f t="shared" si="127"/>
        <v>6.7694566044031138E-2</v>
      </c>
      <c r="S85" s="336">
        <f t="shared" si="127"/>
        <v>6.5998392035832923E-2</v>
      </c>
      <c r="T85" s="336">
        <f t="shared" si="127"/>
        <v>6.5763864074995321E-2</v>
      </c>
      <c r="U85" s="336">
        <f t="shared" si="127"/>
        <v>6.2924929709566743E-2</v>
      </c>
      <c r="V85" s="336">
        <f t="shared" si="127"/>
        <v>6.0275322571167148E-2</v>
      </c>
      <c r="W85" s="336">
        <f t="shared" si="127"/>
        <v>6.0846781350134924E-2</v>
      </c>
      <c r="X85" s="336">
        <f t="shared" si="127"/>
        <v>5.6360788110327464E-2</v>
      </c>
      <c r="Y85" s="336">
        <f t="shared" si="127"/>
        <v>5.5891496714027405E-2</v>
      </c>
      <c r="Z85" s="336">
        <f t="shared" si="127"/>
        <v>5.5504148928784601E-2</v>
      </c>
      <c r="AA85" s="336">
        <f t="shared" si="127"/>
        <v>5.5064299426607177E-2</v>
      </c>
      <c r="AB85" s="336">
        <f t="shared" si="127"/>
        <v>5.4567255593108877E-2</v>
      </c>
      <c r="AC85" s="336">
        <f t="shared" si="127"/>
        <v>5.407911172002821E-2</v>
      </c>
      <c r="AD85" s="336">
        <f t="shared" si="127"/>
        <v>5.3586789973200821E-2</v>
      </c>
      <c r="AE85" s="336">
        <f t="shared" ref="AE85:AL85" si="128">AE38/AE$49</f>
        <v>5.3082587854749973E-2</v>
      </c>
      <c r="AF85" s="336">
        <f t="shared" si="128"/>
        <v>5.2577132513175702E-2</v>
      </c>
      <c r="AG85" s="336">
        <f t="shared" si="128"/>
        <v>5.2054246591378688E-2</v>
      </c>
      <c r="AH85" s="336">
        <f t="shared" si="128"/>
        <v>5.1622608811667969E-2</v>
      </c>
      <c r="AI85" s="336">
        <f t="shared" si="128"/>
        <v>5.1190632159398307E-2</v>
      </c>
      <c r="AJ85" s="336">
        <f t="shared" si="128"/>
        <v>5.0751119817222655E-2</v>
      </c>
      <c r="AK85" s="336">
        <f t="shared" si="128"/>
        <v>5.0279358207979942E-2</v>
      </c>
      <c r="AL85" s="336">
        <f t="shared" si="128"/>
        <v>4.9756115199324796E-2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232" t="str">
        <f>'Occ T3'!A41</f>
        <v>72 Customer service occupations</v>
      </c>
      <c r="M86" s="336">
        <f t="shared" ref="M86:AD86" si="129">M39/M$49</f>
        <v>1.715510779031432E-2</v>
      </c>
      <c r="N86" s="336">
        <f t="shared" si="129"/>
        <v>1.7314419925480978E-2</v>
      </c>
      <c r="O86" s="336">
        <f t="shared" si="129"/>
        <v>1.7586944566165979E-2</v>
      </c>
      <c r="P86" s="336">
        <f t="shared" si="129"/>
        <v>1.7468052936087369E-2</v>
      </c>
      <c r="Q86" s="336">
        <f t="shared" si="129"/>
        <v>1.6297467020886341E-2</v>
      </c>
      <c r="R86" s="336">
        <f t="shared" si="129"/>
        <v>1.7977400682285725E-2</v>
      </c>
      <c r="S86" s="336">
        <f t="shared" si="129"/>
        <v>1.770697763959788E-2</v>
      </c>
      <c r="T86" s="336">
        <f t="shared" si="129"/>
        <v>1.9189275670362476E-2</v>
      </c>
      <c r="U86" s="336">
        <f t="shared" si="129"/>
        <v>1.8702318176693249E-2</v>
      </c>
      <c r="V86" s="336">
        <f t="shared" si="129"/>
        <v>1.7351370514538559E-2</v>
      </c>
      <c r="W86" s="336">
        <f t="shared" si="129"/>
        <v>1.8375536104790799E-2</v>
      </c>
      <c r="X86" s="336">
        <f t="shared" si="129"/>
        <v>2.213479492765066E-2</v>
      </c>
      <c r="Y86" s="336">
        <f t="shared" si="129"/>
        <v>2.24460248724585E-2</v>
      </c>
      <c r="Z86" s="336">
        <f t="shared" si="129"/>
        <v>2.2715190845263696E-2</v>
      </c>
      <c r="AA86" s="336">
        <f t="shared" si="129"/>
        <v>2.2958164666193548E-2</v>
      </c>
      <c r="AB86" s="336">
        <f t="shared" si="129"/>
        <v>2.3195037154735487E-2</v>
      </c>
      <c r="AC86" s="336">
        <f t="shared" si="129"/>
        <v>2.3435407974258769E-2</v>
      </c>
      <c r="AD86" s="336">
        <f t="shared" si="129"/>
        <v>2.3690471204519569E-2</v>
      </c>
      <c r="AE86" s="336">
        <f t="shared" ref="AE86:AL86" si="130">AE39/AE$49</f>
        <v>2.3953340655379303E-2</v>
      </c>
      <c r="AF86" s="336">
        <f t="shared" si="130"/>
        <v>2.4221553157108611E-2</v>
      </c>
      <c r="AG86" s="336">
        <f t="shared" si="130"/>
        <v>2.4487396457148633E-2</v>
      </c>
      <c r="AH86" s="336">
        <f t="shared" si="130"/>
        <v>2.4738860860784143E-2</v>
      </c>
      <c r="AI86" s="336">
        <f t="shared" si="130"/>
        <v>2.4982918870953063E-2</v>
      </c>
      <c r="AJ86" s="336">
        <f t="shared" si="130"/>
        <v>2.5239526103761213E-2</v>
      </c>
      <c r="AK86" s="336">
        <f t="shared" si="130"/>
        <v>2.5494426143229301E-2</v>
      </c>
      <c r="AL86" s="336">
        <f t="shared" si="130"/>
        <v>2.5751760661626388E-2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37">
        <f t="shared" ref="M88:AD88" si="131">M41/M$49</f>
        <v>8.8399350127579671E-2</v>
      </c>
      <c r="N88" s="337">
        <f t="shared" si="131"/>
        <v>8.5105393953697595E-2</v>
      </c>
      <c r="O88" s="337">
        <f t="shared" si="131"/>
        <v>8.9500200357665954E-2</v>
      </c>
      <c r="P88" s="337">
        <f t="shared" si="131"/>
        <v>8.8000253561583211E-2</v>
      </c>
      <c r="Q88" s="337">
        <f t="shared" si="131"/>
        <v>9.0813125576481593E-2</v>
      </c>
      <c r="R88" s="337">
        <f t="shared" si="131"/>
        <v>9.3244120522857951E-2</v>
      </c>
      <c r="S88" s="337">
        <f t="shared" si="131"/>
        <v>9.0802116745560463E-2</v>
      </c>
      <c r="T88" s="337">
        <f t="shared" si="131"/>
        <v>8.8081455467191233E-2</v>
      </c>
      <c r="U88" s="337">
        <f t="shared" si="131"/>
        <v>9.1284976678950872E-2</v>
      </c>
      <c r="V88" s="337">
        <f t="shared" si="131"/>
        <v>9.1330922900737438E-2</v>
      </c>
      <c r="W88" s="337">
        <f t="shared" si="131"/>
        <v>8.115324913094786E-2</v>
      </c>
      <c r="X88" s="337">
        <f t="shared" si="131"/>
        <v>9.1433712826954741E-2</v>
      </c>
      <c r="Y88" s="337">
        <f t="shared" si="131"/>
        <v>9.1055937267458031E-2</v>
      </c>
      <c r="Z88" s="337">
        <f t="shared" si="131"/>
        <v>9.0739522809654125E-2</v>
      </c>
      <c r="AA88" s="337">
        <f t="shared" si="131"/>
        <v>9.0455419689690064E-2</v>
      </c>
      <c r="AB88" s="337">
        <f t="shared" si="131"/>
        <v>9.0115087309115244E-2</v>
      </c>
      <c r="AC88" s="337">
        <f t="shared" si="131"/>
        <v>8.9894623482023997E-2</v>
      </c>
      <c r="AD88" s="337">
        <f t="shared" si="131"/>
        <v>8.9671191590424179E-2</v>
      </c>
      <c r="AE88" s="337">
        <f t="shared" ref="AE88:AL88" si="132">AE41/AE$49</f>
        <v>8.9411391069841417E-2</v>
      </c>
      <c r="AF88" s="337">
        <f t="shared" si="132"/>
        <v>8.911514230553412E-2</v>
      </c>
      <c r="AG88" s="337">
        <f t="shared" si="132"/>
        <v>8.88141508442504E-2</v>
      </c>
      <c r="AH88" s="337">
        <f t="shared" si="132"/>
        <v>8.848144019018267E-2</v>
      </c>
      <c r="AI88" s="337">
        <f t="shared" si="132"/>
        <v>8.8190006699016221E-2</v>
      </c>
      <c r="AJ88" s="337">
        <f t="shared" si="132"/>
        <v>8.7884177456255014E-2</v>
      </c>
      <c r="AK88" s="337">
        <f t="shared" si="132"/>
        <v>8.7515364117696004E-2</v>
      </c>
      <c r="AL88" s="337">
        <f t="shared" si="132"/>
        <v>8.7110726199435759E-2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232" t="str">
        <f>'Occ T3'!A44</f>
        <v>81 Process, plant and machine operatives</v>
      </c>
      <c r="M89" s="336">
        <f t="shared" ref="M89:AD89" si="133">M42/M$49</f>
        <v>4.6399766432984837E-2</v>
      </c>
      <c r="N89" s="336">
        <f t="shared" si="133"/>
        <v>4.4616128956184851E-2</v>
      </c>
      <c r="O89" s="336">
        <f t="shared" si="133"/>
        <v>4.4475547682561185E-2</v>
      </c>
      <c r="P89" s="336">
        <f t="shared" si="133"/>
        <v>4.6973061450833395E-2</v>
      </c>
      <c r="Q89" s="336">
        <f t="shared" si="133"/>
        <v>4.7203655420211571E-2</v>
      </c>
      <c r="R89" s="336">
        <f t="shared" si="133"/>
        <v>4.552889051529501E-2</v>
      </c>
      <c r="S89" s="336">
        <f t="shared" si="133"/>
        <v>4.3412715192761263E-2</v>
      </c>
      <c r="T89" s="336">
        <f t="shared" si="133"/>
        <v>4.3001638208973292E-2</v>
      </c>
      <c r="U89" s="336">
        <f t="shared" si="133"/>
        <v>4.4366072396346858E-2</v>
      </c>
      <c r="V89" s="336">
        <f t="shared" si="133"/>
        <v>4.2627442032741977E-2</v>
      </c>
      <c r="W89" s="336">
        <f t="shared" si="133"/>
        <v>3.6913493570606984E-2</v>
      </c>
      <c r="X89" s="336">
        <f t="shared" si="133"/>
        <v>4.4367491226050118E-2</v>
      </c>
      <c r="Y89" s="336">
        <f t="shared" si="133"/>
        <v>4.4075383604531615E-2</v>
      </c>
      <c r="Z89" s="336">
        <f t="shared" si="133"/>
        <v>4.3769967090859882E-2</v>
      </c>
      <c r="AA89" s="336">
        <f t="shared" si="133"/>
        <v>4.3515031801153549E-2</v>
      </c>
      <c r="AB89" s="336">
        <f t="shared" si="133"/>
        <v>4.3184191877131822E-2</v>
      </c>
      <c r="AC89" s="336">
        <f t="shared" si="133"/>
        <v>4.3003841543809977E-2</v>
      </c>
      <c r="AD89" s="336">
        <f t="shared" si="133"/>
        <v>4.2820416081762271E-2</v>
      </c>
      <c r="AE89" s="336">
        <f t="shared" ref="AE89:AL89" si="134">AE42/AE$49</f>
        <v>4.2607359780727445E-2</v>
      </c>
      <c r="AF89" s="336">
        <f t="shared" si="134"/>
        <v>4.2367079823306571E-2</v>
      </c>
      <c r="AG89" s="336">
        <f t="shared" si="134"/>
        <v>4.2126046892968894E-2</v>
      </c>
      <c r="AH89" s="336">
        <f t="shared" si="134"/>
        <v>4.1866017015523192E-2</v>
      </c>
      <c r="AI89" s="336">
        <f t="shared" si="134"/>
        <v>4.1648160166698929E-2</v>
      </c>
      <c r="AJ89" s="336">
        <f t="shared" si="134"/>
        <v>4.1424335365138516E-2</v>
      </c>
      <c r="AK89" s="336">
        <f t="shared" si="134"/>
        <v>4.1143395966594887E-2</v>
      </c>
      <c r="AL89" s="336">
        <f t="shared" si="134"/>
        <v>4.0833921893755072E-2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232" t="str">
        <f>'Occ T3'!A45</f>
        <v>82 Transport and mobile machine drivers and operatives</v>
      </c>
      <c r="M90" s="336">
        <f t="shared" ref="M90:AD90" si="135">M43/M$49</f>
        <v>4.1999583694594826E-2</v>
      </c>
      <c r="N90" s="336">
        <f t="shared" si="135"/>
        <v>4.048926499751275E-2</v>
      </c>
      <c r="O90" s="336">
        <f t="shared" si="135"/>
        <v>4.5024652675104783E-2</v>
      </c>
      <c r="P90" s="336">
        <f t="shared" si="135"/>
        <v>4.1027192110749809E-2</v>
      </c>
      <c r="Q90" s="336">
        <f t="shared" si="135"/>
        <v>4.3609470156270015E-2</v>
      </c>
      <c r="R90" s="336">
        <f t="shared" si="135"/>
        <v>4.7715230007562948E-2</v>
      </c>
      <c r="S90" s="336">
        <f t="shared" si="135"/>
        <v>4.73894015527992E-2</v>
      </c>
      <c r="T90" s="336">
        <f t="shared" si="135"/>
        <v>4.5079817258217934E-2</v>
      </c>
      <c r="U90" s="336">
        <f t="shared" si="135"/>
        <v>4.6918904282604014E-2</v>
      </c>
      <c r="V90" s="336">
        <f t="shared" si="135"/>
        <v>4.8703480867995468E-2</v>
      </c>
      <c r="W90" s="336">
        <f t="shared" si="135"/>
        <v>4.4239755560340877E-2</v>
      </c>
      <c r="X90" s="336">
        <f t="shared" si="135"/>
        <v>4.7066221600904616E-2</v>
      </c>
      <c r="Y90" s="336">
        <f t="shared" si="135"/>
        <v>4.6980553662926409E-2</v>
      </c>
      <c r="Z90" s="336">
        <f t="shared" si="135"/>
        <v>4.6969555718794249E-2</v>
      </c>
      <c r="AA90" s="336">
        <f t="shared" si="135"/>
        <v>4.6940387888536508E-2</v>
      </c>
      <c r="AB90" s="336">
        <f t="shared" si="135"/>
        <v>4.6930895431983422E-2</v>
      </c>
      <c r="AC90" s="336">
        <f t="shared" si="135"/>
        <v>4.689078193821402E-2</v>
      </c>
      <c r="AD90" s="336">
        <f t="shared" si="135"/>
        <v>4.6850775508661908E-2</v>
      </c>
      <c r="AE90" s="336">
        <f t="shared" ref="AE90:AL90" si="136">AE43/AE$49</f>
        <v>4.6804031289113972E-2</v>
      </c>
      <c r="AF90" s="336">
        <f t="shared" si="136"/>
        <v>4.6748062482227543E-2</v>
      </c>
      <c r="AG90" s="336">
        <f t="shared" si="136"/>
        <v>4.6688103951281507E-2</v>
      </c>
      <c r="AH90" s="336">
        <f t="shared" si="136"/>
        <v>4.6615423174659491E-2</v>
      </c>
      <c r="AI90" s="336">
        <f t="shared" si="136"/>
        <v>4.6541846532317299E-2</v>
      </c>
      <c r="AJ90" s="336">
        <f t="shared" si="136"/>
        <v>4.6459842091116504E-2</v>
      </c>
      <c r="AK90" s="336">
        <f t="shared" si="136"/>
        <v>4.6371968151101124E-2</v>
      </c>
      <c r="AL90" s="336">
        <f t="shared" si="136"/>
        <v>4.6276804305680673E-2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37">
        <f t="shared" ref="M92:AD92" si="137">M45/M$49</f>
        <v>0.11634529505251062</v>
      </c>
      <c r="N92" s="337">
        <f t="shared" si="137"/>
        <v>0.11099474759217239</v>
      </c>
      <c r="O92" s="337">
        <f t="shared" si="137"/>
        <v>0.11133669109130565</v>
      </c>
      <c r="P92" s="337">
        <f t="shared" si="137"/>
        <v>0.10685972722689786</v>
      </c>
      <c r="Q92" s="337">
        <f t="shared" si="137"/>
        <v>0.10746704460669272</v>
      </c>
      <c r="R92" s="337">
        <f t="shared" si="137"/>
        <v>0.11266657366268604</v>
      </c>
      <c r="S92" s="337">
        <f t="shared" si="137"/>
        <v>0.11169026166626213</v>
      </c>
      <c r="T92" s="337">
        <f t="shared" si="137"/>
        <v>0.10766183608474944</v>
      </c>
      <c r="U92" s="337">
        <f t="shared" si="137"/>
        <v>0.10467598101418266</v>
      </c>
      <c r="V92" s="337">
        <f t="shared" si="137"/>
        <v>0.10118810428679195</v>
      </c>
      <c r="W92" s="337">
        <f t="shared" si="137"/>
        <v>9.3464963111639654E-2</v>
      </c>
      <c r="X92" s="337">
        <f t="shared" si="137"/>
        <v>9.3201040641371885E-2</v>
      </c>
      <c r="Y92" s="337">
        <f t="shared" si="137"/>
        <v>9.2531034469555434E-2</v>
      </c>
      <c r="Z92" s="337">
        <f t="shared" si="137"/>
        <v>9.1516541418081493E-2</v>
      </c>
      <c r="AA92" s="337">
        <f t="shared" si="137"/>
        <v>9.0376472695865961E-2</v>
      </c>
      <c r="AB92" s="337">
        <f t="shared" si="137"/>
        <v>8.946607976789514E-2</v>
      </c>
      <c r="AC92" s="337">
        <f t="shared" si="137"/>
        <v>8.8514730087101562E-2</v>
      </c>
      <c r="AD92" s="337">
        <f t="shared" si="137"/>
        <v>8.7463568304037648E-2</v>
      </c>
      <c r="AE92" s="337">
        <f t="shared" ref="AE92:AL92" si="138">AE45/AE$49</f>
        <v>8.6503317005729677E-2</v>
      </c>
      <c r="AF92" s="337">
        <f t="shared" si="138"/>
        <v>8.5600328639683185E-2</v>
      </c>
      <c r="AG92" s="337">
        <f t="shared" si="138"/>
        <v>8.4745657489889534E-2</v>
      </c>
      <c r="AH92" s="337">
        <f t="shared" si="138"/>
        <v>8.3873413001152322E-2</v>
      </c>
      <c r="AI92" s="337">
        <f t="shared" si="138"/>
        <v>8.3060987505436668E-2</v>
      </c>
      <c r="AJ92" s="337">
        <f t="shared" si="138"/>
        <v>8.2251305971647135E-2</v>
      </c>
      <c r="AK92" s="337">
        <f t="shared" si="138"/>
        <v>8.1457851025955708E-2</v>
      </c>
      <c r="AL92" s="337">
        <f t="shared" si="138"/>
        <v>8.0688198869327377E-2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232" t="str">
        <f>'Occ T3'!A48</f>
        <v>91 Elementary trades and related occupations</v>
      </c>
      <c r="M93" s="336">
        <f t="shared" ref="M93:AD93" si="139">M46/M$49</f>
        <v>2.0439198100948932E-2</v>
      </c>
      <c r="N93" s="336">
        <f t="shared" si="139"/>
        <v>2.0038527943271871E-2</v>
      </c>
      <c r="O93" s="336">
        <f t="shared" si="139"/>
        <v>2.0013233653739311E-2</v>
      </c>
      <c r="P93" s="336">
        <f t="shared" si="139"/>
        <v>2.0031439646814E-2</v>
      </c>
      <c r="Q93" s="336">
        <f t="shared" si="139"/>
        <v>2.1354967427871716E-2</v>
      </c>
      <c r="R93" s="336">
        <f t="shared" si="139"/>
        <v>2.2722126228243177E-2</v>
      </c>
      <c r="S93" s="336">
        <f t="shared" si="139"/>
        <v>2.2146047742819287E-2</v>
      </c>
      <c r="T93" s="336">
        <f t="shared" si="139"/>
        <v>1.9605777418620081E-2</v>
      </c>
      <c r="U93" s="336">
        <f t="shared" si="139"/>
        <v>2.0313999416792492E-2</v>
      </c>
      <c r="V93" s="336">
        <f t="shared" si="139"/>
        <v>1.9281119512502626E-2</v>
      </c>
      <c r="W93" s="336">
        <f t="shared" si="139"/>
        <v>1.7418355719930452E-2</v>
      </c>
      <c r="X93" s="336">
        <f t="shared" si="139"/>
        <v>1.4841101503885993E-2</v>
      </c>
      <c r="Y93" s="336">
        <f t="shared" si="139"/>
        <v>1.472844493457025E-2</v>
      </c>
      <c r="Z93" s="336">
        <f t="shared" si="139"/>
        <v>1.4626523842836124E-2</v>
      </c>
      <c r="AA93" s="336">
        <f t="shared" si="139"/>
        <v>1.4514488898090483E-2</v>
      </c>
      <c r="AB93" s="336">
        <f t="shared" si="139"/>
        <v>1.4403482663451298E-2</v>
      </c>
      <c r="AC93" s="336">
        <f t="shared" si="139"/>
        <v>1.4263285091716666E-2</v>
      </c>
      <c r="AD93" s="336">
        <f t="shared" si="139"/>
        <v>1.411225252935425E-2</v>
      </c>
      <c r="AE93" s="336">
        <f t="shared" ref="AE93:AL93" si="140">AE46/AE$49</f>
        <v>1.3991108229511115E-2</v>
      </c>
      <c r="AF93" s="336">
        <f t="shared" si="140"/>
        <v>1.3865583698878322E-2</v>
      </c>
      <c r="AG93" s="336">
        <f t="shared" si="140"/>
        <v>1.3737667282616644E-2</v>
      </c>
      <c r="AH93" s="336">
        <f t="shared" si="140"/>
        <v>1.3610468274063042E-2</v>
      </c>
      <c r="AI93" s="336">
        <f t="shared" si="140"/>
        <v>1.3490191702044407E-2</v>
      </c>
      <c r="AJ93" s="336">
        <f t="shared" si="140"/>
        <v>1.3372625898709269E-2</v>
      </c>
      <c r="AK93" s="336">
        <f t="shared" si="140"/>
        <v>1.3262329864222032E-2</v>
      </c>
      <c r="AL93" s="336">
        <f t="shared" si="140"/>
        <v>1.3152252286513953E-2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232" t="str">
        <f>'Occ T3'!A49</f>
        <v>92 Elementary administration and service occupations</v>
      </c>
      <c r="M94" s="336">
        <f t="shared" ref="M94:AD94" si="141">M47/M$49</f>
        <v>9.5906096951561687E-2</v>
      </c>
      <c r="N94" s="336">
        <f t="shared" si="141"/>
        <v>9.0956219648900494E-2</v>
      </c>
      <c r="O94" s="336">
        <f t="shared" si="141"/>
        <v>9.1323457437566341E-2</v>
      </c>
      <c r="P94" s="336">
        <f t="shared" si="141"/>
        <v>8.682828758008386E-2</v>
      </c>
      <c r="Q94" s="336">
        <f t="shared" si="141"/>
        <v>8.6112077178821009E-2</v>
      </c>
      <c r="R94" s="336">
        <f t="shared" si="141"/>
        <v>8.9944447434442854E-2</v>
      </c>
      <c r="S94" s="336">
        <f t="shared" si="141"/>
        <v>8.9544213923442847E-2</v>
      </c>
      <c r="T94" s="336">
        <f t="shared" si="141"/>
        <v>8.8056058666129366E-2</v>
      </c>
      <c r="U94" s="336">
        <f t="shared" si="141"/>
        <v>8.4361981597390154E-2</v>
      </c>
      <c r="V94" s="336">
        <f t="shared" si="141"/>
        <v>8.1906984774289329E-2</v>
      </c>
      <c r="W94" s="336">
        <f t="shared" si="141"/>
        <v>7.6046607391709195E-2</v>
      </c>
      <c r="X94" s="336">
        <f t="shared" si="141"/>
        <v>7.8359939137485887E-2</v>
      </c>
      <c r="Y94" s="336">
        <f t="shared" si="141"/>
        <v>7.78025895349852E-2</v>
      </c>
      <c r="Z94" s="336">
        <f t="shared" si="141"/>
        <v>7.689001757524537E-2</v>
      </c>
      <c r="AA94" s="336">
        <f t="shared" si="141"/>
        <v>7.5861983797775479E-2</v>
      </c>
      <c r="AB94" s="336">
        <f t="shared" si="141"/>
        <v>7.5062597104443837E-2</v>
      </c>
      <c r="AC94" s="336">
        <f t="shared" si="141"/>
        <v>7.4251444995384885E-2</v>
      </c>
      <c r="AD94" s="336">
        <f t="shared" si="141"/>
        <v>7.3351315774683401E-2</v>
      </c>
      <c r="AE94" s="336">
        <f t="shared" ref="AE94:AL94" si="142">AE47/AE$49</f>
        <v>7.2512208776218556E-2</v>
      </c>
      <c r="AF94" s="336">
        <f t="shared" si="142"/>
        <v>7.1734744940804868E-2</v>
      </c>
      <c r="AG94" s="336">
        <f t="shared" si="142"/>
        <v>7.1007990207272886E-2</v>
      </c>
      <c r="AH94" s="336">
        <f t="shared" si="142"/>
        <v>7.0262944727089285E-2</v>
      </c>
      <c r="AI94" s="336">
        <f t="shared" si="142"/>
        <v>6.957079580339226E-2</v>
      </c>
      <c r="AJ94" s="336">
        <f t="shared" si="142"/>
        <v>6.8878680072937862E-2</v>
      </c>
      <c r="AK94" s="336">
        <f t="shared" si="142"/>
        <v>6.8195521161733677E-2</v>
      </c>
      <c r="AL94" s="336">
        <f t="shared" si="142"/>
        <v>6.7535946582813422E-2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13"/>
      <c r="M110" s="11"/>
      <c r="N110" s="11"/>
      <c r="O110" s="11"/>
      <c r="P110" s="11"/>
    </row>
    <row r="111" spans="12:53" x14ac:dyDescent="0.25">
      <c r="L111" s="13"/>
      <c r="M111" s="11"/>
      <c r="N111" s="11"/>
      <c r="O111" s="11"/>
      <c r="P111" s="11"/>
    </row>
    <row r="112" spans="12:53" x14ac:dyDescent="0.25">
      <c r="L112" s="13"/>
      <c r="M112" s="11"/>
      <c r="N112" s="11"/>
      <c r="O112" s="11"/>
      <c r="P112" s="11"/>
    </row>
    <row r="113" spans="1:16" x14ac:dyDescent="0.25">
      <c r="L113" s="13"/>
      <c r="M113" s="11"/>
      <c r="N113" s="11"/>
      <c r="O113" s="11"/>
      <c r="P113" s="11"/>
    </row>
    <row r="114" spans="1:16" x14ac:dyDescent="0.25">
      <c r="L114" s="13"/>
      <c r="M114" s="11"/>
      <c r="N114" s="11"/>
      <c r="O114" s="11"/>
      <c r="P114" s="11"/>
    </row>
    <row r="115" spans="1:16" x14ac:dyDescent="0.25">
      <c r="L115" s="13"/>
      <c r="M115" s="11"/>
      <c r="N115" s="11"/>
      <c r="O115" s="11"/>
      <c r="P115" s="11"/>
    </row>
    <row r="116" spans="1:16" ht="15.5" x14ac:dyDescent="0.35">
      <c r="A116" s="80" t="str">
        <f>CONCATENATE("Occupation Figure 2.2  Employment by Occupation, ",$M$2,"-",$O$2,", ",Info!B5)</f>
        <v>Occupation Figure 2.2  Employment by Occupation, 2010-2035, Black Country</v>
      </c>
      <c r="L116" s="13"/>
      <c r="M116" s="11"/>
      <c r="N116" s="11"/>
      <c r="O116" s="11"/>
      <c r="P116" s="11"/>
    </row>
    <row r="117" spans="1:16" x14ac:dyDescent="0.25">
      <c r="L117" s="13"/>
    </row>
    <row r="143" spans="12:63" s="81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80" t="str">
        <f>CONCATENATE("Occupation Figure 2.3  Change in Employment in ",$L$5,", ",$M$2,"-",$O$2,", ",Info!B5)</f>
        <v>Occupation Figure 2.3  Change in Employment in Managers, directors and senior officials, 2010-2035, Black Country</v>
      </c>
    </row>
    <row r="178" spans="12:63" s="81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80" t="str">
        <f>CONCATENATE("Occupation Figure 2.4  Change in Employment in ",$L$9,", ",$M$2,"-",$O$2,", ",Info!B5)</f>
        <v>Occupation Figure 2.4  Change in Employment in Professional occupations, 2010-2035, Black Country</v>
      </c>
    </row>
    <row r="213" spans="12:63" s="81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80" t="str">
        <f>CONCATENATE("Occupation Figure 2.5  Change in Employment in ",$L$15,", ",$M$2,"-",$O$2,", ",Info!B5)</f>
        <v>Occupation Figure 2.5  Change in Employment in Associate professional occupations, 2010-2035, Black Country</v>
      </c>
    </row>
    <row r="248" spans="12:63" s="81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80" t="str">
        <f>CONCATENATE("Occupation Figure 2.6  Change in Employment in ",$L$22,", ",$M$2,"-",$O$2,", ",Info!B5)</f>
        <v>Occupation Figure 2.6  Change in Employment in Administrative and secretarial occupations, 2010-2035, Black Country</v>
      </c>
    </row>
    <row r="283" spans="12:63" s="81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80" t="str">
        <f>CONCATENATE("Occupation Figure 2.7  Change in Employment in ",$L$26,", ",$M$2,"- ",$O$2,", ",Info!B5)</f>
        <v>Occupation Figure 2.7  Change in Employment in Skilled trades occupations, 2010- 2035, Black Country</v>
      </c>
    </row>
    <row r="318" spans="12:63" s="81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80" t="str">
        <f>CONCATENATE("Occupation Figure 2.8  Change in Employment in ",$L$32,", ",$M$2,"-",$O$2,", ",Info!B5)</f>
        <v>Occupation Figure 2.8  Change in Employment in Caring, leisure and other service occupations, 2010-2035, Black Country</v>
      </c>
    </row>
    <row r="353" spans="12:63" s="81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80" t="str">
        <f>CONCATENATE("Occupation Figure 2.9  Change in Employment in ",$L$37,", ",$M$2,"-",$O$2,", ",Info!B5)</f>
        <v>Occupation Figure 2.9  Change in Employment in Sales and customer service occupations, 2010-2035, Black Country</v>
      </c>
    </row>
    <row r="388" spans="12:63" s="81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80" t="str">
        <f>CONCATENATE("Occupation Figure 2.10  Change in Employment in ",$L$41,", ",$M$2,"-",$O$2,", ",Info!B5)</f>
        <v>Occupation Figure 2.10  Change in Employment in Process, plant and machine operatives, 2010-2035, Black Country</v>
      </c>
    </row>
    <row r="442" spans="1:1" ht="15.5" x14ac:dyDescent="0.35">
      <c r="A442" s="80" t="str">
        <f>CONCATENATE("Occupation Figure 2.11  Change in Employment in ",$L$45,", ",$M$2,"-",$O$2,", ",Info!B5)</f>
        <v>Occupation Figure 2.11  Change in Employment in Elementary occupations, 2010-2035, Black Country</v>
      </c>
    </row>
    <row r="477" spans="1:12" ht="15.5" x14ac:dyDescent="0.3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Black Country</v>
      </c>
    </row>
    <row r="479" spans="1:12" ht="13" x14ac:dyDescent="0.3">
      <c r="L479" s="46" t="s">
        <v>412</v>
      </c>
    </row>
    <row r="480" spans="1:12" ht="13" x14ac:dyDescent="0.3">
      <c r="L480" s="30" t="s">
        <v>413</v>
      </c>
    </row>
    <row r="505" spans="1:12" ht="15.5" x14ac:dyDescent="0.3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Black Country</v>
      </c>
    </row>
    <row r="507" spans="1:12" ht="13" x14ac:dyDescent="0.3">
      <c r="L507" s="46" t="s">
        <v>414</v>
      </c>
    </row>
    <row r="508" spans="1:12" ht="13" x14ac:dyDescent="0.3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Black Country</v>
      </c>
      <c r="W1" t="str">
        <f>LEFT(X3,4)</f>
        <v>2015</v>
      </c>
      <c r="X1" t="str">
        <f>RIGHT(AC3,4)</f>
        <v>2035</v>
      </c>
    </row>
    <row r="2" spans="1:29" ht="13" x14ac:dyDescent="0.3">
      <c r="A2" s="364" t="s">
        <v>521</v>
      </c>
      <c r="X2" t="s">
        <v>416</v>
      </c>
    </row>
    <row r="3" spans="1:29" ht="13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3.9524273935769401</v>
      </c>
      <c r="Y4" s="11">
        <f>'Occ T1'!D8-'Occ T1'!C8</f>
        <v>1.3170852621070495</v>
      </c>
      <c r="Z4" s="11">
        <f>'Occ T1'!E8-'Occ T1'!D8</f>
        <v>0.96261409573038748</v>
      </c>
      <c r="AA4" s="11">
        <f>'Occ T1'!F8-'Occ T1'!E8</f>
        <v>5.7150429319910785</v>
      </c>
      <c r="AB4" s="11">
        <f>'Occ T1'!D8-'Occ T1'!B8</f>
        <v>5.2695126556839895</v>
      </c>
      <c r="AC4" s="11">
        <f>'Occ T1'!F8-'Occ T1'!D8</f>
        <v>6.677657027721466</v>
      </c>
    </row>
    <row r="5" spans="1:29" x14ac:dyDescent="0.25">
      <c r="W5" s="10" t="str">
        <f>name!E5</f>
        <v>Professional occupations</v>
      </c>
      <c r="X5" s="11">
        <f>'Occ T1'!C9-'Occ T1'!B9</f>
        <v>11.346268904764415</v>
      </c>
      <c r="Y5" s="11">
        <f>'Occ T1'!D9-'Occ T1'!C9</f>
        <v>4.3236761746944126</v>
      </c>
      <c r="Z5" s="11">
        <f>'Occ T1'!E9-'Occ T1'!D9</f>
        <v>7.9925078870434021</v>
      </c>
      <c r="AA5" s="11">
        <f>'Occ T1'!F9-'Occ T1'!E9</f>
        <v>12.307642558680783</v>
      </c>
      <c r="AB5" s="11">
        <f>'Occ T1'!D9-'Occ T1'!B9</f>
        <v>15.669945079458827</v>
      </c>
      <c r="AC5" s="11">
        <f>'Occ T1'!F9-'Occ T1'!D9</f>
        <v>20.300150445724185</v>
      </c>
    </row>
    <row r="6" spans="1:29" x14ac:dyDescent="0.25">
      <c r="W6" s="10" t="str">
        <f>name!E6</f>
        <v>Associate professional occupations</v>
      </c>
      <c r="X6" s="11">
        <f>'Occ T1'!C10-'Occ T1'!B10</f>
        <v>2.5889966680571774</v>
      </c>
      <c r="Y6" s="11">
        <f>'Occ T1'!D10-'Occ T1'!C10</f>
        <v>2.1541810981989045</v>
      </c>
      <c r="Z6" s="11">
        <f>'Occ T1'!E10-'Occ T1'!D10</f>
        <v>-1.6256660343568328</v>
      </c>
      <c r="AA6" s="11">
        <f>'Occ T1'!F10-'Occ T1'!E10</f>
        <v>4.4689759511989919</v>
      </c>
      <c r="AB6" s="11">
        <f>'Occ T1'!D10-'Occ T1'!B10</f>
        <v>4.7431777662560819</v>
      </c>
      <c r="AC6" s="11">
        <f>'Occ T1'!F10-'Occ T1'!D10</f>
        <v>2.8433099168421592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-5.4779378206173064</v>
      </c>
      <c r="Y7" s="11">
        <f>'Occ T1'!D11-'Occ T1'!C11</f>
        <v>1.9459140492691702</v>
      </c>
      <c r="Z7" s="11">
        <f>'Occ T1'!E11-'Occ T1'!D11</f>
        <v>-3.0024080736903755</v>
      </c>
      <c r="AA7" s="11">
        <f>'Occ T1'!F11-'Occ T1'!E11</f>
        <v>-5.4546771362162261</v>
      </c>
      <c r="AB7" s="11">
        <f>'Occ T1'!D11-'Occ T1'!B11</f>
        <v>-3.5320237713481362</v>
      </c>
      <c r="AC7" s="11">
        <f>'Occ T1'!F11-'Occ T1'!D11</f>
        <v>-8.4570852099066016</v>
      </c>
    </row>
    <row r="8" spans="1:29" x14ac:dyDescent="0.25">
      <c r="W8" s="10" t="str">
        <f>name!E8</f>
        <v>Skilled trades occupations</v>
      </c>
      <c r="X8" s="11">
        <f>'Occ T1'!C12-'Occ T1'!B12</f>
        <v>0.63716290273829657</v>
      </c>
      <c r="Y8" s="11">
        <f>'Occ T1'!D12-'Occ T1'!C12</f>
        <v>-9.6292600271178372</v>
      </c>
      <c r="Z8" s="11">
        <f>'Occ T1'!E12-'Occ T1'!D12</f>
        <v>-0.84501979230404345</v>
      </c>
      <c r="AA8" s="11">
        <f>'Occ T1'!F12-'Occ T1'!E12</f>
        <v>-4.0598761615294663</v>
      </c>
      <c r="AB8" s="11">
        <f>'Occ T1'!D12-'Occ T1'!B12</f>
        <v>-8.9920971243795407</v>
      </c>
      <c r="AC8" s="11">
        <f>'Occ T1'!F12-'Occ T1'!D12</f>
        <v>-4.9048959538335097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0.97951788275139506</v>
      </c>
      <c r="Y9" s="11">
        <f>'Occ T1'!D13-'Occ T1'!C13</f>
        <v>-2.0470670652282621</v>
      </c>
      <c r="Z9" s="11">
        <f>'Occ T1'!E13-'Occ T1'!D13</f>
        <v>3.6427021564212652</v>
      </c>
      <c r="AA9" s="11">
        <f>'Occ T1'!F13-'Occ T1'!E13</f>
        <v>4.6097845052998352</v>
      </c>
      <c r="AB9" s="11">
        <f>'Occ T1'!D13-'Occ T1'!B13</f>
        <v>-1.067549182476867</v>
      </c>
      <c r="AC9" s="11">
        <f>'Occ T1'!F13-'Occ T1'!D13</f>
        <v>8.2524866617211003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-3.7282336102032474</v>
      </c>
      <c r="Y10" s="11">
        <f>'Occ T1'!D14-'Occ T1'!C14</f>
        <v>-0.2746186446575507</v>
      </c>
      <c r="Z10" s="11">
        <f>'Occ T1'!E14-'Occ T1'!D14</f>
        <v>0.20355970214721708</v>
      </c>
      <c r="AA10" s="11">
        <f>'Occ T1'!F14-'Occ T1'!E14</f>
        <v>-0.1023155310083439</v>
      </c>
      <c r="AB10" s="11">
        <f>'Occ T1'!D14-'Occ T1'!B14</f>
        <v>-4.0028522548607981</v>
      </c>
      <c r="AC10" s="11">
        <f>'Occ T1'!F14-'Occ T1'!D14</f>
        <v>0.10124417113887318</v>
      </c>
    </row>
    <row r="11" spans="1:29" x14ac:dyDescent="0.25">
      <c r="W11" s="10" t="str">
        <f>name!E11</f>
        <v>Process, plant and machine operatives</v>
      </c>
      <c r="X11" s="11">
        <f>'Occ T1'!C15-'Occ T1'!B15</f>
        <v>-0.56821521408121356</v>
      </c>
      <c r="Y11" s="11">
        <f>'Occ T1'!D15-'Occ T1'!C15</f>
        <v>-6.3047135464143622</v>
      </c>
      <c r="Z11" s="11">
        <f>'Occ T1'!E15-'Occ T1'!D15</f>
        <v>5.5222437849245409</v>
      </c>
      <c r="AA11" s="11">
        <f>'Occ T1'!F15-'Occ T1'!E15</f>
        <v>-0.32307820876781079</v>
      </c>
      <c r="AB11" s="11">
        <f>'Occ T1'!D15-'Occ T1'!B15</f>
        <v>-6.8729287604955758</v>
      </c>
      <c r="AC11" s="11">
        <f>'Occ T1'!F15-'Occ T1'!D15</f>
        <v>5.1991655761567301</v>
      </c>
    </row>
    <row r="12" spans="1:29" x14ac:dyDescent="0.25">
      <c r="W12" s="10" t="str">
        <f>name!E12</f>
        <v>Elementary occupations</v>
      </c>
      <c r="X12" s="11">
        <f>'Occ T1'!C16-'Occ T1'!B16</f>
        <v>-5.360987106986812</v>
      </c>
      <c r="Y12" s="11">
        <f>'Occ T1'!D16-'Occ T1'!C16</f>
        <v>-5.2221973008511426</v>
      </c>
      <c r="Z12" s="11">
        <f>'Occ T1'!E16-'Occ T1'!D16</f>
        <v>-0.91653372591594007</v>
      </c>
      <c r="AA12" s="11">
        <f>'Occ T1'!F16-'Occ T1'!E16</f>
        <v>-3.3454989096488035</v>
      </c>
      <c r="AB12" s="11">
        <f>'Occ T1'!D16-'Occ T1'!B16</f>
        <v>-10.583184407837955</v>
      </c>
      <c r="AC12" s="11">
        <f>'Occ T1'!F16-'Occ T1'!D16</f>
        <v>-4.2620326355647435</v>
      </c>
    </row>
    <row r="14" spans="1:29" x14ac:dyDescent="0.25">
      <c r="W14" s="10" t="str">
        <f>name!E3</f>
        <v>All occupations</v>
      </c>
      <c r="X14" s="11">
        <f>'Occ T1'!C18-'Occ T1'!B18</f>
        <v>4.3689999999995734</v>
      </c>
      <c r="Y14" s="11">
        <f>'Occ T1'!D18-'Occ T1'!C18</f>
        <v>-13.736999999999568</v>
      </c>
      <c r="Z14" s="11">
        <f>'Occ T1'!E18-'Occ T1'!D18</f>
        <v>11.933999999999628</v>
      </c>
      <c r="AA14" s="11">
        <f>'Occ T1'!F18-'Occ T1'!E18</f>
        <v>13.816000000000088</v>
      </c>
      <c r="AB14" s="11">
        <f>'Occ T1'!D18-'Occ T1'!B18</f>
        <v>-9.367999999999995</v>
      </c>
      <c r="AC14" s="11">
        <f>'Occ T1'!F18-'Occ T1'!D18</f>
        <v>25.749999999999716</v>
      </c>
    </row>
    <row r="17" spans="23:26" x14ac:dyDescent="0.25">
      <c r="Y17" s="83" t="s">
        <v>440</v>
      </c>
      <c r="Z17" s="83" t="s">
        <v>441</v>
      </c>
    </row>
    <row r="18" spans="23:26" x14ac:dyDescent="0.25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5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5">
      <c r="Z26" s="83"/>
    </row>
    <row r="27" spans="23:26" x14ac:dyDescent="0.25">
      <c r="Z27" s="83"/>
    </row>
    <row r="28" spans="23:26" x14ac:dyDescent="0.25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80" t="str">
        <f>CONCATENATE("Occupation Figure 4  Occupational Change by Gender (000s) (SOC 2020), ",N1,", ",Info!B5)</f>
        <v>Occupation Figure 4  Occupational Change by Gender (000s) (SOC 2020), 2020-2035, Black Country</v>
      </c>
      <c r="M1" s="83" t="s">
        <v>19</v>
      </c>
      <c r="N1" t="str">
        <f>'Occ T1'!F62</f>
        <v>2020-2035</v>
      </c>
    </row>
    <row r="2" spans="1:16" ht="13" x14ac:dyDescent="0.3">
      <c r="A2" s="364" t="s">
        <v>521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5">
      <c r="M3" s="10" t="str">
        <f>name!E4</f>
        <v>Managers, directors and senior officials</v>
      </c>
      <c r="N3" s="11">
        <f>'Occ T1'!F64</f>
        <v>6.677657027721466</v>
      </c>
      <c r="O3" s="11">
        <f>'Occ T1'!AB64</f>
        <v>4.3568628474234323</v>
      </c>
      <c r="P3" s="11">
        <f>'Occ T1'!Q64</f>
        <v>2.3207941802980159</v>
      </c>
    </row>
    <row r="4" spans="1:16" x14ac:dyDescent="0.25">
      <c r="M4" s="10" t="str">
        <f>name!E5</f>
        <v>Professional occupations</v>
      </c>
      <c r="N4" s="11">
        <f>'Occ T1'!F65</f>
        <v>20.300150445724185</v>
      </c>
      <c r="O4" s="11">
        <f>'Occ T1'!AB65</f>
        <v>12.962366538034182</v>
      </c>
      <c r="P4" s="11">
        <f>'Occ T1'!Q65</f>
        <v>7.3377839076899534</v>
      </c>
    </row>
    <row r="5" spans="1:16" x14ac:dyDescent="0.25">
      <c r="M5" s="10" t="str">
        <f>name!E6</f>
        <v>Associate professional occupations</v>
      </c>
      <c r="N5" s="11">
        <f>'Occ T1'!F66</f>
        <v>2.8433099168421592</v>
      </c>
      <c r="O5" s="11">
        <f>'Occ T1'!AB66</f>
        <v>4.4048910023237084</v>
      </c>
      <c r="P5" s="11">
        <f>'Occ T1'!Q66</f>
        <v>-1.5615810854814889</v>
      </c>
    </row>
    <row r="6" spans="1:16" x14ac:dyDescent="0.25">
      <c r="M6" s="10" t="str">
        <f>name!E7</f>
        <v>Administrative and secretarial occupations</v>
      </c>
      <c r="N6" s="11">
        <f>'Occ T1'!F67</f>
        <v>-8.4570852099066016</v>
      </c>
      <c r="O6" s="11">
        <f>'Occ T1'!AB67</f>
        <v>-9.8519974468151759</v>
      </c>
      <c r="P6" s="11">
        <f>'Occ T1'!Q67</f>
        <v>1.3949122369085174</v>
      </c>
    </row>
    <row r="7" spans="1:16" x14ac:dyDescent="0.25">
      <c r="M7" s="10" t="str">
        <f>name!E8</f>
        <v>Skilled trades occupations</v>
      </c>
      <c r="N7" s="11">
        <f>'Occ T1'!F68</f>
        <v>-4.9048959538335097</v>
      </c>
      <c r="O7" s="11">
        <f>'Occ T1'!AB68</f>
        <v>0.8004574290595583</v>
      </c>
      <c r="P7" s="11">
        <f>'Occ T1'!Q68</f>
        <v>-5.7053533828930725</v>
      </c>
    </row>
    <row r="8" spans="1:16" x14ac:dyDescent="0.25">
      <c r="M8" s="10" t="str">
        <f>name!E9</f>
        <v>Caring, leisure and other service occupations</v>
      </c>
      <c r="N8" s="11">
        <f>'Occ T1'!F69</f>
        <v>8.2524866617211003</v>
      </c>
      <c r="O8" s="11">
        <f>'Occ T1'!AB69</f>
        <v>6.3883214943529083</v>
      </c>
      <c r="P8" s="11">
        <f>'Occ T1'!Q69</f>
        <v>1.8641651673682231</v>
      </c>
    </row>
    <row r="9" spans="1:16" x14ac:dyDescent="0.25">
      <c r="M9" s="10" t="str">
        <f>name!E10</f>
        <v>Sales and customer service occupations</v>
      </c>
      <c r="N9" s="11">
        <f>'Occ T1'!F70</f>
        <v>0.10124417113887318</v>
      </c>
      <c r="O9" s="11">
        <f>'Occ T1'!AB70</f>
        <v>-0.81755227572205413</v>
      </c>
      <c r="P9" s="11">
        <f>'Occ T1'!Q70</f>
        <v>0.91879644686095574</v>
      </c>
    </row>
    <row r="10" spans="1:16" x14ac:dyDescent="0.25">
      <c r="M10" s="10" t="str">
        <f>name!E11</f>
        <v>Process, plant and machine operatives</v>
      </c>
      <c r="N10" s="11">
        <f>'Occ T1'!F71</f>
        <v>5.1991655761567301</v>
      </c>
      <c r="O10" s="11">
        <f>'Occ T1'!AB71</f>
        <v>1.9699658583033584</v>
      </c>
      <c r="P10" s="11">
        <f>'Occ T1'!Q71</f>
        <v>3.2291997178533904</v>
      </c>
    </row>
    <row r="11" spans="1:16" x14ac:dyDescent="0.25">
      <c r="M11" s="10" t="str">
        <f>name!E12</f>
        <v>Elementary occupations</v>
      </c>
      <c r="N11" s="11">
        <f>'Occ T1'!F72</f>
        <v>-4.2620326355647435</v>
      </c>
      <c r="O11" s="11">
        <f>'Occ T1'!AB72</f>
        <v>-2.8083790500485293</v>
      </c>
      <c r="P11" s="11">
        <f>'Occ T1'!Q72</f>
        <v>-1.4536535855161503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25.749999999999716</v>
      </c>
      <c r="O13" s="11">
        <f>'Occ T1'!AB74</f>
        <v>17.40493639691141</v>
      </c>
      <c r="P13" s="11">
        <f>'Occ T1'!Q74</f>
        <v>8.3450636030883061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80" t="str">
        <f>CONCATENATE("Occupation Figure 5  Occupational Change by Status (000s) (SOC 2020), ",N1,", ",Info!B5)</f>
        <v>Occupation Figure 5  Occupational Change by Status (000s) (SOC 2020), 2020-2035, Black Country</v>
      </c>
      <c r="M1" s="83" t="s">
        <v>19</v>
      </c>
      <c r="N1" t="str">
        <f>'Ind Occ T2'!G6&amp;"-"&amp;'Ind Occ T2'!L6</f>
        <v>2020-2035</v>
      </c>
    </row>
    <row r="2" spans="1:16" ht="13" x14ac:dyDescent="0.3">
      <c r="A2" s="364" t="s">
        <v>521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5">
      <c r="M3" s="10" t="str">
        <f>name!E4</f>
        <v>Managers, directors and senior officials</v>
      </c>
      <c r="N3" s="11">
        <f>'Occ T5'!I44</f>
        <v>0.68987909013151594</v>
      </c>
      <c r="O3" s="11">
        <f>'Occ T5'!H44</f>
        <v>1.8035106036875286</v>
      </c>
      <c r="P3" s="11">
        <f>'Occ T5'!G44</f>
        <v>4.184267333902369</v>
      </c>
    </row>
    <row r="4" spans="1:16" x14ac:dyDescent="0.25">
      <c r="M4" s="10" t="str">
        <f>name!E5</f>
        <v>Professional occupations</v>
      </c>
      <c r="N4" s="11">
        <f>'Occ T5'!I45</f>
        <v>-0.66249257723878152</v>
      </c>
      <c r="O4" s="11">
        <f>'Occ T5'!H45</f>
        <v>6.0146975719118849</v>
      </c>
      <c r="P4" s="11">
        <f>'Occ T5'!G45</f>
        <v>14.947945451051069</v>
      </c>
    </row>
    <row r="5" spans="1:16" x14ac:dyDescent="0.25">
      <c r="M5" s="10" t="str">
        <f>name!E6</f>
        <v>Associate professional occupations</v>
      </c>
      <c r="N5" s="11">
        <f>'Occ T5'!I46</f>
        <v>-1.1873593429243989E-2</v>
      </c>
      <c r="O5" s="11">
        <f>'Occ T5'!H46</f>
        <v>1.0790311410619218</v>
      </c>
      <c r="P5" s="11">
        <f>'Occ T5'!G46</f>
        <v>1.7761523692095125</v>
      </c>
    </row>
    <row r="6" spans="1:16" x14ac:dyDescent="0.25">
      <c r="M6" s="10" t="str">
        <f>name!E7</f>
        <v>Administrative and secretarial occupations</v>
      </c>
      <c r="N6" s="11">
        <f>'Occ T5'!I47</f>
        <v>-0.14382021016278945</v>
      </c>
      <c r="O6" s="11">
        <f>'Occ T5'!H47</f>
        <v>-3.9793117040459443</v>
      </c>
      <c r="P6" s="11">
        <f>'Occ T5'!G47</f>
        <v>-4.3339532956978921</v>
      </c>
    </row>
    <row r="7" spans="1:16" x14ac:dyDescent="0.25">
      <c r="M7" s="10" t="str">
        <f>name!E8</f>
        <v>Skilled trades occupations</v>
      </c>
      <c r="N7" s="11">
        <f>'Occ T5'!I48</f>
        <v>0.2638850864348079</v>
      </c>
      <c r="O7" s="11">
        <f>'Occ T5'!H48</f>
        <v>0.42970883977422858</v>
      </c>
      <c r="P7" s="11">
        <f>'Occ T5'!G48</f>
        <v>-5.5984898800425427</v>
      </c>
    </row>
    <row r="8" spans="1:16" x14ac:dyDescent="0.25">
      <c r="M8" s="10" t="str">
        <f>name!E9</f>
        <v>Caring, leisure and other service occupations</v>
      </c>
      <c r="N8" s="11">
        <f>'Occ T5'!I49</f>
        <v>0.99418781908258191</v>
      </c>
      <c r="O8" s="11">
        <f>'Occ T5'!H49</f>
        <v>2.173705583058652</v>
      </c>
      <c r="P8" s="11">
        <f>'Occ T5'!G49</f>
        <v>5.0845932595799077</v>
      </c>
    </row>
    <row r="9" spans="1:16" x14ac:dyDescent="0.25">
      <c r="M9" s="10" t="str">
        <f>name!E10</f>
        <v>Sales and customer service occupations</v>
      </c>
      <c r="N9" s="11">
        <f>'Occ T5'!I50</f>
        <v>-0.23955882090058211</v>
      </c>
      <c r="O9" s="11">
        <f>'Occ T5'!H50</f>
        <v>-0.14828529621051345</v>
      </c>
      <c r="P9" s="11">
        <f>'Occ T5'!G50</f>
        <v>0.48908828824994188</v>
      </c>
    </row>
    <row r="10" spans="1:16" x14ac:dyDescent="0.25">
      <c r="M10" s="10" t="str">
        <f>name!E11</f>
        <v>Process, plant and machine operatives</v>
      </c>
      <c r="N10" s="11">
        <f>'Occ T5'!I51</f>
        <v>1.4355637975039279</v>
      </c>
      <c r="O10" s="11">
        <f>'Occ T5'!H51</f>
        <v>1.8180432163407607</v>
      </c>
      <c r="P10" s="11">
        <f>'Occ T5'!G51</f>
        <v>1.9455585623120939</v>
      </c>
    </row>
    <row r="11" spans="1:16" x14ac:dyDescent="0.25">
      <c r="M11" s="10" t="str">
        <f>name!E12</f>
        <v>Elementary occupations</v>
      </c>
      <c r="N11" s="11">
        <f>'Occ T5'!I52</f>
        <v>1.277054557211577</v>
      </c>
      <c r="O11" s="11">
        <f>'Occ T5'!H52</f>
        <v>-3.7496626655198142</v>
      </c>
      <c r="P11" s="11">
        <f>'Occ T5'!G52</f>
        <v>-1.7894245272564504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3.6028251486330234</v>
      </c>
      <c r="O13" s="11">
        <f>'Occ T5'!H54</f>
        <v>5.4414372900587011</v>
      </c>
      <c r="P13" s="11">
        <f>'Occ T5'!G54</f>
        <v>16.705737561308013</v>
      </c>
    </row>
    <row r="16" spans="1:16" x14ac:dyDescent="0.25">
      <c r="M16" s="83" t="s">
        <v>19</v>
      </c>
      <c r="N16" t="str">
        <f>N1</f>
        <v>2020-2035</v>
      </c>
    </row>
    <row r="17" spans="13:16" ht="13" x14ac:dyDescent="0.3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5">
      <c r="M18" s="10" t="str">
        <f>M3</f>
        <v>Managers, directors and senior officials</v>
      </c>
      <c r="N18" s="11">
        <f>'Occ T5'!AO44</f>
        <v>0.32006502239174628</v>
      </c>
      <c r="O18" s="11">
        <f>'Occ T5'!AN44</f>
        <v>0.72338619878122623</v>
      </c>
      <c r="P18" s="11">
        <f>'Occ T5'!AM44</f>
        <v>3.3134116262504598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4.8828803991901815E-2</v>
      </c>
      <c r="O19" s="11">
        <f>'Occ T5'!AN45</f>
        <v>4.5011488212043353</v>
      </c>
      <c r="P19" s="11">
        <f>'Occ T5'!AM45</f>
        <v>8.4123889128379652</v>
      </c>
    </row>
    <row r="20" spans="13:16" x14ac:dyDescent="0.25">
      <c r="M20" s="10" t="str">
        <f t="shared" si="0"/>
        <v>Associate professional occupations</v>
      </c>
      <c r="N20" s="11">
        <f>'Occ T5'!AO46</f>
        <v>4.3112654003689688E-2</v>
      </c>
      <c r="O20" s="11">
        <f>'Occ T5'!AN46</f>
        <v>1.3635077413080534</v>
      </c>
      <c r="P20" s="11">
        <f>'Occ T5'!AM46</f>
        <v>2.9982706070119534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-0.35433119283576753</v>
      </c>
      <c r="O21" s="11">
        <f>'Occ T5'!AN47</f>
        <v>-4.2930470503886919</v>
      </c>
      <c r="P21" s="11">
        <f>'Occ T5'!AM47</f>
        <v>-5.2046192035907097</v>
      </c>
    </row>
    <row r="22" spans="13:16" x14ac:dyDescent="0.25">
      <c r="M22" s="10" t="str">
        <f t="shared" si="0"/>
        <v>Skilled trades occupations</v>
      </c>
      <c r="N22" s="11">
        <f>'Occ T5'!AO48</f>
        <v>0.38559533152811842</v>
      </c>
      <c r="O22" s="11">
        <f>'Occ T5'!AN48</f>
        <v>3.8610709787650466E-2</v>
      </c>
      <c r="P22" s="11">
        <f>'Occ T5'!AM48</f>
        <v>0.37625138774378608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0.62404671284058066</v>
      </c>
      <c r="O23" s="11">
        <f>'Occ T5'!AN49</f>
        <v>1.6903726050943924</v>
      </c>
      <c r="P23" s="11">
        <f>'Occ T5'!AM49</f>
        <v>4.0739021764179419</v>
      </c>
    </row>
    <row r="24" spans="13:16" x14ac:dyDescent="0.25">
      <c r="M24" s="10" t="str">
        <f t="shared" si="0"/>
        <v>Sales and customer service occupations</v>
      </c>
      <c r="N24" s="11">
        <f>'Occ T5'!AO50</f>
        <v>-0.10993780791056751</v>
      </c>
      <c r="O24" s="11">
        <f>'Occ T5'!AN50</f>
        <v>-0.51865392375668584</v>
      </c>
      <c r="P24" s="11">
        <f>'Occ T5'!AM50</f>
        <v>-0.18896054405481078</v>
      </c>
    </row>
    <row r="25" spans="13:16" x14ac:dyDescent="0.25">
      <c r="M25" s="10" t="str">
        <f t="shared" si="0"/>
        <v>Process, plant and machine operatives</v>
      </c>
      <c r="N25" s="11">
        <f>'Occ T5'!AO51</f>
        <v>7.3631235850208365E-2</v>
      </c>
      <c r="O25" s="11">
        <f>'Occ T5'!AN51</f>
        <v>1.0836182181260519</v>
      </c>
      <c r="P25" s="11">
        <f>'Occ T5'!AM51</f>
        <v>0.8127164043271029</v>
      </c>
    </row>
    <row r="26" spans="13:16" x14ac:dyDescent="0.25">
      <c r="M26" s="10" t="str">
        <f t="shared" si="0"/>
        <v>Elementary occupations</v>
      </c>
      <c r="N26" s="11">
        <f>'Occ T5'!AO52</f>
        <v>0.35519682461331215</v>
      </c>
      <c r="O26" s="11">
        <f>'Occ T5'!AN52</f>
        <v>-2.9101089034621488</v>
      </c>
      <c r="P26" s="11">
        <f>'Occ T5'!AM52</f>
        <v>-0.25346697119968908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1.3862075844732225</v>
      </c>
      <c r="O28" s="11">
        <f>'Occ T5'!AN54</f>
        <v>1.6788344166941727</v>
      </c>
      <c r="P28" s="11">
        <f>'Occ T5'!AM54</f>
        <v>14.339894395744011</v>
      </c>
    </row>
    <row r="31" spans="13:16" x14ac:dyDescent="0.25">
      <c r="M31" s="83" t="s">
        <v>19</v>
      </c>
      <c r="N31" t="str">
        <f>N1</f>
        <v>2020-2035</v>
      </c>
    </row>
    <row r="32" spans="13:16" ht="13" x14ac:dyDescent="0.3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5">
      <c r="M33" s="10" t="str">
        <f>M3</f>
        <v>Managers, directors and senior officials</v>
      </c>
      <c r="N33" s="11">
        <f>'Occ T5'!Y44</f>
        <v>0.36981406773977898</v>
      </c>
      <c r="O33" s="11">
        <f>'Occ T5'!X44</f>
        <v>1.0801244049063086</v>
      </c>
      <c r="P33" s="11">
        <f>'Occ T5'!W44</f>
        <v>0.87085570765191278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-0.71132138123068245</v>
      </c>
      <c r="O34" s="11">
        <f>'Occ T5'!X45</f>
        <v>1.5135487507075478</v>
      </c>
      <c r="P34" s="11">
        <f>'Occ T5'!W45</f>
        <v>6.5355565382130933</v>
      </c>
    </row>
    <row r="35" spans="1:16" x14ac:dyDescent="0.25">
      <c r="M35" s="10" t="str">
        <f t="shared" si="1"/>
        <v>Associate professional occupations</v>
      </c>
      <c r="N35" s="11">
        <f>'Occ T5'!Y46</f>
        <v>-5.4986247432932345E-2</v>
      </c>
      <c r="O35" s="11">
        <f>'Occ T5'!X46</f>
        <v>-0.28447660024612764</v>
      </c>
      <c r="P35" s="11">
        <f>'Occ T5'!W46</f>
        <v>-1.2221182378024338</v>
      </c>
    </row>
    <row r="36" spans="1:16" x14ac:dyDescent="0.25">
      <c r="M36" s="10" t="str">
        <f t="shared" si="1"/>
        <v>Administrative and secretarial occupations</v>
      </c>
      <c r="N36" s="11">
        <f>'Occ T5'!Y47</f>
        <v>0.21051098267297852</v>
      </c>
      <c r="O36" s="11">
        <f>'Occ T5'!X47</f>
        <v>0.3137353463427397</v>
      </c>
      <c r="P36" s="11">
        <f>'Occ T5'!W47</f>
        <v>0.87066590789280163</v>
      </c>
    </row>
    <row r="37" spans="1:16" x14ac:dyDescent="0.25">
      <c r="M37" s="10" t="str">
        <f t="shared" si="1"/>
        <v>Skilled trades occupations</v>
      </c>
      <c r="N37" s="11">
        <f>'Occ T5'!Y48</f>
        <v>-0.12171024509330408</v>
      </c>
      <c r="O37" s="11">
        <f>'Occ T5'!X48</f>
        <v>0.39109812998657301</v>
      </c>
      <c r="P37" s="11">
        <f>'Occ T5'!W48</f>
        <v>-5.9747412677863387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0.37014110624200036</v>
      </c>
      <c r="O38" s="11">
        <f>'Occ T5'!X49</f>
        <v>0.48333297796425656</v>
      </c>
      <c r="P38" s="11">
        <f>'Occ T5'!W49</f>
        <v>1.0106910831619667</v>
      </c>
    </row>
    <row r="39" spans="1:16" x14ac:dyDescent="0.25">
      <c r="M39" s="10" t="str">
        <f t="shared" si="1"/>
        <v>Sales and customer service occupations</v>
      </c>
      <c r="N39" s="11">
        <f>'Occ T5'!Y50</f>
        <v>-0.12962101299001672</v>
      </c>
      <c r="O39" s="11">
        <f>'Occ T5'!X50</f>
        <v>0.37036862754620969</v>
      </c>
      <c r="P39" s="11">
        <f>'Occ T5'!W50</f>
        <v>0.67804883230475443</v>
      </c>
    </row>
    <row r="40" spans="1:16" ht="15.5" x14ac:dyDescent="0.35">
      <c r="A40" s="80" t="str">
        <f>CONCATENATE("Occupation Figure 5.1 Females:  Occupational Change by Status (000s) (SOC 2020), ",N1,", ",Info!B5)</f>
        <v>Occupation Figure 5.1 Females:  Occupational Change by Status (000s) (SOC 2020), 2020-2035, Black Country</v>
      </c>
      <c r="M40" s="10" t="str">
        <f t="shared" si="1"/>
        <v>Process, plant and machine operatives</v>
      </c>
      <c r="N40" s="11">
        <f>'Occ T5'!Y51</f>
        <v>1.3619325616537186</v>
      </c>
      <c r="O40" s="11">
        <f>'Occ T5'!X51</f>
        <v>0.73442499821470619</v>
      </c>
      <c r="P40" s="11">
        <f>'Occ T5'!W51</f>
        <v>1.1328421579849817</v>
      </c>
    </row>
    <row r="41" spans="1:16" x14ac:dyDescent="0.25">
      <c r="M41" s="10" t="str">
        <f t="shared" si="1"/>
        <v>Elementary occupations</v>
      </c>
      <c r="N41" s="11">
        <f>'Occ T5'!Y52</f>
        <v>0.92185773259826753</v>
      </c>
      <c r="O41" s="11">
        <f>'Occ T5'!X52</f>
        <v>-0.83955376205767074</v>
      </c>
      <c r="P41" s="11">
        <f>'Occ T5'!W52</f>
        <v>-1.535957556056756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2.2166175641598116</v>
      </c>
      <c r="O43" s="11">
        <f>'Occ T5'!X54</f>
        <v>3.7626028733645285</v>
      </c>
      <c r="P43" s="11">
        <f>'Occ T5'!W54</f>
        <v>2.3658431655639731</v>
      </c>
    </row>
    <row r="79" spans="1:1" ht="15.5" x14ac:dyDescent="0.35">
      <c r="A79" s="80" t="str">
        <f>CONCATENATE("Occupation Figure 5.2 Males:  Occupational Change by Status (000s) (SOC 2020), ",N1,", ",Info!B5)</f>
        <v>Occupation Figure 5.2 Males:  Occupational Change by Status (000s) (SOC 2020), 2020-2035, Black Country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9" t="str">
        <f>CONCATENATE("Qualification Table 1  Employment by Qualification, ",B$3,"-",F$3,", ",Info!B5,", ",Info!B5)</f>
        <v>Qualification Table 1  Employment by Qualification, 2015-2035, Black Country, Black Country</v>
      </c>
    </row>
    <row r="2" spans="1:7" ht="13" x14ac:dyDescent="0.3">
      <c r="A2" s="1" t="s">
        <v>524</v>
      </c>
    </row>
    <row r="3" spans="1:7" ht="13" x14ac:dyDescent="0.3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ht="13" x14ac:dyDescent="0.3">
      <c r="A4" s="1" t="s">
        <v>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5.3073112621041885</v>
      </c>
      <c r="C5" s="11">
        <f>HLOOKUP(C$3,'Qual F1'!$M$4:$BW$14,11,FALSE)</f>
        <v>7.3068406233036978</v>
      </c>
      <c r="D5" s="11">
        <f>HLOOKUP(D$3,'Qual F1'!$M$4:$BW$14,11,FALSE)</f>
        <v>7.09130857909346</v>
      </c>
      <c r="E5" s="11">
        <f>HLOOKUP(E$3,'Qual F1'!$M$4:$BW$14,11,FALSE)</f>
        <v>9.1761754867629843</v>
      </c>
      <c r="F5" s="11">
        <f>HLOOKUP(F$3,'Qual F1'!$M$4:$BW$14,11,FALSE)</f>
        <v>13.484206138990896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34.372407642251311</v>
      </c>
      <c r="C6" s="11">
        <f>HLOOKUP(C$3,'Qual F1'!$M$4:$BW$14,10,FALSE)</f>
        <v>47.972540866402163</v>
      </c>
      <c r="D6" s="11">
        <f>HLOOKUP(D$3,'Qual F1'!$M$4:$BW$14,10,FALSE)</f>
        <v>47.914257000986936</v>
      </c>
      <c r="E6" s="11">
        <f>HLOOKUP(E$3,'Qual F1'!$M$4:$BW$14,10,FALSE)</f>
        <v>60.815722937880487</v>
      </c>
      <c r="F6" s="11">
        <f>HLOOKUP(F$3,'Qual F1'!$M$4:$BW$14,10,FALSE)</f>
        <v>89.255741610816983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83.671480205469024</v>
      </c>
      <c r="C7" s="11">
        <f>HLOOKUP(C$3,'Qual F1'!$M$4:$BW$14,9,FALSE)</f>
        <v>81.914992761114462</v>
      </c>
      <c r="D7" s="11">
        <f>HLOOKUP(D$3,'Qual F1'!$M$4:$BW$14,9,FALSE)</f>
        <v>91.034053021034552</v>
      </c>
      <c r="E7" s="11">
        <f>HLOOKUP(E$3,'Qual F1'!$M$4:$BW$14,9,FALSE)</f>
        <v>97.47831372544357</v>
      </c>
      <c r="F7" s="11">
        <f>HLOOKUP(F$3,'Qual F1'!$M$4:$BW$14,9,FALSE)</f>
        <v>112.09012461141087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27.262700234542468</v>
      </c>
      <c r="C8" s="11">
        <f>HLOOKUP(C$3,'Qual F1'!$M$4:$BW$14,8,FALSE)</f>
        <v>24.998245553760128</v>
      </c>
      <c r="D8" s="11">
        <f>HLOOKUP(D$3,'Qual F1'!$M$4:$BW$14,8,FALSE)</f>
        <v>27.827400007193688</v>
      </c>
      <c r="E8" s="11">
        <f>HLOOKUP(E$3,'Qual F1'!$M$4:$BW$14,8,FALSE)</f>
        <v>27.122890296340106</v>
      </c>
      <c r="F8" s="11">
        <f>HLOOKUP(F$3,'Qual F1'!$M$4:$BW$14,8,FALSE)</f>
        <v>29.459577091677122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26.61461628585398</v>
      </c>
      <c r="C9" s="11">
        <f>HLOOKUP(C$3,'Qual F1'!$M$4:$BW$14,7,FALSE)</f>
        <v>24.76710866384548</v>
      </c>
      <c r="D9" s="11">
        <f>HLOOKUP(D$3,'Qual F1'!$M$4:$BW$14,7,FALSE)</f>
        <v>26.960259961527282</v>
      </c>
      <c r="E9" s="11">
        <f>HLOOKUP(E$3,'Qual F1'!$M$4:$BW$14,7,FALSE)</f>
        <v>27.963964144204844</v>
      </c>
      <c r="F9" s="11">
        <f>HLOOKUP(F$3,'Qual F1'!$M$4:$BW$14,7,FALSE)</f>
        <v>31.84345749255802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101.26753787756155</v>
      </c>
      <c r="C10" s="11">
        <f>HLOOKUP(C$3,'Qual F1'!$M$4:$BW$14,6,FALSE)</f>
        <v>109.81054068418128</v>
      </c>
      <c r="D10" s="11">
        <f>HLOOKUP(D$3,'Qual F1'!$M$4:$BW$14,6,FALSE)</f>
        <v>104.45386297689122</v>
      </c>
      <c r="E10" s="11">
        <f>HLOOKUP(E$3,'Qual F1'!$M$4:$BW$14,6,FALSE)</f>
        <v>109.28122941218506</v>
      </c>
      <c r="F10" s="11">
        <f>HLOOKUP(F$3,'Qual F1'!$M$4:$BW$14,6,FALSE)</f>
        <v>110.33205707401453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111.8347398533739</v>
      </c>
      <c r="C11" s="11">
        <f>HLOOKUP(C$3,'Qual F1'!$M$4:$BW$14,5,FALSE)</f>
        <v>114.81041065304444</v>
      </c>
      <c r="D11" s="11">
        <f>HLOOKUP(D$3,'Qual F1'!$M$4:$BW$14,5,FALSE)</f>
        <v>99.097756857584756</v>
      </c>
      <c r="E11" s="11">
        <f>HLOOKUP(E$3,'Qual F1'!$M$4:$BW$14,5,FALSE)</f>
        <v>104.59823075509426</v>
      </c>
      <c r="F11" s="11">
        <f>HLOOKUP(F$3,'Qual F1'!$M$4:$BW$14,5,FALSE)</f>
        <v>91.411250353138456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74.233403679264697</v>
      </c>
      <c r="C12" s="11">
        <f>HLOOKUP(C$3,'Qual F1'!$M$4:$BW$14,4,FALSE)</f>
        <v>65.981308811181577</v>
      </c>
      <c r="D12" s="11">
        <f>HLOOKUP(D$3,'Qual F1'!$M$4:$BW$14,4,FALSE)</f>
        <v>60.025164113237281</v>
      </c>
      <c r="E12" s="11">
        <f>HLOOKUP(E$3,'Qual F1'!$M$4:$BW$14,4,FALSE)</f>
        <v>51.779979696468409</v>
      </c>
      <c r="F12" s="11">
        <f>HLOOKUP(F$3,'Qual F1'!$M$4:$BW$14,4,FALSE)</f>
        <v>31.920671646136881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40.99780295957919</v>
      </c>
      <c r="C13" s="11">
        <f>HLOOKUP(C$3,'Qual F1'!$M$4:$BW$14,3,FALSE)</f>
        <v>32.369011383166658</v>
      </c>
      <c r="D13" s="11">
        <f>HLOOKUP(D$3,'Qual F1'!$M$4:$BW$14,3,FALSE)</f>
        <v>31.789937482450107</v>
      </c>
      <c r="E13" s="11">
        <f>HLOOKUP(E$3,'Qual F1'!$M$4:$BW$14,3,FALSE)</f>
        <v>19.91149354561998</v>
      </c>
      <c r="F13" s="11">
        <f>HLOOKUP(F$3,'Qual F1'!$M$4:$BW$14,3,FALSE)</f>
        <v>12.146913981255848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505.5620000000003</v>
      </c>
      <c r="C15" s="11">
        <f t="shared" ref="C15:F15" si="0">SUM(C5:C13)</f>
        <v>509.93099999999981</v>
      </c>
      <c r="D15" s="11">
        <f t="shared" si="0"/>
        <v>496.19399999999922</v>
      </c>
      <c r="E15" s="11">
        <f t="shared" si="0"/>
        <v>508.1279999999997</v>
      </c>
      <c r="F15" s="11">
        <f t="shared" si="0"/>
        <v>521.94399999999962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18">
        <f t="shared" ref="B19:F21" si="1">B5/B$15*100</f>
        <v>1.0497844501968472</v>
      </c>
      <c r="C19" s="18">
        <f t="shared" si="1"/>
        <v>1.4329077116911308</v>
      </c>
      <c r="D19" s="18">
        <f t="shared" si="1"/>
        <v>1.4291403320260767</v>
      </c>
      <c r="E19" s="18">
        <f t="shared" si="1"/>
        <v>1.8058787326742456</v>
      </c>
      <c r="F19" s="18">
        <f t="shared" si="1"/>
        <v>2.5834584053061067</v>
      </c>
      <c r="G19" s="11"/>
    </row>
    <row r="20" spans="1:7" x14ac:dyDescent="0.25">
      <c r="A20" t="str">
        <f>$A6</f>
        <v>RQF7 Other higher degree</v>
      </c>
      <c r="B20" s="18">
        <f t="shared" si="1"/>
        <v>6.7988511087168915</v>
      </c>
      <c r="C20" s="18">
        <f t="shared" si="1"/>
        <v>9.4076533622004117</v>
      </c>
      <c r="D20" s="18">
        <f t="shared" si="1"/>
        <v>9.6563555788637121</v>
      </c>
      <c r="E20" s="18">
        <f t="shared" si="1"/>
        <v>11.968583297492073</v>
      </c>
      <c r="F20" s="18">
        <f t="shared" si="1"/>
        <v>17.100635625817532</v>
      </c>
      <c r="G20" s="11"/>
    </row>
    <row r="21" spans="1:7" x14ac:dyDescent="0.25">
      <c r="A21" t="str">
        <f>$A7</f>
        <v>RQF6 First degree</v>
      </c>
      <c r="B21" s="18">
        <f t="shared" si="1"/>
        <v>16.550191708528128</v>
      </c>
      <c r="C21" s="18">
        <f t="shared" si="1"/>
        <v>16.063936642627041</v>
      </c>
      <c r="D21" s="18">
        <f t="shared" si="1"/>
        <v>18.346463887317196</v>
      </c>
      <c r="E21" s="18">
        <f t="shared" si="1"/>
        <v>19.183810718056009</v>
      </c>
      <c r="F21" s="18">
        <f t="shared" si="1"/>
        <v>21.475507834444109</v>
      </c>
      <c r="G21" s="11"/>
    </row>
    <row r="22" spans="1:7" x14ac:dyDescent="0.25">
      <c r="A22" t="str">
        <f t="shared" ref="A22:A27" si="2">$A8</f>
        <v>RQF5 Foundation degree;Nursing;Teaching</v>
      </c>
      <c r="B22" s="18">
        <f t="shared" ref="B22:F22" si="3">B8/B$15*100</f>
        <v>5.3925532841753245</v>
      </c>
      <c r="C22" s="18">
        <f t="shared" si="3"/>
        <v>4.9022800248975127</v>
      </c>
      <c r="D22" s="18">
        <f t="shared" si="3"/>
        <v>5.6081693868111531</v>
      </c>
      <c r="E22" s="18">
        <f t="shared" si="3"/>
        <v>5.3378066739758729</v>
      </c>
      <c r="F22" s="18">
        <f t="shared" si="3"/>
        <v>5.6442026523299704</v>
      </c>
      <c r="G22" s="11"/>
    </row>
    <row r="23" spans="1:7" x14ac:dyDescent="0.25">
      <c r="A23" t="str">
        <f t="shared" si="2"/>
        <v>RQF4 HE below degree level</v>
      </c>
      <c r="B23" s="18">
        <f t="shared" ref="B23:F23" si="4">B9/B$15*100</f>
        <v>5.2643624888448821</v>
      </c>
      <c r="C23" s="18">
        <f t="shared" si="4"/>
        <v>4.8569529336018968</v>
      </c>
      <c r="D23" s="18">
        <f t="shared" si="4"/>
        <v>5.4334111177336535</v>
      </c>
      <c r="E23" s="18">
        <f t="shared" si="4"/>
        <v>5.5033306852220036</v>
      </c>
      <c r="F23" s="18">
        <f t="shared" si="4"/>
        <v>6.1009337194331277</v>
      </c>
      <c r="G23" s="11"/>
    </row>
    <row r="24" spans="1:7" x14ac:dyDescent="0.25">
      <c r="A24" t="str">
        <f t="shared" si="2"/>
        <v>RQF3 A level &amp; equivalent</v>
      </c>
      <c r="B24" s="18">
        <f t="shared" ref="B24:F24" si="5">B10/B$15*100</f>
        <v>20.030686221979003</v>
      </c>
      <c r="C24" s="18">
        <f t="shared" si="5"/>
        <v>21.534392042096151</v>
      </c>
      <c r="D24" s="18">
        <f t="shared" si="5"/>
        <v>21.051012905615824</v>
      </c>
      <c r="E24" s="18">
        <f t="shared" si="5"/>
        <v>21.506634039491058</v>
      </c>
      <c r="F24" s="18">
        <f t="shared" si="5"/>
        <v>21.138677151957801</v>
      </c>
      <c r="G24" s="11"/>
    </row>
    <row r="25" spans="1:7" x14ac:dyDescent="0.25">
      <c r="A25" t="str">
        <f t="shared" si="2"/>
        <v>RQF2 GCSE(A-C) &amp; equivalent</v>
      </c>
      <c r="B25" s="18">
        <f t="shared" ref="B25:F25" si="6">B11/B$15*100</f>
        <v>22.120875353245268</v>
      </c>
      <c r="C25" s="18">
        <f t="shared" si="6"/>
        <v>22.514891358447414</v>
      </c>
      <c r="D25" s="18">
        <f t="shared" si="6"/>
        <v>19.971575000420181</v>
      </c>
      <c r="E25" s="18">
        <f t="shared" si="6"/>
        <v>20.585016128828627</v>
      </c>
      <c r="F25" s="18">
        <f t="shared" si="6"/>
        <v>17.513612639121924</v>
      </c>
      <c r="G25" s="11"/>
    </row>
    <row r="26" spans="1:7" x14ac:dyDescent="0.25">
      <c r="A26" t="str">
        <f t="shared" si="2"/>
        <v>RQF1 GCSE(below grade C) &amp; equivalent</v>
      </c>
      <c r="B26" s="18">
        <f t="shared" ref="B26:F26" si="7">B12/B$15*100</f>
        <v>14.683343225809031</v>
      </c>
      <c r="C26" s="18">
        <f>C12/C$15*100</f>
        <v>12.939262137658153</v>
      </c>
      <c r="D26" s="18">
        <f t="shared" si="7"/>
        <v>12.097116070173637</v>
      </c>
      <c r="E26" s="18">
        <f t="shared" si="7"/>
        <v>10.190341743904773</v>
      </c>
      <c r="F26" s="18">
        <f t="shared" si="7"/>
        <v>6.1157272899270625</v>
      </c>
      <c r="G26" s="11"/>
    </row>
    <row r="27" spans="1:7" x14ac:dyDescent="0.25">
      <c r="A27" t="str">
        <f t="shared" si="2"/>
        <v>No Qualification</v>
      </c>
      <c r="B27" s="18">
        <f t="shared" ref="B27:F27" si="8">B13/B$15*100</f>
        <v>8.1093521585046275</v>
      </c>
      <c r="C27" s="18">
        <f>C13/C$15*100</f>
        <v>6.3477237867803034</v>
      </c>
      <c r="D27" s="18">
        <f t="shared" si="8"/>
        <v>6.4067557210385777</v>
      </c>
      <c r="E27" s="18">
        <f t="shared" si="8"/>
        <v>3.9185979803553419</v>
      </c>
      <c r="F27" s="18">
        <f t="shared" si="8"/>
        <v>2.3272446816623731</v>
      </c>
      <c r="G27" s="11"/>
    </row>
    <row r="28" spans="1:7" x14ac:dyDescent="0.25">
      <c r="B28" s="18"/>
      <c r="C28" s="18"/>
      <c r="D28" s="18"/>
      <c r="E28" s="18"/>
      <c r="F28" s="18"/>
      <c r="G28" s="11"/>
    </row>
    <row r="29" spans="1:7" x14ac:dyDescent="0.25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5">
      <c r="B30" s="18"/>
      <c r="C30" s="18"/>
      <c r="D30" s="18"/>
      <c r="E30" s="18"/>
      <c r="F30" s="18"/>
      <c r="G30" s="11"/>
    </row>
    <row r="32" spans="1:7" ht="13" x14ac:dyDescent="0.3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5">
      <c r="A33" t="str">
        <f>$A19</f>
        <v>RQF8 Doctorate</v>
      </c>
      <c r="B33" s="18">
        <f t="shared" ref="B33:E35" si="9">IF(C$3-B$3 &lt;&gt; 0,(EXP(LN(C5/B5)/(C$3-B$3))-1)*100,0)</f>
        <v>8.3212764232624803</v>
      </c>
      <c r="C33" s="18">
        <f t="shared" si="9"/>
        <v>-2.9497296481716284</v>
      </c>
      <c r="D33" s="18">
        <f t="shared" si="9"/>
        <v>5.289985352013904</v>
      </c>
      <c r="E33" s="18">
        <f t="shared" si="9"/>
        <v>3.9241227648793009</v>
      </c>
      <c r="F33" s="18">
        <f>IF(F$3-D$3 &lt;&gt; 0,(EXP(LN(F5/D5)/(F$3-D$3))-1)*100,0)</f>
        <v>4.3774301343776578</v>
      </c>
    </row>
    <row r="34" spans="1:6" x14ac:dyDescent="0.25">
      <c r="A34" t="str">
        <f>$A20</f>
        <v>RQF7 Other higher degree</v>
      </c>
      <c r="B34" s="18">
        <f t="shared" si="9"/>
        <v>8.6915274444936852</v>
      </c>
      <c r="C34" s="18">
        <f t="shared" si="9"/>
        <v>-0.12149422224172479</v>
      </c>
      <c r="D34" s="18">
        <f t="shared" si="9"/>
        <v>4.8842369876755276</v>
      </c>
      <c r="E34" s="18">
        <f t="shared" si="9"/>
        <v>3.9111207284619809</v>
      </c>
      <c r="F34" s="18">
        <f t="shared" ref="F34:F43" si="10">IF(F$3-D$3 &lt;&gt; 0,(EXP(LN(F6/D6)/(F$3-D$3))-1)*100,0)</f>
        <v>4.2344854806322552</v>
      </c>
    </row>
    <row r="35" spans="1:6" x14ac:dyDescent="0.25">
      <c r="A35" t="str">
        <f>$A21</f>
        <v>RQF6 First degree</v>
      </c>
      <c r="B35" s="18">
        <f t="shared" si="9"/>
        <v>-0.52899947469078334</v>
      </c>
      <c r="C35" s="18">
        <f t="shared" si="9"/>
        <v>11.132345804526466</v>
      </c>
      <c r="D35" s="18">
        <f t="shared" si="9"/>
        <v>1.3773245991427707</v>
      </c>
      <c r="E35" s="18">
        <f t="shared" si="9"/>
        <v>1.406532906612612</v>
      </c>
      <c r="F35" s="18">
        <f t="shared" si="10"/>
        <v>1.3967958692039817</v>
      </c>
    </row>
    <row r="36" spans="1:6" x14ac:dyDescent="0.25">
      <c r="A36" t="str">
        <f t="shared" ref="A36:A41" si="11">$A22</f>
        <v>RQF5 Foundation degree;Nursing;Teaching</v>
      </c>
      <c r="B36" s="18">
        <f>IF(C$3-B$3 &lt;&gt; 0,(EXP(LN(C8/B8)/(C$3-B$3))-1)*100,0)</f>
        <v>-2.1445168961974237</v>
      </c>
      <c r="C36" s="18">
        <f t="shared" ref="C36:E36" si="12">IF(D$3-C$3 &lt;&gt; 0,(EXP(LN(D8/C8)/(D$3-C$3))-1)*100,0)</f>
        <v>11.317412045374553</v>
      </c>
      <c r="D36" s="18">
        <f t="shared" si="12"/>
        <v>-0.51154941322466563</v>
      </c>
      <c r="E36" s="18">
        <f t="shared" si="12"/>
        <v>0.82983443403448209</v>
      </c>
      <c r="F36" s="18">
        <f t="shared" si="10"/>
        <v>0.3807089191284696</v>
      </c>
    </row>
    <row r="37" spans="1:6" x14ac:dyDescent="0.25">
      <c r="A37" t="str">
        <f t="shared" si="11"/>
        <v>RQF4 HE below degree level</v>
      </c>
      <c r="B37" s="18">
        <f t="shared" ref="B37:E37" si="13">IF(C$3-B$3 &lt;&gt; 0,(EXP(LN(C9/B9)/(C$3-B$3))-1)*100,0)</f>
        <v>-1.7825227102072794</v>
      </c>
      <c r="C37" s="18">
        <f t="shared" si="13"/>
        <v>8.8550961981416876</v>
      </c>
      <c r="D37" s="18">
        <f t="shared" si="13"/>
        <v>0.73373389089279595</v>
      </c>
      <c r="E37" s="18">
        <f t="shared" si="13"/>
        <v>1.3076282336199618</v>
      </c>
      <c r="F37" s="18">
        <f t="shared" si="10"/>
        <v>1.1159677520442335</v>
      </c>
    </row>
    <row r="38" spans="1:6" x14ac:dyDescent="0.25">
      <c r="A38" t="str">
        <f t="shared" si="11"/>
        <v>RQF3 A level &amp; equivalent</v>
      </c>
      <c r="B38" s="18">
        <f t="shared" ref="B38:E38" si="14">IF(C$3-B$3 &lt;&gt; 0,(EXP(LN(C10/B10)/(C$3-B$3))-1)*100,0)</f>
        <v>2.0454028977316074</v>
      </c>
      <c r="C38" s="18">
        <f t="shared" si="14"/>
        <v>-4.8781088535899686</v>
      </c>
      <c r="D38" s="18">
        <f t="shared" si="14"/>
        <v>0.90767813057133218</v>
      </c>
      <c r="E38" s="18">
        <f t="shared" si="14"/>
        <v>9.5744540513242882E-2</v>
      </c>
      <c r="F38" s="18">
        <f t="shared" si="10"/>
        <v>0.36566056656317514</v>
      </c>
    </row>
    <row r="39" spans="1:6" x14ac:dyDescent="0.25">
      <c r="A39" t="str">
        <f t="shared" si="11"/>
        <v>RQF2 GCSE(A-C) &amp; equivalent</v>
      </c>
      <c r="B39" s="18">
        <f t="shared" ref="B39:E39" si="15">IF(C$3-B$3 &lt;&gt; 0,(EXP(LN(C11/B11)/(C$3-B$3))-1)*100,0)</f>
        <v>0.65865767940163078</v>
      </c>
      <c r="C39" s="18">
        <f t="shared" si="15"/>
        <v>-13.68573956497997</v>
      </c>
      <c r="D39" s="18">
        <f t="shared" si="15"/>
        <v>1.0862539827737994</v>
      </c>
      <c r="E39" s="18">
        <f t="shared" si="15"/>
        <v>-1.3385415496197428</v>
      </c>
      <c r="F39" s="18">
        <f t="shared" si="10"/>
        <v>-0.53680897581156461</v>
      </c>
    </row>
    <row r="40" spans="1:6" x14ac:dyDescent="0.25">
      <c r="A40" t="str">
        <f t="shared" si="11"/>
        <v>RQF1 GCSE(below grade C) &amp; equivalent</v>
      </c>
      <c r="B40" s="18">
        <f t="shared" ref="B40:E40" si="16">IF(C$3-B$3 &lt;&gt; 0,(EXP(LN(C12/B12)/(C$3-B$3))-1)*100,0)</f>
        <v>-2.903094731033129</v>
      </c>
      <c r="C40" s="18">
        <f t="shared" si="16"/>
        <v>-9.027018113552387</v>
      </c>
      <c r="D40" s="18">
        <f t="shared" si="16"/>
        <v>-2.9119666534318744</v>
      </c>
      <c r="E40" s="18">
        <f t="shared" si="16"/>
        <v>-4.7223549008545085</v>
      </c>
      <c r="F40" s="18">
        <f t="shared" si="10"/>
        <v>-4.1226744774539803</v>
      </c>
    </row>
    <row r="41" spans="1:6" x14ac:dyDescent="0.25">
      <c r="A41" t="str">
        <f t="shared" si="11"/>
        <v>No Qualification</v>
      </c>
      <c r="B41" s="18">
        <f t="shared" ref="B41:E41" si="17">IF(C$3-B$3 &lt;&gt; 0,(EXP(LN(C13/B13)/(C$3-B$3))-1)*100,0)</f>
        <v>-5.7367926221306824</v>
      </c>
      <c r="C41" s="18">
        <f t="shared" si="17"/>
        <v>-1.7889761718756003</v>
      </c>
      <c r="D41" s="18">
        <f t="shared" si="17"/>
        <v>-8.9326219802885465</v>
      </c>
      <c r="E41" s="18">
        <f t="shared" si="17"/>
        <v>-4.8220794979694777</v>
      </c>
      <c r="F41" s="18">
        <f t="shared" si="10"/>
        <v>-6.2124727852738149</v>
      </c>
    </row>
    <row r="42" spans="1:6" x14ac:dyDescent="0.25">
      <c r="B42" s="18"/>
      <c r="C42" s="18"/>
      <c r="D42" s="18"/>
      <c r="E42" s="18"/>
      <c r="F42" s="18"/>
    </row>
    <row r="43" spans="1:6" x14ac:dyDescent="0.25">
      <c r="A43" t="str">
        <f>$A29</f>
        <v>All qualifications</v>
      </c>
      <c r="B43" s="18">
        <f>IF(C$3-B$3 &lt;&gt; 0,(EXP(LN(C15/B15)/(C$3-B$3))-1)*100,0)</f>
        <v>0.21535006256827582</v>
      </c>
      <c r="C43" s="18">
        <f t="shared" ref="C43" si="18">IF(D$3-C$3 &lt;&gt; 0,(EXP(LN(D15/C15)/(D$3-C$3))-1)*100,0)</f>
        <v>-2.6938938797603229</v>
      </c>
      <c r="D43" s="18">
        <f>IF(E$3-D$3 &lt;&gt; 0,(EXP(LN(E15/D15)/(E$3-D$3))-1)*100,0)</f>
        <v>0.47645957720003906</v>
      </c>
      <c r="E43" s="18">
        <f>IF(F$3-E$3 &lt;&gt; 0,(EXP(LN(F15/E15)/(F$3-E$3))-1)*100,0)</f>
        <v>0.26862934467044575</v>
      </c>
      <c r="F43" s="18">
        <f t="shared" si="10"/>
        <v>0.33785827979151417</v>
      </c>
    </row>
    <row r="44" spans="1:6" x14ac:dyDescent="0.25">
      <c r="B44" s="18"/>
      <c r="C44" s="18"/>
      <c r="D44" s="18"/>
      <c r="E44" s="18"/>
      <c r="F44" s="18"/>
    </row>
    <row r="46" spans="1:6" ht="13" x14ac:dyDescent="0.3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5">
      <c r="A47" t="str">
        <f>$A33</f>
        <v>RQF8 Doctorate</v>
      </c>
      <c r="B47" s="27">
        <f>C5-B5</f>
        <v>1.9995293611995093</v>
      </c>
      <c r="C47" s="27">
        <f>D5-C5</f>
        <v>-0.21553204421023775</v>
      </c>
      <c r="D47" s="27">
        <f>E5-D5</f>
        <v>2.0848669076695243</v>
      </c>
      <c r="E47" s="27">
        <f>F5-E5</f>
        <v>4.3080306522279113</v>
      </c>
      <c r="F47" s="27">
        <f>F5-D5</f>
        <v>6.3928975598974356</v>
      </c>
    </row>
    <row r="48" spans="1:6" x14ac:dyDescent="0.25">
      <c r="A48" t="str">
        <f t="shared" ref="A48:A55" si="19">$A34</f>
        <v>RQF7 Other higher degree</v>
      </c>
      <c r="B48" s="27">
        <f t="shared" ref="B48:E48" si="20">C6-B6</f>
        <v>13.600133224150852</v>
      </c>
      <c r="C48" s="27">
        <f t="shared" si="20"/>
        <v>-5.8283865415226899E-2</v>
      </c>
      <c r="D48" s="27">
        <f t="shared" si="20"/>
        <v>12.901465936893551</v>
      </c>
      <c r="E48" s="27">
        <f t="shared" si="20"/>
        <v>28.440018672936496</v>
      </c>
      <c r="F48" s="27">
        <f t="shared" ref="F48:F57" si="21">F6-D6</f>
        <v>41.341484609830047</v>
      </c>
    </row>
    <row r="49" spans="1:6" x14ac:dyDescent="0.25">
      <c r="A49" t="str">
        <f t="shared" si="19"/>
        <v>RQF6 First degree</v>
      </c>
      <c r="B49" s="27">
        <f t="shared" ref="B49:E49" si="22">C7-B7</f>
        <v>-1.7564874443545619</v>
      </c>
      <c r="C49" s="27">
        <f t="shared" si="22"/>
        <v>9.1190602599200901</v>
      </c>
      <c r="D49" s="27">
        <f t="shared" si="22"/>
        <v>6.4442607044090181</v>
      </c>
      <c r="E49" s="27">
        <f t="shared" si="22"/>
        <v>14.611810885967301</v>
      </c>
      <c r="F49" s="27">
        <f t="shared" si="21"/>
        <v>21.05607159037632</v>
      </c>
    </row>
    <row r="50" spans="1:6" x14ac:dyDescent="0.25">
      <c r="A50" t="str">
        <f t="shared" si="19"/>
        <v>RQF5 Foundation degree;Nursing;Teaching</v>
      </c>
      <c r="B50" s="27">
        <f t="shared" ref="B50:E50" si="23">C8-B8</f>
        <v>-2.2644546807823396</v>
      </c>
      <c r="C50" s="27">
        <f t="shared" si="23"/>
        <v>2.82915445343356</v>
      </c>
      <c r="D50" s="27">
        <f t="shared" si="23"/>
        <v>-0.70450971085358205</v>
      </c>
      <c r="E50" s="27">
        <f t="shared" si="23"/>
        <v>2.3366867953370161</v>
      </c>
      <c r="F50" s="27">
        <f t="shared" si="21"/>
        <v>1.632177084483434</v>
      </c>
    </row>
    <row r="51" spans="1:6" x14ac:dyDescent="0.25">
      <c r="A51" t="str">
        <f t="shared" si="19"/>
        <v>RQF4 HE below degree level</v>
      </c>
      <c r="B51" s="27">
        <f t="shared" ref="B51:E51" si="24">C9-B9</f>
        <v>-1.8475076220085001</v>
      </c>
      <c r="C51" s="27">
        <f t="shared" si="24"/>
        <v>2.1931512976818013</v>
      </c>
      <c r="D51" s="27">
        <f t="shared" si="24"/>
        <v>1.0037041826775628</v>
      </c>
      <c r="E51" s="27">
        <f t="shared" si="24"/>
        <v>3.8794933483531757</v>
      </c>
      <c r="F51" s="27">
        <f t="shared" si="21"/>
        <v>4.8831975310307385</v>
      </c>
    </row>
    <row r="52" spans="1:6" x14ac:dyDescent="0.25">
      <c r="A52" t="str">
        <f t="shared" si="19"/>
        <v>RQF3 A level &amp; equivalent</v>
      </c>
      <c r="B52" s="27">
        <f t="shared" ref="B52:E52" si="25">C10-B10</f>
        <v>8.5430028066197252</v>
      </c>
      <c r="C52" s="27">
        <f t="shared" si="25"/>
        <v>-5.3566777072900607</v>
      </c>
      <c r="D52" s="27">
        <f t="shared" si="25"/>
        <v>4.8273664352938397</v>
      </c>
      <c r="E52" s="27">
        <f t="shared" si="25"/>
        <v>1.050827661829473</v>
      </c>
      <c r="F52" s="27">
        <f t="shared" si="21"/>
        <v>5.8781940971233126</v>
      </c>
    </row>
    <row r="53" spans="1:6" x14ac:dyDescent="0.25">
      <c r="A53" t="str">
        <f t="shared" si="19"/>
        <v>RQF2 GCSE(A-C) &amp; equivalent</v>
      </c>
      <c r="B53" s="27">
        <f t="shared" ref="B53:E53" si="26">C11-B11</f>
        <v>2.9756707996705387</v>
      </c>
      <c r="C53" s="27">
        <f>D11-C11</f>
        <v>-15.712653795459687</v>
      </c>
      <c r="D53" s="27">
        <f t="shared" si="26"/>
        <v>5.500473897509508</v>
      </c>
      <c r="E53" s="27">
        <f t="shared" si="26"/>
        <v>-13.186980401955807</v>
      </c>
      <c r="F53" s="27">
        <f t="shared" si="21"/>
        <v>-7.6865065044462995</v>
      </c>
    </row>
    <row r="54" spans="1:6" x14ac:dyDescent="0.25">
      <c r="A54" t="str">
        <f t="shared" si="19"/>
        <v>RQF1 GCSE(below grade C) &amp; equivalent</v>
      </c>
      <c r="B54" s="27">
        <f t="shared" ref="B54:E54" si="27">C12-B12</f>
        <v>-8.2520948680831196</v>
      </c>
      <c r="C54" s="27">
        <f t="shared" si="27"/>
        <v>-5.9561446979442962</v>
      </c>
      <c r="D54" s="27">
        <f t="shared" si="27"/>
        <v>-8.2451844167688719</v>
      </c>
      <c r="E54" s="27">
        <f t="shared" si="27"/>
        <v>-19.859308050331528</v>
      </c>
      <c r="F54" s="27">
        <f t="shared" si="21"/>
        <v>-28.1044924671004</v>
      </c>
    </row>
    <row r="55" spans="1:6" x14ac:dyDescent="0.25">
      <c r="A55" t="str">
        <f t="shared" si="19"/>
        <v>No Qualification</v>
      </c>
      <c r="B55" s="27">
        <f t="shared" ref="B55:E55" si="28">C13-B13</f>
        <v>-8.6287915764125316</v>
      </c>
      <c r="C55" s="27">
        <f t="shared" si="28"/>
        <v>-0.57907390071655129</v>
      </c>
      <c r="D55" s="27">
        <f t="shared" si="28"/>
        <v>-11.878443936830127</v>
      </c>
      <c r="E55" s="27">
        <f t="shared" si="28"/>
        <v>-7.7645795643641318</v>
      </c>
      <c r="F55" s="27">
        <f t="shared" si="21"/>
        <v>-19.643023501194257</v>
      </c>
    </row>
    <row r="56" spans="1:6" x14ac:dyDescent="0.25">
      <c r="B56" s="21"/>
      <c r="C56" s="27"/>
      <c r="D56" s="21"/>
      <c r="E56" s="21"/>
      <c r="F56" s="27"/>
    </row>
    <row r="57" spans="1:6" x14ac:dyDescent="0.25">
      <c r="A57" s="24" t="str">
        <f>$A43</f>
        <v>All qualifications</v>
      </c>
      <c r="B57" s="29">
        <f>C15-B15</f>
        <v>4.3689999999995166</v>
      </c>
      <c r="C57" s="29">
        <f t="shared" ref="C57" si="29">D15-C15</f>
        <v>-13.737000000000592</v>
      </c>
      <c r="D57" s="29">
        <f>E15-D15</f>
        <v>11.934000000000481</v>
      </c>
      <c r="E57" s="29">
        <f>F15-E15</f>
        <v>13.815999999999917</v>
      </c>
      <c r="F57" s="29">
        <f t="shared" si="21"/>
        <v>25.750000000000398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topLeftCell="I1" zoomScale="75" zoomScaleNormal="75" workbookViewId="0"/>
  </sheetViews>
  <sheetFormatPr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80" t="str">
        <f>CONCATENATE("Qualification Figure 1  Employment by Qualification, ",$M$2,"-",$O$2,", ",Info!B5)</f>
        <v>Qualification Figure 1  Employment by Qualification, 2010-2035, Black Country</v>
      </c>
      <c r="H1"/>
      <c r="L1" s="46"/>
    </row>
    <row r="2" spans="1:68" ht="13" x14ac:dyDescent="0.3">
      <c r="A2" s="1" t="s">
        <v>524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5">
      <c r="L3" s="16"/>
      <c r="M3" s="16"/>
      <c r="N3" s="47"/>
      <c r="O3" s="16"/>
    </row>
    <row r="4" spans="1:68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232" t="str">
        <f>name!F12</f>
        <v>No Qualification</v>
      </c>
      <c r="M6" s="11">
        <v>44.984409789543122</v>
      </c>
      <c r="N6" s="11">
        <v>43.064085429987195</v>
      </c>
      <c r="O6" s="11">
        <v>43.93222905545106</v>
      </c>
      <c r="P6" s="11">
        <v>45.539860181778536</v>
      </c>
      <c r="Q6" s="11">
        <v>37.885028683570575</v>
      </c>
      <c r="R6" s="11">
        <v>40.99780295957919</v>
      </c>
      <c r="S6" s="11">
        <v>36.649719347697719</v>
      </c>
      <c r="T6" s="11">
        <v>38.499075334532783</v>
      </c>
      <c r="U6" s="11">
        <v>30.351027927750973</v>
      </c>
      <c r="V6" s="11">
        <v>32.369011383166658</v>
      </c>
      <c r="W6" s="11">
        <v>31.789937482450107</v>
      </c>
      <c r="X6" s="11">
        <v>23.379600253949363</v>
      </c>
      <c r="Y6" s="11">
        <v>24.579619774774731</v>
      </c>
      <c r="Z6" s="11">
        <v>22.759526993875316</v>
      </c>
      <c r="AA6" s="11">
        <v>21.040046854315289</v>
      </c>
      <c r="AB6" s="11">
        <v>19.91149354561998</v>
      </c>
      <c r="AC6" s="11">
        <v>18.904013358021761</v>
      </c>
      <c r="AD6" s="11">
        <v>17.924523191829756</v>
      </c>
      <c r="AE6" s="11">
        <v>17.00738861290538</v>
      </c>
      <c r="AF6" s="11">
        <v>16.130276228567954</v>
      </c>
      <c r="AG6" s="11">
        <v>15.299851375168149</v>
      </c>
      <c r="AH6" s="11">
        <v>14.505830267412829</v>
      </c>
      <c r="AI6" s="11">
        <v>13.752875328612573</v>
      </c>
      <c r="AJ6" s="11">
        <v>13.040045323069693</v>
      </c>
      <c r="AK6" s="11">
        <v>12.395458738488909</v>
      </c>
      <c r="AL6" s="11">
        <v>12.146913981255848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232" t="str">
        <f>name!F11</f>
        <v>RQF1 GCSE(below grade C) &amp; equivalent</v>
      </c>
      <c r="M7" s="11">
        <v>86.99045832604186</v>
      </c>
      <c r="N7" s="11">
        <v>85.888682008269299</v>
      </c>
      <c r="O7" s="11">
        <v>77.798094130437818</v>
      </c>
      <c r="P7" s="11">
        <v>72.887386517228364</v>
      </c>
      <c r="Q7" s="11">
        <v>82.717805083880066</v>
      </c>
      <c r="R7" s="11">
        <v>74.233403679264697</v>
      </c>
      <c r="S7" s="11">
        <v>69.973404361741316</v>
      </c>
      <c r="T7" s="11">
        <v>72.159848074685357</v>
      </c>
      <c r="U7" s="11">
        <v>68.75835450182764</v>
      </c>
      <c r="V7" s="11">
        <v>65.981308811181577</v>
      </c>
      <c r="W7" s="11">
        <v>60.025164113237281</v>
      </c>
      <c r="X7" s="11">
        <v>60.607041183677516</v>
      </c>
      <c r="Y7" s="11">
        <v>57.795200786818647</v>
      </c>
      <c r="Z7" s="11">
        <v>55.760187602448021</v>
      </c>
      <c r="AA7" s="11">
        <v>53.830162914731432</v>
      </c>
      <c r="AB7" s="11">
        <v>51.779979696468409</v>
      </c>
      <c r="AC7" s="11">
        <v>49.699288343081797</v>
      </c>
      <c r="AD7" s="11">
        <v>47.621464230658866</v>
      </c>
      <c r="AE7" s="11">
        <v>45.567403997521552</v>
      </c>
      <c r="AF7" s="11">
        <v>43.541356414096114</v>
      </c>
      <c r="AG7" s="11">
        <v>41.567924302346974</v>
      </c>
      <c r="AH7" s="11">
        <v>39.608135857015093</v>
      </c>
      <c r="AI7" s="11">
        <v>37.664831674173328</v>
      </c>
      <c r="AJ7" s="11">
        <v>35.740478944317033</v>
      </c>
      <c r="AK7" s="11">
        <v>33.836708039122811</v>
      </c>
      <c r="AL7" s="11">
        <v>31.920671646136881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232" t="str">
        <f>name!F10</f>
        <v>RQF2 GCSE(A-C) &amp; equivalent</v>
      </c>
      <c r="M8" s="11">
        <v>111.46901122811198</v>
      </c>
      <c r="N8" s="11">
        <v>112.01879666054352</v>
      </c>
      <c r="O8" s="11">
        <v>111.73857356047561</v>
      </c>
      <c r="P8" s="11">
        <v>107.69668372891323</v>
      </c>
      <c r="Q8" s="11">
        <v>103.10819296262142</v>
      </c>
      <c r="R8" s="11">
        <v>111.8347398533739</v>
      </c>
      <c r="S8" s="11">
        <v>111.52833855734386</v>
      </c>
      <c r="T8" s="11">
        <v>117.59753353378098</v>
      </c>
      <c r="U8" s="11">
        <v>121.86814274179333</v>
      </c>
      <c r="V8" s="11">
        <v>114.81041065304444</v>
      </c>
      <c r="W8" s="11">
        <v>99.097756857584756</v>
      </c>
      <c r="X8" s="11">
        <v>105.74274564489514</v>
      </c>
      <c r="Y8" s="11">
        <v>106.6823653190429</v>
      </c>
      <c r="Z8" s="11">
        <v>106.03405299369342</v>
      </c>
      <c r="AA8" s="11">
        <v>105.49797079358052</v>
      </c>
      <c r="AB8" s="11">
        <v>104.59823075509426</v>
      </c>
      <c r="AC8" s="11">
        <v>103.52215921711004</v>
      </c>
      <c r="AD8" s="11">
        <v>102.34626886760699</v>
      </c>
      <c r="AE8" s="11">
        <v>101.11422869618772</v>
      </c>
      <c r="AF8" s="11">
        <v>99.838257662037151</v>
      </c>
      <c r="AG8" s="11">
        <v>98.554697581797285</v>
      </c>
      <c r="AH8" s="11">
        <v>97.224462616012573</v>
      </c>
      <c r="AI8" s="11">
        <v>95.855997068679471</v>
      </c>
      <c r="AJ8" s="11">
        <v>94.448890973905392</v>
      </c>
      <c r="AK8" s="11">
        <v>92.99010547343687</v>
      </c>
      <c r="AL8" s="11">
        <v>91.411250353138456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232" t="str">
        <f>name!F9</f>
        <v>RQF3 A level &amp; equivalent</v>
      </c>
      <c r="M9" s="11">
        <v>97.290765424142805</v>
      </c>
      <c r="N9" s="11">
        <v>95.561198378836622</v>
      </c>
      <c r="O9" s="11">
        <v>101.56914010905017</v>
      </c>
      <c r="P9" s="11">
        <v>102.12314801460052</v>
      </c>
      <c r="Q9" s="11">
        <v>106.39040679180388</v>
      </c>
      <c r="R9" s="11">
        <v>101.26753787756155</v>
      </c>
      <c r="S9" s="11">
        <v>100.47900960894468</v>
      </c>
      <c r="T9" s="11">
        <v>108.56185953713323</v>
      </c>
      <c r="U9" s="11">
        <v>113.49420506920778</v>
      </c>
      <c r="V9" s="11">
        <v>109.81054068418128</v>
      </c>
      <c r="W9" s="11">
        <v>104.45386297689122</v>
      </c>
      <c r="X9" s="11">
        <v>106.81061500525314</v>
      </c>
      <c r="Y9" s="11">
        <v>107.61550163239431</v>
      </c>
      <c r="Z9" s="11">
        <v>108.16769307410598</v>
      </c>
      <c r="AA9" s="11">
        <v>108.88620663623371</v>
      </c>
      <c r="AB9" s="11">
        <v>109.28122941218506</v>
      </c>
      <c r="AC9" s="11">
        <v>109.52451184171508</v>
      </c>
      <c r="AD9" s="11">
        <v>109.69486874922576</v>
      </c>
      <c r="AE9" s="11">
        <v>109.83399169906396</v>
      </c>
      <c r="AF9" s="11">
        <v>109.93581571741063</v>
      </c>
      <c r="AG9" s="11">
        <v>110.06260252832385</v>
      </c>
      <c r="AH9" s="11">
        <v>110.16783156867969</v>
      </c>
      <c r="AI9" s="11">
        <v>110.25763977629538</v>
      </c>
      <c r="AJ9" s="11">
        <v>110.33237903248745</v>
      </c>
      <c r="AK9" s="11">
        <v>110.38343795038806</v>
      </c>
      <c r="AL9" s="11">
        <v>110.33205707401453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232" t="str">
        <f>name!F8</f>
        <v>RQF4 HE below degree level</v>
      </c>
      <c r="M10" s="11">
        <v>21.930311283055563</v>
      </c>
      <c r="N10" s="11">
        <v>21.983884712813069</v>
      </c>
      <c r="O10" s="11">
        <v>23.122261246621584</v>
      </c>
      <c r="P10" s="11">
        <v>22.323609241715292</v>
      </c>
      <c r="Q10" s="11">
        <v>23.485353741552693</v>
      </c>
      <c r="R10" s="11">
        <v>26.61461628585398</v>
      </c>
      <c r="S10" s="11">
        <v>27.037282816146728</v>
      </c>
      <c r="T10" s="11">
        <v>23.990280839470124</v>
      </c>
      <c r="U10" s="11">
        <v>23.504853921699688</v>
      </c>
      <c r="V10" s="11">
        <v>24.76710866384548</v>
      </c>
      <c r="W10" s="11">
        <v>26.960259961527282</v>
      </c>
      <c r="X10" s="11">
        <v>27.346021594306077</v>
      </c>
      <c r="Y10" s="11">
        <v>26.593013725460292</v>
      </c>
      <c r="Z10" s="11">
        <v>27.049153492598457</v>
      </c>
      <c r="AA10" s="11">
        <v>27.551235944119274</v>
      </c>
      <c r="AB10" s="11">
        <v>27.963964144204844</v>
      </c>
      <c r="AC10" s="11">
        <v>28.35043023214546</v>
      </c>
      <c r="AD10" s="11">
        <v>28.726089492049589</v>
      </c>
      <c r="AE10">
        <v>29.100880346394483</v>
      </c>
      <c r="AF10">
        <v>29.467709046501401</v>
      </c>
      <c r="AG10">
        <v>29.854837439672554</v>
      </c>
      <c r="AH10">
        <v>30.240938307370413</v>
      </c>
      <c r="AI10" s="11">
        <v>30.639598651486057</v>
      </c>
      <c r="AJ10" s="11">
        <v>31.061220205201501</v>
      </c>
      <c r="AK10" s="11">
        <v>31.467228706887536</v>
      </c>
      <c r="AL10" s="11">
        <v>31.84345749255802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232" t="str">
        <f>name!F7</f>
        <v>RQF5 Foundation degree;Nursing;Teaching</v>
      </c>
      <c r="M11" s="11">
        <v>26.341781759912564</v>
      </c>
      <c r="N11" s="11">
        <v>26.445544427659701</v>
      </c>
      <c r="O11" s="11">
        <v>27.148029996520226</v>
      </c>
      <c r="P11" s="11">
        <v>25.999350689274731</v>
      </c>
      <c r="Q11" s="11">
        <v>26.625759941697492</v>
      </c>
      <c r="R11" s="11">
        <v>27.262700234542468</v>
      </c>
      <c r="S11" s="11">
        <v>29.099100080495969</v>
      </c>
      <c r="T11" s="11">
        <v>26.612028259343695</v>
      </c>
      <c r="U11" s="11">
        <v>25.040433656387943</v>
      </c>
      <c r="V11" s="11">
        <v>24.998245553760128</v>
      </c>
      <c r="W11" s="11">
        <v>27.827400007193688</v>
      </c>
      <c r="X11" s="11">
        <v>27.548865771429099</v>
      </c>
      <c r="Y11" s="11">
        <v>26.48633045134153</v>
      </c>
      <c r="Z11" s="11">
        <v>26.682724140660564</v>
      </c>
      <c r="AA11" s="11">
        <v>26.938975650833388</v>
      </c>
      <c r="AB11" s="11">
        <v>27.122890296340106</v>
      </c>
      <c r="AC11" s="11">
        <v>27.291224644991171</v>
      </c>
      <c r="AD11" s="11">
        <v>27.466835022538977</v>
      </c>
      <c r="AE11">
        <v>27.62895387549198</v>
      </c>
      <c r="AF11">
        <v>27.857319652867524</v>
      </c>
      <c r="AG11">
        <v>28.098165836162636</v>
      </c>
      <c r="AH11">
        <v>28.34766385552302</v>
      </c>
      <c r="AI11" s="11">
        <v>28.620652874133807</v>
      </c>
      <c r="AJ11" s="11">
        <v>28.900143687957435</v>
      </c>
      <c r="AK11" s="11">
        <v>29.188075228172142</v>
      </c>
      <c r="AL11" s="11">
        <v>29.459577091677122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232" t="str">
        <f>name!F6</f>
        <v>RQF6 First degree</v>
      </c>
      <c r="M12" s="11">
        <v>63.452769163924188</v>
      </c>
      <c r="N12" s="11">
        <v>66.816627284745778</v>
      </c>
      <c r="O12" s="11">
        <v>70.590050233683442</v>
      </c>
      <c r="P12" s="11">
        <v>70.846513353487978</v>
      </c>
      <c r="Q12" s="11">
        <v>75.733302581678274</v>
      </c>
      <c r="R12" s="11">
        <v>83.671480205469024</v>
      </c>
      <c r="S12" s="11">
        <v>87.402102773251045</v>
      </c>
      <c r="T12" s="11">
        <v>82.024676470865245</v>
      </c>
      <c r="U12" s="11">
        <v>78.943948994443502</v>
      </c>
      <c r="V12" s="11">
        <v>81.914992761114462</v>
      </c>
      <c r="W12" s="11">
        <v>91.034053021034552</v>
      </c>
      <c r="X12" s="11">
        <v>93.208352502270955</v>
      </c>
      <c r="Y12" s="11">
        <v>91.763756139120488</v>
      </c>
      <c r="Z12" s="11">
        <v>93.670133295839307</v>
      </c>
      <c r="AA12" s="11">
        <v>95.722787275191308</v>
      </c>
      <c r="AB12" s="11">
        <v>97.47831372544357</v>
      </c>
      <c r="AC12" s="11">
        <v>99.08443307461124</v>
      </c>
      <c r="AD12" s="11">
        <v>100.61702969385607</v>
      </c>
      <c r="AE12">
        <v>102.15534085555676</v>
      </c>
      <c r="AF12">
        <v>103.63017468683526</v>
      </c>
      <c r="AG12">
        <v>105.11756533728824</v>
      </c>
      <c r="AH12">
        <v>106.57317893845489</v>
      </c>
      <c r="AI12">
        <v>107.99152702657545</v>
      </c>
      <c r="AJ12">
        <v>109.38631200624071</v>
      </c>
      <c r="AK12">
        <v>110.76862282004035</v>
      </c>
      <c r="AL12">
        <v>112.09012461141087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232" t="str">
        <f>name!F5</f>
        <v>RQF7 Other higher degree</v>
      </c>
      <c r="M13" s="11">
        <v>29.369595795282642</v>
      </c>
      <c r="N13" s="11">
        <v>24.54660893874459</v>
      </c>
      <c r="O13" s="11">
        <v>27.161240968900326</v>
      </c>
      <c r="P13" s="11">
        <v>28.876646791678212</v>
      </c>
      <c r="Q13" s="11">
        <v>28.502507438889939</v>
      </c>
      <c r="R13" s="11">
        <v>34.372407642251311</v>
      </c>
      <c r="S13" s="11">
        <v>36.220834681574104</v>
      </c>
      <c r="T13" s="11">
        <v>37.061370719350705</v>
      </c>
      <c r="U13" s="11">
        <v>42.351476604244496</v>
      </c>
      <c r="V13" s="11">
        <v>47.972540866402163</v>
      </c>
      <c r="W13" s="11">
        <v>47.914257000986936</v>
      </c>
      <c r="X13" s="11">
        <v>48.24105668618806</v>
      </c>
      <c r="Y13" s="11">
        <v>52.190025602387401</v>
      </c>
      <c r="Z13" s="11">
        <v>55.027070348848198</v>
      </c>
      <c r="AA13" s="11">
        <v>57.992305806982714</v>
      </c>
      <c r="AB13" s="11">
        <v>60.815722937880487</v>
      </c>
      <c r="AC13" s="11">
        <v>63.586594552781726</v>
      </c>
      <c r="AD13" s="11">
        <v>66.347271898711142</v>
      </c>
      <c r="AE13">
        <v>69.138495857059269</v>
      </c>
      <c r="AF13">
        <v>71.950097742347609</v>
      </c>
      <c r="AG13">
        <v>74.800949998063174</v>
      </c>
      <c r="AH13">
        <v>77.663915129666719</v>
      </c>
      <c r="AI13">
        <v>80.547035794931219</v>
      </c>
      <c r="AJ13">
        <v>83.455217723455092</v>
      </c>
      <c r="AK13">
        <v>86.366267690870316</v>
      </c>
      <c r="AL13">
        <v>89.255741610816983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232" t="str">
        <f>name!F4</f>
        <v>RQF8 Doctorate</v>
      </c>
      <c r="M14" s="11">
        <v>4.2948972299857022</v>
      </c>
      <c r="N14" s="11">
        <v>3.7675721584002231</v>
      </c>
      <c r="O14" s="11">
        <v>4.1283806988598855</v>
      </c>
      <c r="P14" s="11">
        <v>4.3548014813228555</v>
      </c>
      <c r="Q14" s="11">
        <v>4.5166427743056419</v>
      </c>
      <c r="R14" s="11">
        <v>5.3073112621041885</v>
      </c>
      <c r="S14" s="11">
        <v>5.5492077728044196</v>
      </c>
      <c r="T14" s="11">
        <v>5.6463272308383496</v>
      </c>
      <c r="U14" s="11">
        <v>6.4225565826442628</v>
      </c>
      <c r="V14" s="11">
        <v>7.3068406233036978</v>
      </c>
      <c r="W14" s="11">
        <v>7.09130857909346</v>
      </c>
      <c r="X14" s="11">
        <v>7.2307013580305668</v>
      </c>
      <c r="Y14" s="11">
        <v>7.8731865686593041</v>
      </c>
      <c r="Z14" s="11">
        <v>8.2984580579300662</v>
      </c>
      <c r="AA14" s="11">
        <v>8.7463081240119394</v>
      </c>
      <c r="AB14" s="11">
        <v>9.1761754867629843</v>
      </c>
      <c r="AC14" s="11">
        <v>9.6023447355417062</v>
      </c>
      <c r="AD14" s="11">
        <v>10.030648853522329</v>
      </c>
      <c r="AE14">
        <v>10.451316059819348</v>
      </c>
      <c r="AF14">
        <v>10.870992849336485</v>
      </c>
      <c r="AG14">
        <v>11.299405601177163</v>
      </c>
      <c r="AH14">
        <v>11.731043459865353</v>
      </c>
      <c r="AI14">
        <v>12.166841805112625</v>
      </c>
      <c r="AJ14">
        <v>12.602312103366007</v>
      </c>
      <c r="AK14">
        <v>13.046095352592607</v>
      </c>
      <c r="AL14">
        <v>13.484206138990896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80" t="str">
        <f>CONCATENATE("Qualification Figure 1.1  Employment by Qualification, ",$M$2,"-",$O$2,Info!B9,", ",Info!B5)</f>
        <v>Qualification Figure 1.1  Employment by Qualification, 2010-2035, Black Country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91" customWidth="1"/>
    <col min="2" max="6" width="11.7265625" style="91" customWidth="1"/>
    <col min="7" max="7" width="5.7265625" style="91" customWidth="1"/>
    <col min="8" max="12" width="11.7265625" style="91" customWidth="1"/>
    <col min="13" max="16384" width="9.1796875" style="91"/>
  </cols>
  <sheetData>
    <row r="1" spans="1:12" ht="15.5" x14ac:dyDescent="0.3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117"/>
      <c r="L3" s="117" t="s">
        <v>20</v>
      </c>
    </row>
    <row r="4" spans="1:12" ht="13" x14ac:dyDescent="0.3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ht="13" x14ac:dyDescent="0.3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ht="13" x14ac:dyDescent="0.3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5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5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5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5">
      <c r="H11" s="94"/>
      <c r="I11" s="94"/>
      <c r="J11" s="94"/>
      <c r="K11" s="94"/>
      <c r="L11" s="94"/>
    </row>
    <row r="12" spans="1:12" s="122" customFormat="1" ht="13" x14ac:dyDescent="0.3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5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5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5">
      <c r="H15" s="94"/>
      <c r="I15" s="94"/>
      <c r="J15" s="94"/>
      <c r="K15" s="94"/>
      <c r="L15" s="94"/>
    </row>
    <row r="16" spans="1:12" s="122" customFormat="1" ht="13" x14ac:dyDescent="0.3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5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5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5">
      <c r="H19" s="94"/>
      <c r="I19" s="94"/>
      <c r="J19" s="94"/>
      <c r="K19" s="94"/>
      <c r="L19" s="94"/>
    </row>
    <row r="20" spans="1:12" x14ac:dyDescent="0.25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5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topLeftCell="A40" zoomScale="85" zoomScaleNormal="85" zoomScaleSheetLayoutView="85" workbookViewId="0"/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10.1796875" style="130" customWidth="1"/>
    <col min="4" max="4" width="3.7265625" style="130" customWidth="1"/>
    <col min="5" max="6" width="10.179687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5" width="10.1796875" style="130" customWidth="1"/>
    <col min="16" max="16" width="3.7265625" style="130" customWidth="1"/>
    <col min="17" max="18" width="10.1796875" style="130" customWidth="1"/>
    <col min="19" max="19" width="9.1796875" style="130"/>
    <col min="20" max="20" width="16.7265625" style="130" customWidth="1"/>
    <col min="21" max="21" width="9.1796875" style="130"/>
    <col min="22" max="22" width="8.81640625" style="130" customWidth="1"/>
    <col min="23" max="41" width="9.1796875" style="130"/>
    <col min="42" max="46" width="9.1796875" style="137" customWidth="1"/>
    <col min="47" max="49" width="9.1796875" style="130"/>
    <col min="50" max="50" width="9.1796875" style="130" customWidth="1"/>
    <col min="51" max="16384" width="9.1796875" style="130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Black Country</v>
      </c>
      <c r="W1" s="203" t="str">
        <f>CONCATENATE("Shift-share Figure 1: Levels of Employment, ",C4," - ",F40,", ",Info!B5)</f>
        <v>Shift-share Figure 1: Levels of Employment, 2015 - 2035, Black Country</v>
      </c>
      <c r="AK1" s="203" t="str">
        <f>CONCATENATE("Shift-share Figure 1.1: Net Changes, ",C4,"-",F40,", ",Info!B5)</f>
        <v>Shift-share Figure 1.1: Net Changes, 2015-2035, Black Country</v>
      </c>
    </row>
    <row r="2" spans="1:97" ht="18.75" customHeight="1" x14ac:dyDescent="0.4">
      <c r="A2" s="136" t="s">
        <v>522</v>
      </c>
      <c r="W2" s="203"/>
      <c r="AK2" s="203"/>
    </row>
    <row r="3" spans="1:97" ht="13" x14ac:dyDescent="0.3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ht="13" x14ac:dyDescent="0.3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ht="13" x14ac:dyDescent="0.3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ht="13" x14ac:dyDescent="0.3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ht="13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5">
      <c r="A8" s="10" t="str">
        <f>name!$D4</f>
        <v>11 Corporate managers and directors</v>
      </c>
      <c r="B8" s="151">
        <v>29.880785800881412</v>
      </c>
      <c r="C8" s="141">
        <f t="shared" ref="C8:C33" si="0">B8/B$35*100</f>
        <v>5.9104097619839706</v>
      </c>
      <c r="E8" s="151">
        <v>34.458283214558655</v>
      </c>
      <c r="F8" s="141">
        <f t="shared" ref="F8:F33" si="1">E8/E$35*100</f>
        <v>6.9445183163356754</v>
      </c>
      <c r="H8" s="151">
        <f>E8-B8</f>
        <v>4.5774974136772428</v>
      </c>
      <c r="I8" s="141">
        <f>IF(B8&lt;&gt;0,((E8/B8)-1)*100,0)</f>
        <v>15.319200251896369</v>
      </c>
      <c r="K8" s="207">
        <f t="shared" ref="K8:K33" si="2">(($E$35/$B$35)-1)*B8</f>
        <v>-0.55368718650265691</v>
      </c>
      <c r="L8" s="141">
        <f>IF(B8&lt;&gt;0,K8/B8*100,0)</f>
        <v>-1.8529873685126597</v>
      </c>
      <c r="N8" s="151">
        <f>H8-(K8+Q8)</f>
        <v>5.6364679932006139</v>
      </c>
      <c r="O8" s="141">
        <f>IF(B8&lt;&gt;0,N8/B8*100,0)</f>
        <v>18.863185294927391</v>
      </c>
      <c r="Q8" s="151">
        <v>-0.50528339302071423</v>
      </c>
      <c r="R8" s="141">
        <f>IF(B8&lt;&gt;0,Q8/B8*100,0)</f>
        <v>-1.6909976745183508</v>
      </c>
      <c r="AT8" s="137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51">
        <v>12.511934815118927</v>
      </c>
      <c r="C9" s="141">
        <f t="shared" si="0"/>
        <v>2.4748566575650313</v>
      </c>
      <c r="E9" s="151">
        <v>13.203950057125674</v>
      </c>
      <c r="F9" s="141">
        <f t="shared" si="1"/>
        <v>2.6610458927608294</v>
      </c>
      <c r="H9" s="151">
        <f t="shared" ref="H9:H32" si="3">E9-B9</f>
        <v>0.69201524200674669</v>
      </c>
      <c r="I9" s="141">
        <f t="shared" ref="I9:I32" si="4">IF(B9&lt;&gt;0,((E9/B9)-1)*100,0)</f>
        <v>5.5308411707080118</v>
      </c>
      <c r="K9" s="207">
        <f t="shared" si="2"/>
        <v>-0.23184457168069153</v>
      </c>
      <c r="L9" s="141">
        <f t="shared" ref="L9:L32" si="5">IF(B9&lt;&gt;0,K9/B9*100,0)</f>
        <v>-1.8529873685126597</v>
      </c>
      <c r="N9" s="151">
        <f t="shared" ref="N9:N31" si="6">H9-(K9+Q9)</f>
        <v>0.88269464944969667</v>
      </c>
      <c r="O9" s="141">
        <f>IF(B9&lt;&gt;0,N9/B9*100,0)</f>
        <v>7.0548213565106126</v>
      </c>
      <c r="Q9" s="151">
        <v>4.1165164237741546E-2</v>
      </c>
      <c r="R9" s="141">
        <f>IF(B9&lt;&gt;0,Q9/B9*100,0)</f>
        <v>0.32900718271005691</v>
      </c>
      <c r="T9" s="136"/>
    </row>
    <row r="10" spans="1:97" x14ac:dyDescent="0.25">
      <c r="A10" s="10" t="str">
        <f>name!$D6</f>
        <v>21 Science, research, engineering and technology professionals</v>
      </c>
      <c r="B10" s="151">
        <v>23.692567314037618</v>
      </c>
      <c r="C10" s="141">
        <f t="shared" si="0"/>
        <v>4.6863821477954453</v>
      </c>
      <c r="E10" s="151">
        <v>26.685661715036868</v>
      </c>
      <c r="F10" s="141">
        <f t="shared" si="1"/>
        <v>5.3780702134723235</v>
      </c>
      <c r="H10" s="151">
        <f t="shared" si="3"/>
        <v>2.9930944009992508</v>
      </c>
      <c r="I10" s="141">
        <f t="shared" si="4"/>
        <v>12.633052219823693</v>
      </c>
      <c r="K10" s="207">
        <f t="shared" si="2"/>
        <v>-0.43902027960547618</v>
      </c>
      <c r="L10" s="141">
        <f t="shared" si="5"/>
        <v>-1.8529873685126597</v>
      </c>
      <c r="N10" s="151">
        <f t="shared" si="6"/>
        <v>4.1147761152359585</v>
      </c>
      <c r="O10" s="141">
        <f t="shared" ref="O10:O32" si="7">IF(B10&lt;&gt;0,N10/B10*100,0)</f>
        <v>17.36737121265028</v>
      </c>
      <c r="Q10" s="151">
        <v>-0.68266143463123152</v>
      </c>
      <c r="R10" s="141">
        <f t="shared" ref="R10:R32" si="8">IF(B10&lt;&gt;0,Q10/B10*100,0)</f>
        <v>-2.8813316243139306</v>
      </c>
      <c r="AT10" s="137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51">
        <v>21.674771905892207</v>
      </c>
      <c r="C11" s="141">
        <f t="shared" si="0"/>
        <v>4.2872628690234231</v>
      </c>
      <c r="E11" s="151">
        <v>26.829030859021046</v>
      </c>
      <c r="F11" s="141">
        <f t="shared" si="1"/>
        <v>5.4069639816323924</v>
      </c>
      <c r="H11" s="151">
        <f>E11-B11</f>
        <v>5.1542589531288385</v>
      </c>
      <c r="I11" s="141">
        <f>IF(B11&lt;&gt;0,((E11/B11)-1)*100,0)</f>
        <v>23.779991667306422</v>
      </c>
      <c r="K11" s="207">
        <f t="shared" si="2"/>
        <v>-0.40163078557011328</v>
      </c>
      <c r="L11" s="141">
        <f t="shared" si="5"/>
        <v>-1.8529873685126597</v>
      </c>
      <c r="N11" s="151">
        <f t="shared" si="6"/>
        <v>2.6432673756183016</v>
      </c>
      <c r="O11" s="141">
        <f t="shared" si="7"/>
        <v>12.195133527101797</v>
      </c>
      <c r="Q11" s="151">
        <v>2.9126223630806503</v>
      </c>
      <c r="R11" s="141">
        <f>IF(B11&lt;&gt;0,Q11/B11*100,0)</f>
        <v>13.437845508717277</v>
      </c>
      <c r="T11" s="136"/>
    </row>
    <row r="12" spans="1:97" x14ac:dyDescent="0.25">
      <c r="A12" s="10" t="str">
        <f>name!$D8</f>
        <v>23 Teaching and other educational professionals</v>
      </c>
      <c r="B12" s="151">
        <v>19.540374765671238</v>
      </c>
      <c r="C12" s="141">
        <f t="shared" si="0"/>
        <v>3.8650798053792084</v>
      </c>
      <c r="E12" s="151">
        <v>21.982938940498279</v>
      </c>
      <c r="F12" s="141">
        <f t="shared" si="1"/>
        <v>4.4303113178511371</v>
      </c>
      <c r="H12" s="151">
        <f t="shared" si="3"/>
        <v>2.4425641748270408</v>
      </c>
      <c r="I12" s="141">
        <f t="shared" si="4"/>
        <v>12.50008868365291</v>
      </c>
      <c r="K12" s="207">
        <f t="shared" si="2"/>
        <v>-0.36208067616792328</v>
      </c>
      <c r="L12" s="141">
        <f t="shared" si="5"/>
        <v>-1.8529873685126597</v>
      </c>
      <c r="N12" s="151">
        <f t="shared" si="6"/>
        <v>2.4301144936421331</v>
      </c>
      <c r="O12" s="141">
        <f t="shared" si="7"/>
        <v>12.436376081749399</v>
      </c>
      <c r="Q12" s="151">
        <v>0.37453035735283086</v>
      </c>
      <c r="R12" s="141">
        <f t="shared" si="8"/>
        <v>1.9166999704161776</v>
      </c>
      <c r="AT12" s="137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51">
        <v>22.80619365915933</v>
      </c>
      <c r="C13" s="141">
        <f t="shared" si="0"/>
        <v>4.5110577256912743</v>
      </c>
      <c r="E13" s="151">
        <v>27.886221209663034</v>
      </c>
      <c r="F13" s="141">
        <f t="shared" si="1"/>
        <v>5.6200238635821922</v>
      </c>
      <c r="H13" s="151">
        <f t="shared" si="3"/>
        <v>5.0800275505037042</v>
      </c>
      <c r="I13" s="141">
        <f t="shared" si="4"/>
        <v>22.27477160996343</v>
      </c>
      <c r="K13" s="207">
        <f t="shared" si="2"/>
        <v>-0.42259588774275753</v>
      </c>
      <c r="L13" s="141">
        <f t="shared" si="5"/>
        <v>-1.8529873685126597</v>
      </c>
      <c r="N13" s="151">
        <f>H13-(K13+Q13)</f>
        <v>6.1659266810220865</v>
      </c>
      <c r="O13" s="141">
        <f>IF(B13&lt;&gt;0,N13/B13*100,0)</f>
        <v>27.036193646219225</v>
      </c>
      <c r="Q13" s="151">
        <v>-0.66330324277562469</v>
      </c>
      <c r="R13" s="141">
        <f t="shared" si="8"/>
        <v>-2.9084346677431268</v>
      </c>
      <c r="T13" s="136"/>
    </row>
    <row r="14" spans="1:97" x14ac:dyDescent="0.25">
      <c r="A14" s="10" t="str">
        <f>name!$D10</f>
        <v>31 Science, engineering and technology associate professionals</v>
      </c>
      <c r="B14" s="151">
        <v>7.6396337675645318</v>
      </c>
      <c r="C14" s="141">
        <f t="shared" si="0"/>
        <v>1.5111170870367094</v>
      </c>
      <c r="E14" s="151">
        <v>8.7583830870047237</v>
      </c>
      <c r="F14" s="141">
        <f t="shared" si="1"/>
        <v>1.7651126549302736</v>
      </c>
      <c r="H14" s="151">
        <f t="shared" si="3"/>
        <v>1.1187493194401918</v>
      </c>
      <c r="I14" s="141">
        <f t="shared" si="4"/>
        <v>14.644017677785115</v>
      </c>
      <c r="K14" s="207">
        <f t="shared" si="2"/>
        <v>-0.14156144871359858</v>
      </c>
      <c r="L14" s="141">
        <f>IF(B14&lt;&gt;0,K14/B14*100,0)</f>
        <v>-1.8529873685126597</v>
      </c>
      <c r="N14" s="151">
        <f t="shared" si="6"/>
        <v>1.6471197826710133</v>
      </c>
      <c r="O14" s="141">
        <f t="shared" si="7"/>
        <v>21.560192972393033</v>
      </c>
      <c r="Q14" s="151">
        <v>-0.38680901451722283</v>
      </c>
      <c r="R14" s="141">
        <f t="shared" si="8"/>
        <v>-5.0631879260952477</v>
      </c>
      <c r="AT14" s="137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51">
        <v>9.0328897579836394</v>
      </c>
      <c r="C15" s="141">
        <f t="shared" si="0"/>
        <v>1.7867026710835934</v>
      </c>
      <c r="E15" s="151">
        <v>11.033633555444206</v>
      </c>
      <c r="F15" s="141">
        <f t="shared" si="1"/>
        <v>2.2236531589346509</v>
      </c>
      <c r="H15" s="151">
        <f t="shared" si="3"/>
        <v>2.0007437974605669</v>
      </c>
      <c r="I15" s="141">
        <f t="shared" si="4"/>
        <v>22.149542959850987</v>
      </c>
      <c r="K15" s="207">
        <f t="shared" si="2"/>
        <v>-0.16737830622711058</v>
      </c>
      <c r="L15" s="141">
        <f t="shared" si="5"/>
        <v>-1.8529873685126597</v>
      </c>
      <c r="N15" s="151">
        <f t="shared" si="6"/>
        <v>0.9697767351775175</v>
      </c>
      <c r="O15" s="141">
        <f t="shared" si="7"/>
        <v>10.736063000441126</v>
      </c>
      <c r="Q15" s="151">
        <v>1.1983453685101599</v>
      </c>
      <c r="R15" s="141">
        <f t="shared" si="8"/>
        <v>13.266467327922529</v>
      </c>
      <c r="T15" s="11"/>
    </row>
    <row r="16" spans="1:97" x14ac:dyDescent="0.25">
      <c r="A16" s="10" t="str">
        <f>name!$D12</f>
        <v>33 Protective service occupations</v>
      </c>
      <c r="B16" s="151">
        <v>4.4444232941510675</v>
      </c>
      <c r="C16" s="141">
        <f t="shared" si="0"/>
        <v>0.87910548936650024</v>
      </c>
      <c r="E16" s="151">
        <v>4.7001992247175384</v>
      </c>
      <c r="F16" s="141">
        <f t="shared" si="1"/>
        <v>0.94725031433623486</v>
      </c>
      <c r="H16" s="151">
        <f t="shared" si="3"/>
        <v>0.25577593056647085</v>
      </c>
      <c r="I16" s="141">
        <f t="shared" si="4"/>
        <v>5.7549858246642716</v>
      </c>
      <c r="K16" s="207">
        <f t="shared" si="2"/>
        <v>-8.2354602243853534E-2</v>
      </c>
      <c r="L16" s="141">
        <f t="shared" si="5"/>
        <v>-1.8529873685126597</v>
      </c>
      <c r="N16" s="151">
        <f t="shared" si="6"/>
        <v>0.46945566569636304</v>
      </c>
      <c r="O16" s="141">
        <f t="shared" si="7"/>
        <v>10.562802744602978</v>
      </c>
      <c r="Q16" s="151">
        <v>-0.13132513288603864</v>
      </c>
      <c r="R16" s="141">
        <f t="shared" si="8"/>
        <v>-2.954829551426045</v>
      </c>
      <c r="T16" s="11"/>
    </row>
    <row r="17" spans="1:20" x14ac:dyDescent="0.25">
      <c r="A17" s="10" t="str">
        <f>name!$D13</f>
        <v>34 Culture, media and sports occupations</v>
      </c>
      <c r="B17" s="151">
        <v>7.5269975158661104</v>
      </c>
      <c r="C17" s="141">
        <f t="shared" si="0"/>
        <v>1.4888376728998831</v>
      </c>
      <c r="E17" s="151">
        <v>7.6662439139121092</v>
      </c>
      <c r="F17" s="141">
        <f t="shared" si="1"/>
        <v>1.5450093942917702</v>
      </c>
      <c r="H17" s="151">
        <f t="shared" si="3"/>
        <v>0.13924639804599881</v>
      </c>
      <c r="I17" s="141">
        <f t="shared" si="4"/>
        <v>1.8499593995146446</v>
      </c>
      <c r="K17" s="207">
        <f t="shared" si="2"/>
        <v>-0.1394743131972607</v>
      </c>
      <c r="L17" s="141">
        <f t="shared" si="5"/>
        <v>-1.8529873685126597</v>
      </c>
      <c r="N17" s="151">
        <f t="shared" si="6"/>
        <v>0.56597158608861931</v>
      </c>
      <c r="O17" s="141">
        <f t="shared" si="7"/>
        <v>7.5192211090227055</v>
      </c>
      <c r="Q17" s="151">
        <v>-0.28725087484535983</v>
      </c>
      <c r="R17" s="141">
        <f t="shared" si="8"/>
        <v>-3.8162743409954043</v>
      </c>
      <c r="T17" s="11"/>
    </row>
    <row r="18" spans="1:20" x14ac:dyDescent="0.25">
      <c r="A18" s="10" t="str">
        <f>name!$D14</f>
        <v>35 Business and public service associate professionals</v>
      </c>
      <c r="B18" s="151">
        <v>27.483441028271102</v>
      </c>
      <c r="C18" s="141">
        <f t="shared" si="0"/>
        <v>5.4362157417430685</v>
      </c>
      <c r="E18" s="151">
        <v>28.712103349013955</v>
      </c>
      <c r="F18" s="141">
        <f t="shared" si="1"/>
        <v>5.7864672585750618</v>
      </c>
      <c r="H18" s="151">
        <f t="shared" si="3"/>
        <v>1.2286623207428526</v>
      </c>
      <c r="I18" s="141">
        <f t="shared" si="4"/>
        <v>4.470554904238444</v>
      </c>
      <c r="K18" s="207">
        <f t="shared" si="2"/>
        <v>-0.50926469068648939</v>
      </c>
      <c r="L18" s="141">
        <f t="shared" si="5"/>
        <v>-1.8529873685126597</v>
      </c>
      <c r="N18" s="151">
        <f t="shared" si="6"/>
        <v>2.3800667490670584</v>
      </c>
      <c r="O18" s="141">
        <f t="shared" si="7"/>
        <v>8.6600027508155915</v>
      </c>
      <c r="Q18" s="151">
        <v>-0.64213973763771659</v>
      </c>
      <c r="R18" s="141">
        <f t="shared" si="8"/>
        <v>-2.3364604780644953</v>
      </c>
      <c r="T18" s="11"/>
    </row>
    <row r="19" spans="1:20" x14ac:dyDescent="0.25">
      <c r="A19" s="10" t="str">
        <f>name!$D15</f>
        <v>41 Administrative occupations</v>
      </c>
      <c r="B19" s="151">
        <v>49.138399456658071</v>
      </c>
      <c r="C19" s="141">
        <f t="shared" si="0"/>
        <v>9.7195595113276028</v>
      </c>
      <c r="E19" s="151">
        <v>47.317539575288471</v>
      </c>
      <c r="F19" s="141">
        <f t="shared" si="1"/>
        <v>9.5360966830087524</v>
      </c>
      <c r="H19" s="151">
        <f t="shared" si="3"/>
        <v>-1.8208598813696</v>
      </c>
      <c r="I19" s="141">
        <f t="shared" si="4"/>
        <v>-3.7055742586318163</v>
      </c>
      <c r="K19" s="207">
        <f t="shared" si="2"/>
        <v>-0.91052833502116748</v>
      </c>
      <c r="L19" s="141">
        <f t="shared" si="5"/>
        <v>-1.8529873685126597</v>
      </c>
      <c r="N19" s="151">
        <f t="shared" si="6"/>
        <v>-2.7578521767288589E-2</v>
      </c>
      <c r="O19" s="141">
        <f t="shared" si="7"/>
        <v>-5.612417594434245E-2</v>
      </c>
      <c r="Q19" s="151">
        <v>-0.8827530245811438</v>
      </c>
      <c r="R19" s="141">
        <f t="shared" si="8"/>
        <v>-1.7964627141748184</v>
      </c>
      <c r="T19" s="11"/>
    </row>
    <row r="20" spans="1:20" x14ac:dyDescent="0.25">
      <c r="A20" s="10" t="str">
        <f>name!$D16</f>
        <v>42 Secretarial and related occupations</v>
      </c>
      <c r="B20" s="151">
        <v>10.999553279205763</v>
      </c>
      <c r="C20" s="141">
        <f t="shared" si="0"/>
        <v>2.1757080791684817</v>
      </c>
      <c r="E20" s="151">
        <v>9.2883893892272287</v>
      </c>
      <c r="F20" s="141">
        <f t="shared" si="1"/>
        <v>1.8719269860633592</v>
      </c>
      <c r="H20" s="151">
        <f t="shared" si="3"/>
        <v>-1.7111638899785344</v>
      </c>
      <c r="I20" s="141">
        <f t="shared" si="4"/>
        <v>-15.556667134959245</v>
      </c>
      <c r="K20" s="207">
        <f t="shared" si="2"/>
        <v>-0.20382033285650283</v>
      </c>
      <c r="L20" s="141">
        <f t="shared" si="5"/>
        <v>-1.8529873685126597</v>
      </c>
      <c r="N20" s="151">
        <f t="shared" si="6"/>
        <v>-1.6896900157043888</v>
      </c>
      <c r="O20" s="141">
        <f t="shared" si="7"/>
        <v>-15.361442167825883</v>
      </c>
      <c r="Q20" s="151">
        <v>0.18234645858235723</v>
      </c>
      <c r="R20" s="141">
        <f t="shared" si="8"/>
        <v>1.6577624013793022</v>
      </c>
      <c r="T20" s="11"/>
    </row>
    <row r="21" spans="1:20" x14ac:dyDescent="0.25">
      <c r="A21" s="10" t="str">
        <f>name!$D17</f>
        <v>51 Skilled agricultural and related trades</v>
      </c>
      <c r="B21" s="151">
        <v>4.3313158907234133</v>
      </c>
      <c r="C21" s="141">
        <f t="shared" si="0"/>
        <v>0.85673288157009664</v>
      </c>
      <c r="E21" s="151">
        <v>3.1859142674106149</v>
      </c>
      <c r="F21" s="141">
        <f t="shared" si="1"/>
        <v>0.64207029254900572</v>
      </c>
      <c r="H21" s="151">
        <f t="shared" si="3"/>
        <v>-1.1454016233127984</v>
      </c>
      <c r="I21" s="141">
        <f t="shared" si="4"/>
        <v>-26.444656825099266</v>
      </c>
      <c r="K21" s="207">
        <f t="shared" si="2"/>
        <v>-8.0258736345486442E-2</v>
      </c>
      <c r="L21" s="141">
        <f t="shared" si="5"/>
        <v>-1.8529873685126597</v>
      </c>
      <c r="N21" s="151">
        <f t="shared" si="6"/>
        <v>-0.11082566444875952</v>
      </c>
      <c r="O21" s="141">
        <f t="shared" si="7"/>
        <v>-2.5587065742796584</v>
      </c>
      <c r="Q21" s="151">
        <v>-0.95431722251855233</v>
      </c>
      <c r="R21" s="141">
        <f t="shared" si="8"/>
        <v>-22.032962882306951</v>
      </c>
      <c r="T21" s="11"/>
    </row>
    <row r="22" spans="1:20" x14ac:dyDescent="0.25">
      <c r="A22" s="10" t="str">
        <f>name!$D18</f>
        <v>52 Skilled metal, electrical and electronic trades</v>
      </c>
      <c r="B22" s="151">
        <v>28.622677836919472</v>
      </c>
      <c r="C22" s="141">
        <f t="shared" si="0"/>
        <v>5.6615564138363768</v>
      </c>
      <c r="E22" s="151">
        <v>23.336997409184566</v>
      </c>
      <c r="F22" s="141">
        <f t="shared" si="1"/>
        <v>4.7032002420796211</v>
      </c>
      <c r="H22" s="151">
        <f t="shared" si="3"/>
        <v>-5.2856804277349063</v>
      </c>
      <c r="I22" s="141">
        <f t="shared" si="4"/>
        <v>-18.466757226038013</v>
      </c>
      <c r="K22" s="207">
        <f t="shared" si="2"/>
        <v>-0.53037460484819032</v>
      </c>
      <c r="L22" s="141">
        <f t="shared" si="5"/>
        <v>-1.8529873685126592</v>
      </c>
      <c r="N22" s="151">
        <f t="shared" si="6"/>
        <v>-4.012165860417876</v>
      </c>
      <c r="O22" s="141">
        <f t="shared" si="7"/>
        <v>-14.017437094032873</v>
      </c>
      <c r="Q22" s="151">
        <v>-0.74313996246883973</v>
      </c>
      <c r="R22" s="141">
        <f t="shared" si="8"/>
        <v>-2.5963327634924758</v>
      </c>
      <c r="T22" s="11"/>
    </row>
    <row r="23" spans="1:20" x14ac:dyDescent="0.25">
      <c r="A23" s="10" t="str">
        <f>name!$D19</f>
        <v>53 Skilled construction and building trades</v>
      </c>
      <c r="B23" s="151">
        <v>18.67563056886091</v>
      </c>
      <c r="C23" s="141">
        <f t="shared" si="0"/>
        <v>3.6940336830815808</v>
      </c>
      <c r="E23" s="151">
        <v>17.433599719002551</v>
      </c>
      <c r="F23" s="141">
        <f t="shared" si="1"/>
        <v>3.5134644350803406</v>
      </c>
      <c r="H23" s="151">
        <f t="shared" si="3"/>
        <v>-1.2420308498583594</v>
      </c>
      <c r="I23" s="141">
        <f t="shared" si="4"/>
        <v>-6.6505430447380887</v>
      </c>
      <c r="K23" s="207">
        <f t="shared" si="2"/>
        <v>-0.34605707543108161</v>
      </c>
      <c r="L23" s="141">
        <f t="shared" si="5"/>
        <v>-1.8529873685126597</v>
      </c>
      <c r="N23" s="151">
        <f t="shared" si="6"/>
        <v>-2.5385250248229037</v>
      </c>
      <c r="O23" s="141">
        <f t="shared" si="7"/>
        <v>-13.592713860251395</v>
      </c>
      <c r="Q23" s="151">
        <v>1.6425512503956259</v>
      </c>
      <c r="R23" s="141">
        <f t="shared" si="8"/>
        <v>8.7951581840259685</v>
      </c>
      <c r="T23" s="11"/>
    </row>
    <row r="24" spans="1:20" x14ac:dyDescent="0.25">
      <c r="A24" s="10" t="str">
        <f>name!$D20</f>
        <v>54 Textiles, printing and other skilled trades</v>
      </c>
      <c r="B24" s="151">
        <v>9.669103498426562</v>
      </c>
      <c r="C24" s="141">
        <f t="shared" si="0"/>
        <v>1.9125455430642651</v>
      </c>
      <c r="E24" s="151">
        <v>8.3501192749530908</v>
      </c>
      <c r="F24" s="141">
        <f t="shared" si="1"/>
        <v>1.6828335842338054</v>
      </c>
      <c r="H24" s="151">
        <f t="shared" si="3"/>
        <v>-1.3189842234734712</v>
      </c>
      <c r="I24" s="141">
        <f t="shared" si="4"/>
        <v>-13.641225618156916</v>
      </c>
      <c r="K24" s="207">
        <f t="shared" si="2"/>
        <v>-0.17916726647425987</v>
      </c>
      <c r="L24" s="141">
        <f t="shared" si="5"/>
        <v>-1.8529873685126597</v>
      </c>
      <c r="N24" s="151">
        <f t="shared" si="6"/>
        <v>-1.3440858699801026</v>
      </c>
      <c r="O24" s="141">
        <f t="shared" si="7"/>
        <v>-13.900832380156276</v>
      </c>
      <c r="Q24" s="151">
        <v>0.20426891298089134</v>
      </c>
      <c r="R24" s="141">
        <f t="shared" si="8"/>
        <v>2.1125941305120142</v>
      </c>
      <c r="T24" s="11"/>
    </row>
    <row r="25" spans="1:20" x14ac:dyDescent="0.25">
      <c r="A25" s="10" t="str">
        <f>name!$D21</f>
        <v>61 Caring personal service occupations</v>
      </c>
      <c r="B25" s="151">
        <v>38.549226321705412</v>
      </c>
      <c r="C25" s="141">
        <f t="shared" si="0"/>
        <v>7.6250244918932593</v>
      </c>
      <c r="E25" s="151">
        <v>39.805845710644</v>
      </c>
      <c r="F25" s="141">
        <f t="shared" si="1"/>
        <v>8.022234390307819</v>
      </c>
      <c r="H25" s="151">
        <f t="shared" si="3"/>
        <v>1.2566193889385886</v>
      </c>
      <c r="I25" s="141">
        <f t="shared" si="4"/>
        <v>3.2597784932224094</v>
      </c>
      <c r="K25" s="207">
        <f t="shared" si="2"/>
        <v>-0.71431229440055866</v>
      </c>
      <c r="L25" s="141">
        <f t="shared" si="5"/>
        <v>-1.8529873685126597</v>
      </c>
      <c r="N25" s="151">
        <f t="shared" si="6"/>
        <v>-1.9953358835520367</v>
      </c>
      <c r="O25" s="141">
        <f t="shared" si="7"/>
        <v>-5.176072450586509</v>
      </c>
      <c r="Q25" s="151">
        <v>3.966267566891184</v>
      </c>
      <c r="R25" s="141">
        <f t="shared" si="8"/>
        <v>10.288838312321587</v>
      </c>
      <c r="T25" s="11"/>
    </row>
    <row r="26" spans="1:20" x14ac:dyDescent="0.25">
      <c r="A26" s="10" t="str">
        <f>name!$D22</f>
        <v>62 Leisure, travel and related personal service occupations</v>
      </c>
      <c r="B26" s="151">
        <v>11.482295485656088</v>
      </c>
      <c r="C26" s="141">
        <f t="shared" si="0"/>
        <v>2.2711943313888474</v>
      </c>
      <c r="E26" s="151">
        <v>9.1467848880288667</v>
      </c>
      <c r="F26" s="141">
        <f t="shared" si="1"/>
        <v>1.8433888535590643</v>
      </c>
      <c r="H26" s="151">
        <f t="shared" si="3"/>
        <v>-2.3355105976272217</v>
      </c>
      <c r="I26" s="141">
        <f t="shared" si="4"/>
        <v>-20.340101859813554</v>
      </c>
      <c r="K26" s="207">
        <f t="shared" si="2"/>
        <v>-0.21276548496450667</v>
      </c>
      <c r="L26" s="141">
        <f t="shared" si="5"/>
        <v>-1.8529873685126597</v>
      </c>
      <c r="N26" s="151">
        <f t="shared" si="6"/>
        <v>-1.2551256661197998</v>
      </c>
      <c r="O26" s="141">
        <f t="shared" si="7"/>
        <v>-10.930964698545928</v>
      </c>
      <c r="Q26" s="151">
        <v>-0.86761944654291512</v>
      </c>
      <c r="R26" s="141">
        <f t="shared" si="8"/>
        <v>-7.5561497927549643</v>
      </c>
      <c r="T26" s="11"/>
    </row>
    <row r="27" spans="1:20" x14ac:dyDescent="0.25">
      <c r="A27" s="10" t="str">
        <f>name!$D23</f>
        <v>63 Community and civil enforcement occupations</v>
      </c>
      <c r="B27" s="151">
        <v>0.44667082132503055</v>
      </c>
      <c r="C27" s="141">
        <f t="shared" si="0"/>
        <v>8.8351343915292369E-2</v>
      </c>
      <c r="E27" s="151">
        <v>0.45801284753679466</v>
      </c>
      <c r="F27" s="141">
        <f t="shared" si="1"/>
        <v>9.2305196664368067E-2</v>
      </c>
      <c r="H27" s="151">
        <f t="shared" si="3"/>
        <v>1.1342026211764111E-2</v>
      </c>
      <c r="I27" s="141">
        <f t="shared" si="4"/>
        <v>2.5392359810113563</v>
      </c>
      <c r="K27" s="207">
        <f t="shared" si="2"/>
        <v>-8.2767538979845682E-3</v>
      </c>
      <c r="L27" s="141">
        <f t="shared" si="5"/>
        <v>-1.8529873685126597</v>
      </c>
      <c r="N27" s="151">
        <f t="shared" si="6"/>
        <v>3.2863535594718503E-2</v>
      </c>
      <c r="O27" s="141">
        <f t="shared" si="7"/>
        <v>7.3574395339346736</v>
      </c>
      <c r="Q27" s="151">
        <v>-1.3244755484969823E-2</v>
      </c>
      <c r="R27" s="141">
        <f t="shared" si="8"/>
        <v>-2.965216184410659</v>
      </c>
      <c r="T27" s="172"/>
    </row>
    <row r="28" spans="1:20" x14ac:dyDescent="0.25">
      <c r="A28" s="10" t="str">
        <f>name!$D24</f>
        <v>71 Sales occupations</v>
      </c>
      <c r="B28" s="151">
        <v>34.223800198352485</v>
      </c>
      <c r="C28" s="141">
        <f t="shared" si="0"/>
        <v>6.7694566044031141</v>
      </c>
      <c r="E28" s="151">
        <v>30.191807825248862</v>
      </c>
      <c r="F28" s="141">
        <f t="shared" si="1"/>
        <v>6.0846781350134931</v>
      </c>
      <c r="H28" s="151">
        <f t="shared" si="3"/>
        <v>-4.0319923731036234</v>
      </c>
      <c r="I28" s="141">
        <f t="shared" si="4"/>
        <v>-11.781252665499498</v>
      </c>
      <c r="K28" s="207">
        <f t="shared" si="2"/>
        <v>-0.63416269470048214</v>
      </c>
      <c r="L28" s="141">
        <f t="shared" si="5"/>
        <v>-1.8529873685126597</v>
      </c>
      <c r="N28" s="151">
        <f>H28-(K28+Q28)</f>
        <v>-2.5848883181642077</v>
      </c>
      <c r="O28" s="141">
        <f t="shared" si="7"/>
        <v>-7.5528968237976182</v>
      </c>
      <c r="Q28" s="151">
        <v>-0.81294136023893349</v>
      </c>
      <c r="R28" s="141">
        <f t="shared" si="8"/>
        <v>-2.3753684731892166</v>
      </c>
      <c r="T28" s="11"/>
    </row>
    <row r="29" spans="1:20" x14ac:dyDescent="0.25">
      <c r="A29" s="10" t="str">
        <f>name!$D25</f>
        <v>72 Customer service occupations</v>
      </c>
      <c r="B29" s="151">
        <v>9.0886906437377402</v>
      </c>
      <c r="C29" s="141">
        <f t="shared" si="0"/>
        <v>1.7977400682285729</v>
      </c>
      <c r="E29" s="151">
        <v>9.1178307619805707</v>
      </c>
      <c r="F29" s="141">
        <f t="shared" si="1"/>
        <v>1.8375536104790802</v>
      </c>
      <c r="H29" s="151">
        <f t="shared" si="3"/>
        <v>2.9140118242830582E-2</v>
      </c>
      <c r="I29" s="141">
        <f t="shared" si="4"/>
        <v>0.32061954119770864</v>
      </c>
      <c r="K29" s="207">
        <f t="shared" si="2"/>
        <v>-0.16841228959165225</v>
      </c>
      <c r="L29" s="141">
        <f t="shared" si="5"/>
        <v>-1.8529873685126597</v>
      </c>
      <c r="N29" s="151">
        <f t="shared" si="6"/>
        <v>0.76123796308691616</v>
      </c>
      <c r="O29" s="141">
        <f t="shared" si="7"/>
        <v>8.3756614998379533</v>
      </c>
      <c r="Q29" s="151">
        <v>-0.56368555525243336</v>
      </c>
      <c r="R29" s="141">
        <f t="shared" si="8"/>
        <v>-6.2020545901275907</v>
      </c>
      <c r="T29" s="11"/>
    </row>
    <row r="30" spans="1:20" x14ac:dyDescent="0.25">
      <c r="A30" s="10" t="str">
        <f>name!$D26</f>
        <v>81 Process, plant and machine operatives</v>
      </c>
      <c r="B30" s="151">
        <v>23.017676946693587</v>
      </c>
      <c r="C30" s="141">
        <f t="shared" si="0"/>
        <v>4.552889051529502</v>
      </c>
      <c r="E30" s="151">
        <v>18.31625402877377</v>
      </c>
      <c r="F30" s="141">
        <f t="shared" si="1"/>
        <v>3.6913493570606986</v>
      </c>
      <c r="H30" s="151">
        <f t="shared" si="3"/>
        <v>-4.7014229179198175</v>
      </c>
      <c r="I30" s="141">
        <f t="shared" si="4"/>
        <v>-20.4252711027607</v>
      </c>
      <c r="K30" s="207">
        <f t="shared" si="2"/>
        <v>-0.42651464634728259</v>
      </c>
      <c r="L30" s="141">
        <f t="shared" si="5"/>
        <v>-1.8529873685126597</v>
      </c>
      <c r="N30" s="151">
        <f t="shared" si="6"/>
        <v>-3.5045341729141422</v>
      </c>
      <c r="O30" s="141">
        <f t="shared" si="7"/>
        <v>-15.225403419425247</v>
      </c>
      <c r="Q30" s="151">
        <v>-0.77037409865839279</v>
      </c>
      <c r="R30" s="141">
        <f t="shared" si="8"/>
        <v>-3.3468803148227977</v>
      </c>
      <c r="T30" s="11"/>
    </row>
    <row r="31" spans="1:20" x14ac:dyDescent="0.25">
      <c r="A31" s="10" t="str">
        <f>name!$D27</f>
        <v>82 Transport and mobile machine drivers and operatives</v>
      </c>
      <c r="B31" s="151">
        <v>24.123007113083549</v>
      </c>
      <c r="C31" s="141">
        <f t="shared" si="0"/>
        <v>4.7715230007562948</v>
      </c>
      <c r="E31" s="151">
        <v>21.951501270507791</v>
      </c>
      <c r="F31" s="141">
        <f t="shared" si="1"/>
        <v>4.4239755560340877</v>
      </c>
      <c r="H31" s="151">
        <f t="shared" si="3"/>
        <v>-2.1715058425757583</v>
      </c>
      <c r="I31" s="141">
        <f t="shared" si="4"/>
        <v>-9.0018040967952295</v>
      </c>
      <c r="K31" s="207">
        <f t="shared" si="2"/>
        <v>-0.44699627471084857</v>
      </c>
      <c r="L31" s="141">
        <f t="shared" si="5"/>
        <v>-1.8529873685126597</v>
      </c>
      <c r="N31" s="151">
        <f t="shared" si="6"/>
        <v>-1.2539015659635913</v>
      </c>
      <c r="O31" s="141">
        <f t="shared" si="7"/>
        <v>-5.1979488298683751</v>
      </c>
      <c r="Q31" s="151">
        <v>-0.47060800190131852</v>
      </c>
      <c r="R31" s="141">
        <f t="shared" si="8"/>
        <v>-1.9508678984141898</v>
      </c>
      <c r="T31" s="11"/>
    </row>
    <row r="32" spans="1:20" x14ac:dyDescent="0.25">
      <c r="A32" s="10" t="str">
        <f>name!$D28</f>
        <v>91 Elementary trades and related occupations</v>
      </c>
      <c r="B32" s="151">
        <v>11.487443580203083</v>
      </c>
      <c r="C32" s="141">
        <f t="shared" si="0"/>
        <v>2.272212622824318</v>
      </c>
      <c r="E32" s="151">
        <v>8.6428835980951746</v>
      </c>
      <c r="F32" s="141">
        <f t="shared" si="1"/>
        <v>1.7418355719930452</v>
      </c>
      <c r="H32" s="151">
        <f t="shared" si="3"/>
        <v>-2.8445599821079082</v>
      </c>
      <c r="I32" s="141">
        <f t="shared" si="4"/>
        <v>-24.762341266337874</v>
      </c>
      <c r="K32" s="207">
        <f t="shared" si="2"/>
        <v>-0.21286087850618157</v>
      </c>
      <c r="L32" s="141">
        <f t="shared" si="5"/>
        <v>-1.8529873685126597</v>
      </c>
      <c r="N32" s="151">
        <f>H32-(K32+Q32)</f>
        <v>-2.2972827472239978</v>
      </c>
      <c r="O32" s="141">
        <f t="shared" si="7"/>
        <v>-19.998207009112335</v>
      </c>
      <c r="Q32" s="151">
        <v>-0.33441635637772882</v>
      </c>
      <c r="R32" s="141">
        <f t="shared" si="8"/>
        <v>-2.911146888712874</v>
      </c>
      <c r="T32" s="11"/>
    </row>
    <row r="33" spans="1:20" x14ac:dyDescent="0.25">
      <c r="A33" s="10" t="str">
        <f>name!$D29</f>
        <v>92 Elementary administration and service occupations</v>
      </c>
      <c r="B33" s="151">
        <v>45.472494733851818</v>
      </c>
      <c r="C33" s="141">
        <f t="shared" si="0"/>
        <v>8.9944447434442854</v>
      </c>
      <c r="E33" s="151">
        <v>37.733870308121773</v>
      </c>
      <c r="F33" s="141">
        <f t="shared" si="1"/>
        <v>7.6046607391709209</v>
      </c>
      <c r="H33" s="151">
        <f t="shared" ref="H33" si="9">E33-B33</f>
        <v>-7.7386244257300447</v>
      </c>
      <c r="I33" s="141">
        <f>IF(B33&lt;&gt;0,((E33/B33)-1)*100,0)</f>
        <v>-17.018253498128523</v>
      </c>
      <c r="K33" s="207">
        <f t="shared" si="2"/>
        <v>-0.84259958356585851</v>
      </c>
      <c r="L33" s="141">
        <f t="shared" ref="L33" si="10">IF(B33&lt;&gt;0,K33/B33*100,0)</f>
        <v>-1.8529873685126597</v>
      </c>
      <c r="N33" s="151">
        <f>H33-(K33+Q33)</f>
        <v>-6.085800014471503</v>
      </c>
      <c r="O33" s="141">
        <f t="shared" ref="O33" si="11">IF(B33&lt;&gt;0,N33/B33*100,0)</f>
        <v>-13.383475109714956</v>
      </c>
      <c r="Q33" s="151">
        <v>-0.81022482769268345</v>
      </c>
      <c r="R33" s="141">
        <f t="shared" ref="R33" si="12">IF(B33&lt;&gt;0,Q33/B33*100,0)</f>
        <v>-1.7817910199009044</v>
      </c>
      <c r="T33" s="11"/>
    </row>
    <row r="34" spans="1:20" x14ac:dyDescent="0.25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5">
      <c r="A35" s="149" t="str">
        <f>name!$D$3</f>
        <v>All occupations</v>
      </c>
      <c r="B35" s="152">
        <f>SUM(B8:B33)</f>
        <v>505.56200000000018</v>
      </c>
      <c r="C35" s="147">
        <f>B35/B$35*100</f>
        <v>100</v>
      </c>
      <c r="D35" s="145"/>
      <c r="E35" s="152">
        <f>SUM(E8:E33)</f>
        <v>496.19400000000019</v>
      </c>
      <c r="F35" s="147">
        <f t="shared" ref="F35" si="13">E35/E$35*100</f>
        <v>100</v>
      </c>
      <c r="G35" s="145"/>
      <c r="H35" s="152">
        <f>E35-B35</f>
        <v>-9.367999999999995</v>
      </c>
      <c r="I35" s="147">
        <f>IF(B35&lt;&gt;0,((E35/B35)-1)*100,0)</f>
        <v>-1.8529873685126597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5" x14ac:dyDescent="0.35">
      <c r="A37" s="276" t="str">
        <f>CONCATENATE("ShiftShare Table 1.1  Shift-share by occupation, ",I40,", ",Info!B5)</f>
        <v>ShiftShare Table 1.1  Shift-share by occupation, 2020-2035, Black Country</v>
      </c>
    </row>
    <row r="38" spans="1:20" ht="15.5" x14ac:dyDescent="0.35">
      <c r="A38" s="276"/>
    </row>
    <row r="39" spans="1:20" ht="13" x14ac:dyDescent="0.3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ht="13" x14ac:dyDescent="0.3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ht="13" x14ac:dyDescent="0.3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ht="13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ht="13" x14ac:dyDescent="0.3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5">
      <c r="A44" s="135" t="str">
        <f t="shared" ref="A44:A68" si="14">A8</f>
        <v>11 Corporate managers and directors</v>
      </c>
      <c r="B44" s="151">
        <v>34.458283214558655</v>
      </c>
      <c r="C44" s="141">
        <f t="shared" ref="C44:C68" si="15">B44/B$71*100</f>
        <v>6.9445183163356754</v>
      </c>
      <c r="E44" s="151">
        <v>35.408151196311948</v>
      </c>
      <c r="F44" s="141">
        <f t="shared" ref="F44:F68" si="16">E44/E$71*100</f>
        <v>6.7838985018147477</v>
      </c>
      <c r="H44" s="151">
        <f>E44-B44</f>
        <v>0.94986798175329312</v>
      </c>
      <c r="I44" s="141">
        <f>IF(B44&gt;0,((E44/B44)-1)*100,0)</f>
        <v>2.756573726667777</v>
      </c>
      <c r="K44" s="151">
        <f>(($E$71/$B$71)-1)*B44</f>
        <v>1.7882134664564071</v>
      </c>
      <c r="L44" s="141">
        <f>IF(B44&gt;0,K44/B44*100,0)</f>
        <v>5.1895024929764499</v>
      </c>
      <c r="N44" s="151">
        <f>H44-(K44+Q44)</f>
        <v>-0.14732166620315978</v>
      </c>
      <c r="O44" s="141">
        <f>IF(B44&gt;0,N44/B44*100,0)</f>
        <v>-0.4275362915959674</v>
      </c>
      <c r="Q44" s="151">
        <v>-0.6910238184999542</v>
      </c>
      <c r="R44" s="141">
        <f>IF(B44&gt;0,Q44/B44*100,0)</f>
        <v>-2.0053924747127159</v>
      </c>
      <c r="T44" s="151"/>
    </row>
    <row r="45" spans="1:20" x14ac:dyDescent="0.25">
      <c r="A45" s="135" t="str">
        <f t="shared" si="14"/>
        <v>12 Other managers and proprietors</v>
      </c>
      <c r="B45" s="151">
        <v>13.203950057125674</v>
      </c>
      <c r="C45" s="141">
        <f t="shared" si="15"/>
        <v>2.6610458927608294</v>
      </c>
      <c r="E45" s="151">
        <v>18.931739103093843</v>
      </c>
      <c r="F45" s="141">
        <f t="shared" si="16"/>
        <v>3.6271590636340014</v>
      </c>
      <c r="H45" s="151">
        <f t="shared" ref="H45:H71" si="17">E45-B45</f>
        <v>5.7277890459681693</v>
      </c>
      <c r="I45" s="141">
        <f t="shared" ref="I45:I71" si="18">IF(B45&gt;0,((E45/B45)-1)*100,0)</f>
        <v>43.379360124715838</v>
      </c>
      <c r="K45" s="151">
        <f t="shared" ref="K45:K68" si="19">(($E$71/$B$71)-1)*B45</f>
        <v>0.68521931738590225</v>
      </c>
      <c r="L45" s="141">
        <f t="shared" ref="L45:L68" si="20">IF(B45&gt;0,K45/B45*100,0)</f>
        <v>5.1895024929764499</v>
      </c>
      <c r="N45" s="151">
        <f t="shared" ref="N45:N68" si="21">H45-(K45+Q45)</f>
        <v>4.8043213359047057</v>
      </c>
      <c r="O45" s="141">
        <f t="shared" ref="O45:O68" si="22">IF(B45&gt;0,N45/B45*100,0)</f>
        <v>36.385485518494484</v>
      </c>
      <c r="Q45" s="151">
        <v>0.23824839267756115</v>
      </c>
      <c r="R45" s="141">
        <f>IF(B45&gt;0,Q45/B45*100,0)</f>
        <v>1.8043721132449109</v>
      </c>
      <c r="T45" s="151"/>
    </row>
    <row r="46" spans="1:20" x14ac:dyDescent="0.25">
      <c r="A46" s="135" t="str">
        <f t="shared" si="14"/>
        <v>21 Science, research, engineering and technology professionals</v>
      </c>
      <c r="B46" s="151">
        <v>26.685661715036868</v>
      </c>
      <c r="C46" s="141">
        <f t="shared" si="15"/>
        <v>5.3780702134723235</v>
      </c>
      <c r="E46" s="151">
        <v>30.275163891514985</v>
      </c>
      <c r="F46" s="141">
        <f t="shared" si="16"/>
        <v>5.8004620977566566</v>
      </c>
      <c r="H46" s="151">
        <f t="shared" si="17"/>
        <v>3.589502176478117</v>
      </c>
      <c r="I46" s="141">
        <f t="shared" si="18"/>
        <v>13.451051785069668</v>
      </c>
      <c r="K46" s="151">
        <f t="shared" si="19"/>
        <v>1.3848530799691003</v>
      </c>
      <c r="L46" s="141">
        <f t="shared" si="20"/>
        <v>5.1895024929764499</v>
      </c>
      <c r="N46" s="151">
        <f t="shared" si="21"/>
        <v>3.1155929486939029</v>
      </c>
      <c r="O46" s="141">
        <f t="shared" si="22"/>
        <v>11.675157176028822</v>
      </c>
      <c r="Q46" s="151">
        <v>-0.91094385218488627</v>
      </c>
      <c r="R46" s="141">
        <f t="shared" ref="R46:R68" si="23">IF(B46&gt;0,Q46/B46*100,0)</f>
        <v>-3.4136078839356139</v>
      </c>
      <c r="T46" s="151"/>
    </row>
    <row r="47" spans="1:20" x14ac:dyDescent="0.25">
      <c r="A47" s="135" t="str">
        <f t="shared" si="14"/>
        <v>22 Health professionals</v>
      </c>
      <c r="B47" s="151">
        <v>26.829030859021046</v>
      </c>
      <c r="C47" s="141">
        <f t="shared" si="15"/>
        <v>5.4069639816323924</v>
      </c>
      <c r="E47" s="151">
        <v>32.15203505660476</v>
      </c>
      <c r="F47" s="141">
        <f t="shared" si="16"/>
        <v>6.1600545377674187</v>
      </c>
      <c r="H47" s="151">
        <f t="shared" si="17"/>
        <v>5.3230041975837139</v>
      </c>
      <c r="I47" s="141">
        <f t="shared" si="18"/>
        <v>19.840463956952426</v>
      </c>
      <c r="K47" s="151">
        <f t="shared" si="19"/>
        <v>1.3922932252703182</v>
      </c>
      <c r="L47" s="141">
        <f t="shared" si="20"/>
        <v>5.1895024929764499</v>
      </c>
      <c r="N47" s="151">
        <f t="shared" si="21"/>
        <v>2.5366404534518576</v>
      </c>
      <c r="O47" s="141">
        <f t="shared" si="22"/>
        <v>9.4548344544429668</v>
      </c>
      <c r="Q47" s="151">
        <v>1.3940705188615379</v>
      </c>
      <c r="R47" s="141">
        <f t="shared" si="23"/>
        <v>5.196127009533007</v>
      </c>
      <c r="T47" s="151"/>
    </row>
    <row r="48" spans="1:20" x14ac:dyDescent="0.25">
      <c r="A48" s="135" t="str">
        <f t="shared" si="14"/>
        <v>23 Teaching and other educational professionals</v>
      </c>
      <c r="B48" s="151">
        <v>21.982938940498279</v>
      </c>
      <c r="C48" s="141">
        <f t="shared" si="15"/>
        <v>4.4303113178511371</v>
      </c>
      <c r="E48" s="151">
        <v>26.048744205571939</v>
      </c>
      <c r="F48" s="141">
        <f t="shared" si="16"/>
        <v>4.9907162848067896</v>
      </c>
      <c r="H48" s="151">
        <f t="shared" si="17"/>
        <v>4.06580526507366</v>
      </c>
      <c r="I48" s="141">
        <f t="shared" si="18"/>
        <v>18.49527615974673</v>
      </c>
      <c r="K48" s="151">
        <f t="shared" si="19"/>
        <v>1.140805164346649</v>
      </c>
      <c r="L48" s="141">
        <f t="shared" si="20"/>
        <v>5.1895024929764499</v>
      </c>
      <c r="N48" s="151">
        <f t="shared" si="21"/>
        <v>2.1899492630042143</v>
      </c>
      <c r="O48" s="141">
        <f t="shared" si="22"/>
        <v>9.962040421127492</v>
      </c>
      <c r="Q48" s="151">
        <v>0.73505083772279689</v>
      </c>
      <c r="R48" s="141">
        <f t="shared" si="23"/>
        <v>3.3437332456427944</v>
      </c>
      <c r="T48" s="151"/>
    </row>
    <row r="49" spans="1:20" x14ac:dyDescent="0.25">
      <c r="A49" s="135" t="str">
        <f t="shared" si="14"/>
        <v>24 Business, media and public service professionals</v>
      </c>
      <c r="B49" s="151">
        <v>27.886221209663034</v>
      </c>
      <c r="C49" s="141">
        <f t="shared" si="15"/>
        <v>5.6200238635821922</v>
      </c>
      <c r="E49" s="151">
        <v>35.208060016251721</v>
      </c>
      <c r="F49" s="141">
        <f t="shared" si="16"/>
        <v>6.7455627454768585</v>
      </c>
      <c r="H49" s="151">
        <f t="shared" si="17"/>
        <v>7.321838806588687</v>
      </c>
      <c r="I49" s="141">
        <f t="shared" si="18"/>
        <v>26.256116780898054</v>
      </c>
      <c r="K49" s="151">
        <f t="shared" si="19"/>
        <v>1.4471561448723906</v>
      </c>
      <c r="L49" s="141">
        <f t="shared" si="20"/>
        <v>5.1895024929764499</v>
      </c>
      <c r="N49" s="151">
        <f t="shared" si="21"/>
        <v>5.9996588485675169</v>
      </c>
      <c r="O49" s="141">
        <f t="shared" si="22"/>
        <v>21.514778942112589</v>
      </c>
      <c r="Q49" s="151">
        <v>-0.12497618685122047</v>
      </c>
      <c r="R49" s="141">
        <f t="shared" si="23"/>
        <v>-0.44816465419098866</v>
      </c>
      <c r="T49" s="151"/>
    </row>
    <row r="50" spans="1:20" x14ac:dyDescent="0.25">
      <c r="A50" s="135" t="str">
        <f t="shared" si="14"/>
        <v>31 Science, engineering and technology associate professionals</v>
      </c>
      <c r="B50" s="151">
        <v>8.7583830870047237</v>
      </c>
      <c r="C50" s="141">
        <f t="shared" si="15"/>
        <v>1.7651126549302736</v>
      </c>
      <c r="E50" s="151">
        <v>7.7929826577159558</v>
      </c>
      <c r="F50" s="141">
        <f t="shared" si="16"/>
        <v>1.493068731073824</v>
      </c>
      <c r="H50" s="151">
        <f t="shared" si="17"/>
        <v>-0.9654004292887679</v>
      </c>
      <c r="I50" s="141">
        <f t="shared" si="18"/>
        <v>-11.022587385121163</v>
      </c>
      <c r="K50" s="151">
        <f t="shared" si="19"/>
        <v>0.45451650864453791</v>
      </c>
      <c r="L50" s="141">
        <f t="shared" si="20"/>
        <v>5.1895024929764499</v>
      </c>
      <c r="N50" s="151">
        <f t="shared" si="21"/>
        <v>-1.1770188445768615</v>
      </c>
      <c r="O50" s="141">
        <f t="shared" si="22"/>
        <v>-13.438768696053801</v>
      </c>
      <c r="Q50" s="151">
        <v>-0.2428980933564443</v>
      </c>
      <c r="R50" s="141">
        <f t="shared" si="23"/>
        <v>-2.7733211820438073</v>
      </c>
      <c r="T50" s="151"/>
    </row>
    <row r="51" spans="1:20" x14ac:dyDescent="0.25">
      <c r="A51" s="135" t="str">
        <f t="shared" si="14"/>
        <v>32 Health and social care associate professionals</v>
      </c>
      <c r="B51" s="151">
        <v>11.033633555444206</v>
      </c>
      <c r="C51" s="141">
        <f t="shared" si="15"/>
        <v>2.2236531589346509</v>
      </c>
      <c r="E51" s="151">
        <v>12.588267509691507</v>
      </c>
      <c r="F51" s="141">
        <f t="shared" si="16"/>
        <v>2.4118042375602577</v>
      </c>
      <c r="H51" s="151">
        <f t="shared" si="17"/>
        <v>1.5546339542473007</v>
      </c>
      <c r="I51" s="141">
        <f t="shared" si="18"/>
        <v>14.089954559712691</v>
      </c>
      <c r="K51" s="151">
        <f t="shared" si="19"/>
        <v>0.57259068842566319</v>
      </c>
      <c r="L51" s="141">
        <f t="shared" si="20"/>
        <v>5.1895024929764499</v>
      </c>
      <c r="N51" s="151">
        <f t="shared" si="21"/>
        <v>0.36063573362094092</v>
      </c>
      <c r="O51" s="141">
        <f t="shared" si="22"/>
        <v>3.2685128775460948</v>
      </c>
      <c r="Q51" s="151">
        <v>0.62140753220069656</v>
      </c>
      <c r="R51" s="141">
        <f t="shared" si="23"/>
        <v>5.631939189190148</v>
      </c>
      <c r="T51" s="151"/>
    </row>
    <row r="52" spans="1:20" x14ac:dyDescent="0.25">
      <c r="A52" s="135" t="str">
        <f t="shared" si="14"/>
        <v>33 Protective service occupations</v>
      </c>
      <c r="B52" s="151">
        <v>4.7001992247175384</v>
      </c>
      <c r="C52" s="141">
        <f t="shared" si="15"/>
        <v>0.94725031433623486</v>
      </c>
      <c r="E52" s="151">
        <v>6.7057443147351909</v>
      </c>
      <c r="F52" s="141">
        <f t="shared" si="16"/>
        <v>1.2847631766502143</v>
      </c>
      <c r="H52" s="151">
        <f t="shared" si="17"/>
        <v>2.0055450900176526</v>
      </c>
      <c r="I52" s="141">
        <f t="shared" si="18"/>
        <v>42.669363448911611</v>
      </c>
      <c r="K52" s="151">
        <f t="shared" si="19"/>
        <v>0.24391695594157642</v>
      </c>
      <c r="L52" s="141">
        <f t="shared" si="20"/>
        <v>5.1895024929764499</v>
      </c>
      <c r="N52" s="151">
        <f t="shared" si="21"/>
        <v>1.7486133052119266</v>
      </c>
      <c r="O52" s="141">
        <f t="shared" si="22"/>
        <v>37.20296144078894</v>
      </c>
      <c r="Q52" s="151">
        <v>1.3014828864149671E-2</v>
      </c>
      <c r="R52" s="141">
        <f t="shared" si="23"/>
        <v>0.27689951514622885</v>
      </c>
      <c r="T52" s="151"/>
    </row>
    <row r="53" spans="1:20" x14ac:dyDescent="0.25">
      <c r="A53" s="135" t="str">
        <f t="shared" si="14"/>
        <v>34 Culture, media and sports occupations</v>
      </c>
      <c r="B53" s="151">
        <v>7.6662439139121092</v>
      </c>
      <c r="C53" s="141">
        <f t="shared" si="15"/>
        <v>1.5450093942917702</v>
      </c>
      <c r="E53" s="151">
        <v>8.0255058830183881</v>
      </c>
      <c r="F53" s="141">
        <f t="shared" si="16"/>
        <v>1.5376181895027805</v>
      </c>
      <c r="H53" s="151">
        <f t="shared" si="17"/>
        <v>0.35926196910627883</v>
      </c>
      <c r="I53" s="141">
        <f t="shared" si="18"/>
        <v>4.6862840934961403</v>
      </c>
      <c r="K53" s="151">
        <f t="shared" si="19"/>
        <v>0.39783991903012428</v>
      </c>
      <c r="L53" s="141">
        <f t="shared" si="20"/>
        <v>5.1895024929764499</v>
      </c>
      <c r="N53" s="151">
        <f t="shared" si="21"/>
        <v>0.12414875750775806</v>
      </c>
      <c r="O53" s="141">
        <f t="shared" si="22"/>
        <v>1.6194209172299154</v>
      </c>
      <c r="Q53" s="151">
        <v>-0.1627267074316035</v>
      </c>
      <c r="R53" s="141">
        <f t="shared" si="23"/>
        <v>-2.1226393167102291</v>
      </c>
      <c r="T53" s="151"/>
    </row>
    <row r="54" spans="1:20" x14ac:dyDescent="0.25">
      <c r="A54" s="135" t="str">
        <f t="shared" si="14"/>
        <v>35 Business and public service associate professionals</v>
      </c>
      <c r="B54" s="151">
        <v>28.712103349013955</v>
      </c>
      <c r="C54" s="141">
        <f t="shared" si="15"/>
        <v>5.7864672585750618</v>
      </c>
      <c r="E54" s="151">
        <v>28.60137268177365</v>
      </c>
      <c r="F54" s="141">
        <f t="shared" si="16"/>
        <v>5.4797780378304308</v>
      </c>
      <c r="H54" s="151">
        <f t="shared" si="17"/>
        <v>-0.11073066724030411</v>
      </c>
      <c r="I54" s="141">
        <f t="shared" si="18"/>
        <v>-0.38565850050865658</v>
      </c>
      <c r="K54" s="151">
        <f t="shared" si="19"/>
        <v>1.4900153190830538</v>
      </c>
      <c r="L54" s="141">
        <f t="shared" si="20"/>
        <v>5.1895024929764491</v>
      </c>
      <c r="N54" s="151">
        <f t="shared" si="21"/>
        <v>-1.2742191297558849</v>
      </c>
      <c r="O54" s="141">
        <f t="shared" si="22"/>
        <v>-4.4379163527901024</v>
      </c>
      <c r="Q54" s="151">
        <v>-0.3265268565674731</v>
      </c>
      <c r="R54" s="141">
        <f t="shared" si="23"/>
        <v>-1.1372446406950079</v>
      </c>
      <c r="T54" s="151"/>
    </row>
    <row r="55" spans="1:20" x14ac:dyDescent="0.25">
      <c r="A55" s="135" t="str">
        <f t="shared" si="14"/>
        <v>41 Administrative occupations</v>
      </c>
      <c r="B55" s="151">
        <v>47.317539575288471</v>
      </c>
      <c r="C55" s="141">
        <f t="shared" si="15"/>
        <v>9.5360966830087524</v>
      </c>
      <c r="E55" s="151">
        <v>41.608672087451644</v>
      </c>
      <c r="F55" s="141">
        <f t="shared" si="16"/>
        <v>7.9718651976939423</v>
      </c>
      <c r="H55" s="151">
        <f t="shared" si="17"/>
        <v>-5.7088674878368266</v>
      </c>
      <c r="I55" s="141">
        <f t="shared" si="18"/>
        <v>-12.065013394775658</v>
      </c>
      <c r="K55" s="151">
        <f t="shared" si="19"/>
        <v>2.4555448958747137</v>
      </c>
      <c r="L55" s="141">
        <f t="shared" si="20"/>
        <v>5.1895024929764508</v>
      </c>
      <c r="N55" s="151">
        <f t="shared" si="21"/>
        <v>-7.9592093762106462</v>
      </c>
      <c r="O55" s="141">
        <f t="shared" si="22"/>
        <v>-16.820843703308981</v>
      </c>
      <c r="Q55" s="151">
        <v>-0.20520300750089404</v>
      </c>
      <c r="R55" s="141">
        <f t="shared" si="23"/>
        <v>-0.43367218444312577</v>
      </c>
      <c r="T55" s="151"/>
    </row>
    <row r="56" spans="1:20" x14ac:dyDescent="0.25">
      <c r="A56" s="135" t="str">
        <f t="shared" si="14"/>
        <v>42 Secretarial and related occupations</v>
      </c>
      <c r="B56" s="151">
        <v>9.2883893892272287</v>
      </c>
      <c r="C56" s="141">
        <f t="shared" si="15"/>
        <v>1.8719269860633592</v>
      </c>
      <c r="E56" s="151">
        <v>6.5401716671574537</v>
      </c>
      <c r="F56" s="141">
        <f t="shared" si="16"/>
        <v>1.2530408754880711</v>
      </c>
      <c r="H56" s="151">
        <f t="shared" si="17"/>
        <v>-2.748217722069775</v>
      </c>
      <c r="I56" s="141">
        <f t="shared" si="18"/>
        <v>-29.587666999159048</v>
      </c>
      <c r="K56" s="151">
        <f t="shared" si="19"/>
        <v>0.48202119891130707</v>
      </c>
      <c r="L56" s="141">
        <f t="shared" si="20"/>
        <v>5.1895024929764499</v>
      </c>
      <c r="N56" s="151">
        <f t="shared" si="21"/>
        <v>-3.4085373341683103</v>
      </c>
      <c r="O56" s="141">
        <f t="shared" si="22"/>
        <v>-36.696753240357985</v>
      </c>
      <c r="Q56" s="151">
        <v>0.17829841318722808</v>
      </c>
      <c r="R56" s="141">
        <f t="shared" si="23"/>
        <v>1.91958374822249</v>
      </c>
      <c r="T56" s="151"/>
    </row>
    <row r="57" spans="1:20" x14ac:dyDescent="0.25">
      <c r="A57" s="135" t="str">
        <f t="shared" si="14"/>
        <v>51 Skilled agricultural and related trades</v>
      </c>
      <c r="B57" s="151">
        <v>3.1859142674106149</v>
      </c>
      <c r="C57" s="141">
        <f t="shared" si="15"/>
        <v>0.64207029254900572</v>
      </c>
      <c r="E57" s="151">
        <v>3.713963148852669</v>
      </c>
      <c r="F57" s="141">
        <f t="shared" si="16"/>
        <v>0.71156352958414526</v>
      </c>
      <c r="H57" s="151">
        <f t="shared" si="17"/>
        <v>0.52804888144205409</v>
      </c>
      <c r="I57" s="141">
        <f t="shared" si="18"/>
        <v>16.574484971035687</v>
      </c>
      <c r="K57" s="151">
        <f t="shared" si="19"/>
        <v>0.16533310033136625</v>
      </c>
      <c r="L57" s="141">
        <f t="shared" si="20"/>
        <v>5.1895024929764491</v>
      </c>
      <c r="N57" s="151">
        <f t="shared" si="21"/>
        <v>0.45418914690632156</v>
      </c>
      <c r="O57" s="141">
        <f t="shared" si="22"/>
        <v>14.256163499197626</v>
      </c>
      <c r="Q57" s="151">
        <v>-9.1473365795633713E-2</v>
      </c>
      <c r="R57" s="141">
        <f t="shared" si="23"/>
        <v>-2.8711810211383888</v>
      </c>
      <c r="T57" s="151"/>
    </row>
    <row r="58" spans="1:20" x14ac:dyDescent="0.25">
      <c r="A58" s="135" t="str">
        <f t="shared" si="14"/>
        <v>52 Skilled metal, electrical and electronic trades</v>
      </c>
      <c r="B58" s="151">
        <v>23.336997409184566</v>
      </c>
      <c r="C58" s="141">
        <f t="shared" si="15"/>
        <v>4.7032002420796211</v>
      </c>
      <c r="E58" s="151">
        <v>20.844900637900004</v>
      </c>
      <c r="F58" s="141">
        <f t="shared" si="16"/>
        <v>3.9937044276589089</v>
      </c>
      <c r="H58" s="151">
        <f t="shared" si="17"/>
        <v>-2.4920967712845616</v>
      </c>
      <c r="I58" s="141">
        <f t="shared" si="18"/>
        <v>-10.678737832416118</v>
      </c>
      <c r="K58" s="151">
        <f t="shared" si="19"/>
        <v>1.2110740623354825</v>
      </c>
      <c r="L58" s="141">
        <f t="shared" si="20"/>
        <v>5.1895024929764499</v>
      </c>
      <c r="N58" s="151">
        <f t="shared" si="21"/>
        <v>-1.7833972970769347</v>
      </c>
      <c r="O58" s="141">
        <f t="shared" si="22"/>
        <v>-7.6419312467980838</v>
      </c>
      <c r="Q58" s="151">
        <v>-1.9197735365431094</v>
      </c>
      <c r="R58" s="141">
        <f t="shared" si="23"/>
        <v>-8.2263090785944826</v>
      </c>
      <c r="T58" s="151"/>
    </row>
    <row r="59" spans="1:20" x14ac:dyDescent="0.25">
      <c r="A59" s="135" t="str">
        <f t="shared" si="14"/>
        <v>53 Skilled construction and building trades</v>
      </c>
      <c r="B59" s="151">
        <v>17.433599719002551</v>
      </c>
      <c r="C59" s="141">
        <f t="shared" si="15"/>
        <v>3.5134644350803406</v>
      </c>
      <c r="E59" s="151">
        <v>15.357819560659681</v>
      </c>
      <c r="F59" s="141">
        <f t="shared" si="16"/>
        <v>2.9424266895796656</v>
      </c>
      <c r="H59" s="151">
        <f t="shared" si="17"/>
        <v>-2.0757801583428694</v>
      </c>
      <c r="I59" s="141">
        <f t="shared" si="18"/>
        <v>-11.906778816771146</v>
      </c>
      <c r="K59" s="151">
        <f t="shared" si="19"/>
        <v>0.90471709203317274</v>
      </c>
      <c r="L59" s="141">
        <f t="shared" si="20"/>
        <v>5.1895024929764499</v>
      </c>
      <c r="N59" s="151">
        <f t="shared" si="21"/>
        <v>-2.1176019192156028</v>
      </c>
      <c r="O59" s="141">
        <f t="shared" si="22"/>
        <v>-12.146670529021183</v>
      </c>
      <c r="Q59" s="151">
        <v>-0.86289533116043926</v>
      </c>
      <c r="R59" s="141">
        <f t="shared" si="23"/>
        <v>-4.9496107807264096</v>
      </c>
      <c r="T59" s="151"/>
    </row>
    <row r="60" spans="1:20" x14ac:dyDescent="0.25">
      <c r="A60" s="135" t="str">
        <f t="shared" si="14"/>
        <v>54 Textiles, printing and other skilled trades</v>
      </c>
      <c r="B60" s="151">
        <v>8.3501192749530908</v>
      </c>
      <c r="C60" s="141">
        <f t="shared" si="15"/>
        <v>1.6828335842338054</v>
      </c>
      <c r="E60" s="151">
        <v>7.4850513693049479</v>
      </c>
      <c r="F60" s="141">
        <f t="shared" si="16"/>
        <v>1.4340717336160491</v>
      </c>
      <c r="H60" s="151">
        <f t="shared" si="17"/>
        <v>-0.86506790564814295</v>
      </c>
      <c r="I60" s="141">
        <f t="shared" si="18"/>
        <v>-10.359946692533949</v>
      </c>
      <c r="K60" s="151">
        <f t="shared" si="19"/>
        <v>0.43332964794019774</v>
      </c>
      <c r="L60" s="141">
        <f t="shared" si="20"/>
        <v>5.1895024929764499</v>
      </c>
      <c r="N60" s="151">
        <f t="shared" si="21"/>
        <v>-1.2296721232299106</v>
      </c>
      <c r="O60" s="141">
        <f t="shared" si="22"/>
        <v>-14.726401896059366</v>
      </c>
      <c r="Q60" s="151">
        <v>-6.872543035843022E-2</v>
      </c>
      <c r="R60" s="141">
        <f t="shared" si="23"/>
        <v>-0.82304728945103967</v>
      </c>
      <c r="T60" s="151"/>
    </row>
    <row r="61" spans="1:20" x14ac:dyDescent="0.25">
      <c r="A61" s="135" t="str">
        <f t="shared" si="14"/>
        <v>61 Caring personal service occupations</v>
      </c>
      <c r="B61" s="151">
        <v>39.805845710644</v>
      </c>
      <c r="C61" s="141">
        <f t="shared" si="15"/>
        <v>8.022234390307819</v>
      </c>
      <c r="E61" s="151">
        <v>47.806525479323881</v>
      </c>
      <c r="F61" s="141">
        <f t="shared" si="16"/>
        <v>9.159320823560364</v>
      </c>
      <c r="H61" s="151">
        <f t="shared" si="17"/>
        <v>8.0006797686798805</v>
      </c>
      <c r="I61" s="141">
        <f t="shared" si="18"/>
        <v>20.099258352248796</v>
      </c>
      <c r="K61" s="151">
        <f t="shared" si="19"/>
        <v>2.0657253555042296</v>
      </c>
      <c r="L61" s="141">
        <f t="shared" si="20"/>
        <v>5.1895024929764499</v>
      </c>
      <c r="N61" s="151">
        <f t="shared" si="21"/>
        <v>3.7182175693660664</v>
      </c>
      <c r="O61" s="141">
        <f t="shared" si="22"/>
        <v>9.3408832370865138</v>
      </c>
      <c r="Q61" s="151">
        <v>2.2167368438095845</v>
      </c>
      <c r="R61" s="141">
        <f t="shared" si="23"/>
        <v>5.5688726221858253</v>
      </c>
      <c r="T61" s="151"/>
    </row>
    <row r="62" spans="1:20" x14ac:dyDescent="0.25">
      <c r="A62" s="135" t="str">
        <f t="shared" si="14"/>
        <v>62 Leisure, travel and related personal service occupations</v>
      </c>
      <c r="B62" s="151">
        <v>9.1467848880288667</v>
      </c>
      <c r="C62" s="141">
        <f t="shared" si="15"/>
        <v>1.8433888535590643</v>
      </c>
      <c r="E62" s="151">
        <v>9.4378645671143033</v>
      </c>
      <c r="F62" s="141">
        <f t="shared" si="16"/>
        <v>1.8082140166597007</v>
      </c>
      <c r="H62" s="151">
        <f t="shared" si="17"/>
        <v>0.29107967908543664</v>
      </c>
      <c r="I62" s="141">
        <f t="shared" si="18"/>
        <v>3.1823168758062348</v>
      </c>
      <c r="K62" s="151">
        <f t="shared" si="19"/>
        <v>0.47467262979145119</v>
      </c>
      <c r="L62" s="141">
        <f t="shared" si="20"/>
        <v>5.1895024929764499</v>
      </c>
      <c r="N62" s="151">
        <f t="shared" si="21"/>
        <v>-0.23321600728245706</v>
      </c>
      <c r="O62" s="141">
        <f t="shared" si="22"/>
        <v>-2.5497047338205756</v>
      </c>
      <c r="Q62" s="151">
        <v>4.9623056576442538E-2</v>
      </c>
      <c r="R62" s="141">
        <f t="shared" si="23"/>
        <v>0.54251911665035679</v>
      </c>
      <c r="T62" s="151"/>
    </row>
    <row r="63" spans="1:20" x14ac:dyDescent="0.25">
      <c r="A63" s="135" t="str">
        <f t="shared" si="14"/>
        <v>63 Community and civil enforcement occupations</v>
      </c>
      <c r="B63" s="151">
        <v>0.45801284753679466</v>
      </c>
      <c r="C63" s="141">
        <f t="shared" si="15"/>
        <v>9.2305196664368067E-2</v>
      </c>
      <c r="E63" s="151">
        <v>0.41874006149257798</v>
      </c>
      <c r="F63" s="141">
        <f t="shared" si="16"/>
        <v>8.0227009313753622E-2</v>
      </c>
      <c r="H63" s="151">
        <f t="shared" si="17"/>
        <v>-3.927278604421669E-2</v>
      </c>
      <c r="I63" s="141">
        <f t="shared" si="18"/>
        <v>-8.5746035849052724</v>
      </c>
      <c r="K63" s="151">
        <f t="shared" si="19"/>
        <v>2.3768588141074385E-2</v>
      </c>
      <c r="L63" s="141">
        <f t="shared" si="20"/>
        <v>5.1895024929764499</v>
      </c>
      <c r="N63" s="151">
        <f t="shared" si="21"/>
        <v>-7.3847720843659787E-2</v>
      </c>
      <c r="O63" s="141">
        <f t="shared" si="22"/>
        <v>-16.12350422937147</v>
      </c>
      <c r="Q63" s="151">
        <v>1.0806346658368719E-2</v>
      </c>
      <c r="R63" s="141">
        <f t="shared" si="23"/>
        <v>2.3593981514897542</v>
      </c>
      <c r="T63" s="151"/>
    </row>
    <row r="64" spans="1:20" x14ac:dyDescent="0.25">
      <c r="A64" s="135" t="str">
        <f t="shared" si="14"/>
        <v>71 Sales occupations</v>
      </c>
      <c r="B64" s="151">
        <v>30.191807825248862</v>
      </c>
      <c r="C64" s="141">
        <f t="shared" si="15"/>
        <v>6.0846781350134931</v>
      </c>
      <c r="E64" s="151">
        <v>25.969905791596378</v>
      </c>
      <c r="F64" s="141">
        <f t="shared" si="16"/>
        <v>4.9756115199324817</v>
      </c>
      <c r="H64" s="151">
        <f t="shared" si="17"/>
        <v>-4.2219020336524835</v>
      </c>
      <c r="I64" s="141">
        <f t="shared" si="18"/>
        <v>-13.983601306980308</v>
      </c>
      <c r="K64" s="151">
        <f t="shared" si="19"/>
        <v>1.5668046197659486</v>
      </c>
      <c r="L64" s="141">
        <f t="shared" si="20"/>
        <v>5.1895024929764499</v>
      </c>
      <c r="N64" s="151">
        <f t="shared" si="21"/>
        <v>-5.3016362671657626</v>
      </c>
      <c r="O64" s="141">
        <f t="shared" si="22"/>
        <v>-17.559850333745501</v>
      </c>
      <c r="Q64" s="151">
        <v>-0.48707038625266941</v>
      </c>
      <c r="R64" s="141">
        <f t="shared" si="23"/>
        <v>-1.6132534662112592</v>
      </c>
      <c r="T64" s="151"/>
    </row>
    <row r="65" spans="1:20" x14ac:dyDescent="0.25">
      <c r="A65" s="135" t="str">
        <f t="shared" si="14"/>
        <v>72 Customer service occupations</v>
      </c>
      <c r="B65" s="151">
        <v>9.1178307619805707</v>
      </c>
      <c r="C65" s="141">
        <f t="shared" si="15"/>
        <v>1.8375536104790802</v>
      </c>
      <c r="E65" s="151">
        <v>13.440976966771922</v>
      </c>
      <c r="F65" s="141">
        <f t="shared" si="16"/>
        <v>2.5751760661626397</v>
      </c>
      <c r="H65" s="151">
        <f t="shared" si="17"/>
        <v>4.3231462047913514</v>
      </c>
      <c r="I65" s="141">
        <f t="shared" si="18"/>
        <v>47.414196618103041</v>
      </c>
      <c r="K65" s="151">
        <f t="shared" si="19"/>
        <v>0.47317005469835538</v>
      </c>
      <c r="L65" s="141">
        <f t="shared" si="20"/>
        <v>5.1895024929764499</v>
      </c>
      <c r="N65" s="151">
        <f t="shared" si="21"/>
        <v>3.858649976868727</v>
      </c>
      <c r="O65" s="141">
        <f t="shared" si="22"/>
        <v>42.319824502100687</v>
      </c>
      <c r="Q65" s="151">
        <v>-8.6738267757312457E-3</v>
      </c>
      <c r="R65" s="141">
        <f t="shared" si="23"/>
        <v>-9.5130376974085468E-2</v>
      </c>
      <c r="T65" s="151"/>
    </row>
    <row r="66" spans="1:20" x14ac:dyDescent="0.25">
      <c r="A66" s="135" t="str">
        <f t="shared" si="14"/>
        <v>81 Process, plant and machine operatives</v>
      </c>
      <c r="B66" s="151">
        <v>18.31625402877377</v>
      </c>
      <c r="C66" s="141">
        <f t="shared" si="15"/>
        <v>3.6913493570606986</v>
      </c>
      <c r="E66" s="151">
        <v>21.313020528914095</v>
      </c>
      <c r="F66" s="141">
        <f t="shared" si="16"/>
        <v>4.083392189375509</v>
      </c>
      <c r="H66" s="151">
        <f t="shared" si="17"/>
        <v>2.9967665001403248</v>
      </c>
      <c r="I66" s="141">
        <f t="shared" si="18"/>
        <v>16.361241198296227</v>
      </c>
      <c r="K66" s="151">
        <f t="shared" si="19"/>
        <v>0.9505224594431142</v>
      </c>
      <c r="L66" s="141">
        <f t="shared" si="20"/>
        <v>5.1895024929764499</v>
      </c>
      <c r="N66" s="151">
        <f t="shared" si="21"/>
        <v>3.6927045997085348</v>
      </c>
      <c r="O66" s="141">
        <f t="shared" si="22"/>
        <v>20.160806865353091</v>
      </c>
      <c r="Q66" s="151">
        <v>-1.6464605590113242</v>
      </c>
      <c r="R66" s="141">
        <f t="shared" si="23"/>
        <v>-8.9890681600333249</v>
      </c>
      <c r="T66" s="151"/>
    </row>
    <row r="67" spans="1:20" x14ac:dyDescent="0.25">
      <c r="A67" s="135" t="str">
        <f t="shared" si="14"/>
        <v>82 Transport and mobile machine drivers and operatives</v>
      </c>
      <c r="B67" s="151">
        <v>21.951501270507791</v>
      </c>
      <c r="C67" s="141">
        <f t="shared" si="15"/>
        <v>4.4239755560340877</v>
      </c>
      <c r="E67" s="151">
        <v>24.153900346524193</v>
      </c>
      <c r="F67" s="141">
        <f t="shared" si="16"/>
        <v>4.627680430568069</v>
      </c>
      <c r="H67" s="151">
        <f t="shared" si="17"/>
        <v>2.2023990760164018</v>
      </c>
      <c r="I67" s="141">
        <f t="shared" si="18"/>
        <v>10.033022565865979</v>
      </c>
      <c r="K67" s="151">
        <f t="shared" si="19"/>
        <v>1.139173705678759</v>
      </c>
      <c r="L67" s="141">
        <f t="shared" si="20"/>
        <v>5.1895024929764508</v>
      </c>
      <c r="N67" s="151">
        <f t="shared" si="21"/>
        <v>0.2987262382489495</v>
      </c>
      <c r="O67" s="141">
        <f t="shared" si="22"/>
        <v>1.3608465068869491</v>
      </c>
      <c r="Q67" s="151">
        <v>0.76449913208869336</v>
      </c>
      <c r="R67" s="141">
        <f t="shared" si="23"/>
        <v>3.4826735660025712</v>
      </c>
      <c r="T67" s="151"/>
    </row>
    <row r="68" spans="1:20" x14ac:dyDescent="0.25">
      <c r="A68" s="135" t="str">
        <f t="shared" si="14"/>
        <v>91 Elementary trades and related occupations</v>
      </c>
      <c r="B68" s="151">
        <v>8.6428835980951746</v>
      </c>
      <c r="C68" s="141">
        <f t="shared" si="15"/>
        <v>1.7418355719930452</v>
      </c>
      <c r="E68" s="151">
        <v>6.864739167432238</v>
      </c>
      <c r="F68" s="141">
        <f t="shared" si="16"/>
        <v>1.3152252286513959</v>
      </c>
      <c r="H68" s="151">
        <f t="shared" si="17"/>
        <v>-1.7781444306629366</v>
      </c>
      <c r="I68" s="141">
        <f t="shared" si="18"/>
        <v>-20.573508950818521</v>
      </c>
      <c r="K68" s="151">
        <f t="shared" si="19"/>
        <v>0.44852265978820177</v>
      </c>
      <c r="L68" s="141">
        <f t="shared" si="20"/>
        <v>5.1895024929764499</v>
      </c>
      <c r="N68" s="151">
        <f t="shared" si="21"/>
        <v>-2.0877724400133939</v>
      </c>
      <c r="O68" s="141">
        <f t="shared" si="22"/>
        <v>-24.155970820589591</v>
      </c>
      <c r="Q68" s="151">
        <v>-0.13889465043774429</v>
      </c>
      <c r="R68" s="141">
        <f t="shared" si="23"/>
        <v>-1.6070406232053802</v>
      </c>
      <c r="T68" s="151"/>
    </row>
    <row r="69" spans="1:20" x14ac:dyDescent="0.25">
      <c r="A69" s="135" t="str">
        <f t="shared" ref="A69" si="24">A33</f>
        <v>92 Elementary administration and service occupations</v>
      </c>
      <c r="B69" s="151">
        <v>37.733870308121773</v>
      </c>
      <c r="C69" s="141">
        <f t="shared" ref="C69" si="25">B69/B$71*100</f>
        <v>7.6046607391709209</v>
      </c>
      <c r="E69" s="151">
        <v>35.249982103219963</v>
      </c>
      <c r="F69" s="141">
        <f t="shared" ref="F69" si="26">E69/E$71*100</f>
        <v>6.7535946582813446</v>
      </c>
      <c r="H69" s="151">
        <f t="shared" ref="H69" si="27">E69-B69</f>
        <v>-2.4838882049018096</v>
      </c>
      <c r="I69" s="141">
        <f t="shared" ref="I69" si="28">IF(B69&gt;0,((E69/B69)-1)*100,0)</f>
        <v>-6.5826489162633894</v>
      </c>
      <c r="K69" s="151">
        <f t="shared" ref="K69" si="29">(($E$71/$B$71)-1)*B69</f>
        <v>1.9582001403364799</v>
      </c>
      <c r="L69" s="141">
        <f t="shared" ref="L69" si="30">IF(B69&gt;0,K69/B69*100,0)</f>
        <v>5.1895024929764499</v>
      </c>
      <c r="N69" s="151">
        <f t="shared" ref="N69" si="31">H69-(K69+Q69)</f>
        <v>-6.1085980513178972</v>
      </c>
      <c r="O69" s="141">
        <f t="shared" ref="O69" si="32">IF(B69&gt;0,N69/B69*100,0)</f>
        <v>-16.188633716703833</v>
      </c>
      <c r="Q69" s="151">
        <v>1.6665097060796079</v>
      </c>
      <c r="R69" s="141">
        <f t="shared" ref="R69" si="33">IF(B69&gt;0,Q69/B69*100,0)</f>
        <v>4.4164823074639949</v>
      </c>
      <c r="T69" s="151"/>
    </row>
    <row r="70" spans="1:20" x14ac:dyDescent="0.25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5">
      <c r="A71" s="149" t="str">
        <f>name!$D$3</f>
        <v>All occupations</v>
      </c>
      <c r="B71" s="152">
        <f>SUM(B44:B69)</f>
        <v>496.19400000000019</v>
      </c>
      <c r="C71" s="147">
        <f>B71/B$71*100</f>
        <v>100</v>
      </c>
      <c r="D71" s="145"/>
      <c r="E71" s="152">
        <f>SUM(E44:E69)</f>
        <v>521.94399999999973</v>
      </c>
      <c r="F71" s="147">
        <f>E71/E$71*100</f>
        <v>100</v>
      </c>
      <c r="G71" s="145"/>
      <c r="H71" s="152">
        <f t="shared" si="17"/>
        <v>25.749999999999545</v>
      </c>
      <c r="I71" s="147">
        <f t="shared" si="18"/>
        <v>5.1895024929764499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5">
      <c r="T77" s="151"/>
    </row>
    <row r="78" spans="1:20" x14ac:dyDescent="0.25">
      <c r="T78" s="151"/>
    </row>
    <row r="79" spans="1:20" x14ac:dyDescent="0.25">
      <c r="T79" s="151"/>
    </row>
    <row r="80" spans="1:20" x14ac:dyDescent="0.25">
      <c r="T80" s="151"/>
    </row>
    <row r="81" spans="20:20" x14ac:dyDescent="0.25">
      <c r="T81" s="151"/>
    </row>
    <row r="82" spans="20:20" x14ac:dyDescent="0.25">
      <c r="T82" s="151"/>
    </row>
    <row r="83" spans="20:20" x14ac:dyDescent="0.25">
      <c r="T83" s="151"/>
    </row>
    <row r="84" spans="20:20" x14ac:dyDescent="0.25">
      <c r="T84" s="151"/>
    </row>
    <row r="85" spans="20:20" x14ac:dyDescent="0.25">
      <c r="T85" s="151"/>
    </row>
    <row r="86" spans="20:20" x14ac:dyDescent="0.25">
      <c r="T86" s="151"/>
    </row>
    <row r="87" spans="20:20" x14ac:dyDescent="0.25">
      <c r="T87" s="151"/>
    </row>
    <row r="88" spans="20:20" x14ac:dyDescent="0.25">
      <c r="T88" s="151"/>
    </row>
    <row r="89" spans="20:20" x14ac:dyDescent="0.25">
      <c r="T89" s="151"/>
    </row>
    <row r="90" spans="20:20" x14ac:dyDescent="0.25">
      <c r="T90" s="151"/>
    </row>
    <row r="91" spans="20:20" x14ac:dyDescent="0.25">
      <c r="T91" s="151"/>
    </row>
    <row r="92" spans="20:20" x14ac:dyDescent="0.25">
      <c r="T92" s="151"/>
    </row>
    <row r="93" spans="20:20" x14ac:dyDescent="0.25">
      <c r="T93" s="151"/>
    </row>
    <row r="94" spans="20:20" x14ac:dyDescent="0.25">
      <c r="T94" s="151"/>
    </row>
    <row r="95" spans="20:20" x14ac:dyDescent="0.25">
      <c r="T95" s="151"/>
    </row>
    <row r="96" spans="20:20" x14ac:dyDescent="0.25">
      <c r="T96" s="151"/>
    </row>
    <row r="97" spans="20:20" x14ac:dyDescent="0.25">
      <c r="T97" s="151"/>
    </row>
    <row r="98" spans="20:20" x14ac:dyDescent="0.25">
      <c r="T98" s="151"/>
    </row>
    <row r="99" spans="20:20" x14ac:dyDescent="0.25">
      <c r="T99" s="151"/>
    </row>
    <row r="100" spans="20:20" x14ac:dyDescent="0.25">
      <c r="T100" s="151"/>
    </row>
    <row r="101" spans="20:20" x14ac:dyDescent="0.25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topLeftCell="A24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90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81" t="str">
        <f>CONCATENATE("Replacement Demand Table 1  Replacement Demand by Occupation and Qualification, ",$B$6,"-",$C$6,", ",Info!B5)</f>
        <v>Replacement Demand Table 1  Replacement Demand by Occupation and Qualification, 2020-2035, Black Country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Black Country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Black Country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Black Country</v>
      </c>
      <c r="Y1" s="381"/>
      <c r="Z1" s="381"/>
      <c r="AA1" s="381"/>
      <c r="AB1" s="381"/>
      <c r="AC1" s="381"/>
      <c r="AD1" s="381"/>
    </row>
    <row r="2" spans="1:30" ht="19.5" customHeight="1" x14ac:dyDescent="0.25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5" x14ac:dyDescent="0.35">
      <c r="A3" s="1" t="s">
        <v>525</v>
      </c>
      <c r="B3" s="19"/>
      <c r="C3" s="19"/>
      <c r="D3" s="19"/>
      <c r="E3" s="19"/>
      <c r="F3" s="19"/>
      <c r="G3" s="19"/>
      <c r="I3" s="1" t="s">
        <v>526</v>
      </c>
      <c r="P3" s="182" t="s">
        <v>522</v>
      </c>
      <c r="X3" s="1" t="s">
        <v>518</v>
      </c>
    </row>
    <row r="4" spans="1:30" ht="12.75" customHeight="1" x14ac:dyDescent="0.3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ht="12.5" x14ac:dyDescent="0.25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5" customHeight="1" x14ac:dyDescent="0.3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34.458283214558662</v>
      </c>
      <c r="C7" s="11">
        <f t="shared" si="2"/>
        <v>35.408151196311948</v>
      </c>
      <c r="D7" s="11">
        <f t="shared" si="2"/>
        <v>0.94986798175328058</v>
      </c>
      <c r="E7" s="11">
        <f t="shared" si="2"/>
        <v>17.048172646379665</v>
      </c>
      <c r="F7" s="11">
        <f t="shared" si="2"/>
        <v>17.998040628132944</v>
      </c>
      <c r="G7" s="200">
        <f>IF(B7&gt;0,(1+(E7/B7))^(1/($C$6-$B$6))-1,0)</f>
        <v>2.7159456314471475E-2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23.541090375319467</v>
      </c>
      <c r="R7" s="11">
        <v>22.470989594333808</v>
      </c>
      <c r="S7" s="345">
        <f>R7-Q7</f>
        <v>-1.0701007809856584</v>
      </c>
      <c r="T7" s="345">
        <v>10.20275445953774</v>
      </c>
      <c r="U7" s="345">
        <f>SUM(S7:T7)</f>
        <v>9.1326536785520815</v>
      </c>
      <c r="V7" s="346">
        <f>IF(Q7&gt;0,(1+(T7/Q7))^(1/($C$6-$B$6))-1,0)</f>
        <v>2.4293773480250413E-2</v>
      </c>
      <c r="X7" s="10" t="str">
        <f>name!B4</f>
        <v>Agriculture</v>
      </c>
      <c r="Y7" s="11">
        <v>1.1150000000000002</v>
      </c>
      <c r="Z7" s="11">
        <v>1.2149999999999985</v>
      </c>
      <c r="AA7" s="345">
        <f>Z7-Y7</f>
        <v>9.9999999999998312E-2</v>
      </c>
      <c r="AB7" s="11">
        <v>0.61271758812386778</v>
      </c>
      <c r="AC7" s="345">
        <f>SUM(AA7:AB7)</f>
        <v>0.7127175881238661</v>
      </c>
      <c r="AD7" s="348">
        <f>IF(Y7&gt;0,(1+(AB7/Y7))^(1/($C$6-$B$6))-1,0)</f>
        <v>2.9626849559974744E-2</v>
      </c>
    </row>
    <row r="8" spans="1:30" ht="12.5" x14ac:dyDescent="0.25">
      <c r="A8" s="10" t="str">
        <f>name!D5</f>
        <v>12 Other managers and proprietors</v>
      </c>
      <c r="B8" s="11">
        <f t="shared" si="2"/>
        <v>13.203950057125688</v>
      </c>
      <c r="C8" s="11">
        <f t="shared" si="2"/>
        <v>18.931739103093818</v>
      </c>
      <c r="D8" s="11">
        <f t="shared" si="2"/>
        <v>5.7277890459681329</v>
      </c>
      <c r="E8" s="11">
        <f t="shared" si="2"/>
        <v>9.7535732402126207</v>
      </c>
      <c r="F8" s="11">
        <f t="shared" si="2"/>
        <v>15.481362286180753</v>
      </c>
      <c r="G8" s="200">
        <f t="shared" ref="G8:G33" si="3">IF(B8&gt;0,(1+(E8/B8))^(1/($C$6-$B$6))-1,0)</f>
        <v>3.756363991152134E-2</v>
      </c>
      <c r="H8" s="11"/>
      <c r="I8" s="10" t="str">
        <f>name!E4</f>
        <v>Managers, directors and senior officials</v>
      </c>
      <c r="J8" s="11">
        <f t="array" ref="J8:J16">MMULT(aggregation!$B$13:$AA$21,B7:B32)</f>
        <v>47.66223327168435</v>
      </c>
      <c r="K8" s="11">
        <f t="array" ref="K8:K16">MMULT(aggregation!$B$13:$AA$21,C7:C32)</f>
        <v>54.339890299405766</v>
      </c>
      <c r="L8" s="11">
        <f t="array" ref="L8:L16">MMULT(aggregation!$B$13:$AA$21,D7:D32)</f>
        <v>6.6776570277214136</v>
      </c>
      <c r="M8" s="11">
        <f t="array" ref="M8:M16">MMULT(aggregation!$B$13:$AA$21,E7:E32)</f>
        <v>26.801745886592286</v>
      </c>
      <c r="N8" s="11">
        <f t="array" ref="N8:N16">MMULT(aggregation!$B$13:$AA$21,F7:F32)</f>
        <v>33.479402914313695</v>
      </c>
      <c r="O8" s="11"/>
      <c r="P8" s="10" t="str">
        <f>name!D5</f>
        <v>12 Other managers and proprietors</v>
      </c>
      <c r="Q8" s="11">
        <v>7.4006914203220431</v>
      </c>
      <c r="R8" s="11">
        <v>10.791586381605722</v>
      </c>
      <c r="S8" s="345">
        <f t="shared" ref="S8:S31" si="4">R8-Q8</f>
        <v>3.3908949612836787</v>
      </c>
      <c r="T8" s="345">
        <v>4.982811949024966</v>
      </c>
      <c r="U8" s="345">
        <f t="shared" ref="U8:U31" si="5">SUM(S8:T8)</f>
        <v>8.3737069103086448</v>
      </c>
      <c r="V8" s="346">
        <f t="shared" ref="V8:V33" si="6">IF(Q8&gt;0,(1+(T8/Q8))^(1/($C$6-$B$6))-1,0)</f>
        <v>3.4915159811601315E-2</v>
      </c>
      <c r="X8" s="10" t="str">
        <f>name!B5</f>
        <v>Mining and quarrying</v>
      </c>
      <c r="Y8" s="11">
        <v>0.1549999999999995</v>
      </c>
      <c r="Z8" s="11">
        <v>6.2999999999999987E-2</v>
      </c>
      <c r="AA8" s="345">
        <f t="shared" ref="AA8:AA29" si="7">Z8-Y8</f>
        <v>-9.1999999999999513E-2</v>
      </c>
      <c r="AB8" s="11">
        <v>4.222089304311881E-2</v>
      </c>
      <c r="AC8" s="345">
        <f t="shared" ref="AC8:AC29" si="8">SUM(AA8:AB8)</f>
        <v>-4.9779106956880703E-2</v>
      </c>
      <c r="AD8" s="348">
        <f t="shared" ref="AD8:AD29" si="9">IF(Y8&gt;0,(1+(AB8/Y8))^(1/($C$6-$B$6))-1,0)</f>
        <v>1.6189605375152905E-2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26.685661715036925</v>
      </c>
      <c r="C9" s="11">
        <f t="shared" si="2"/>
        <v>30.275163891514975</v>
      </c>
      <c r="D9" s="11">
        <f t="shared" si="2"/>
        <v>3.5895021764780513</v>
      </c>
      <c r="E9" s="11">
        <f t="shared" si="2"/>
        <v>10.313304730852556</v>
      </c>
      <c r="F9" s="11">
        <f t="shared" si="2"/>
        <v>13.902806907330605</v>
      </c>
      <c r="G9" s="200">
        <f t="shared" si="3"/>
        <v>2.2023247009717695E-2</v>
      </c>
      <c r="H9" s="11"/>
      <c r="I9" s="10" t="str">
        <f>name!E5</f>
        <v>Professional occupations</v>
      </c>
      <c r="J9" s="11">
        <v>103.38385272421925</v>
      </c>
      <c r="K9" s="11">
        <v>123.68400316994342</v>
      </c>
      <c r="L9" s="11">
        <v>20.300150445724146</v>
      </c>
      <c r="M9" s="11">
        <v>53.629052517641313</v>
      </c>
      <c r="N9" s="11">
        <v>73.929202963365455</v>
      </c>
      <c r="O9" s="11"/>
      <c r="P9" s="10" t="str">
        <f>name!D6</f>
        <v>21 Science, research, engineering and technology professionals</v>
      </c>
      <c r="Q9" s="11">
        <v>21.818472432371127</v>
      </c>
      <c r="R9" s="11">
        <v>23.341384241157424</v>
      </c>
      <c r="S9" s="345">
        <f t="shared" si="4"/>
        <v>1.5229118087862972</v>
      </c>
      <c r="T9" s="345">
        <v>7.2662991519043132</v>
      </c>
      <c r="U9" s="345">
        <f t="shared" si="5"/>
        <v>8.7892109606906104</v>
      </c>
      <c r="V9" s="346">
        <f t="shared" si="6"/>
        <v>1.9348655461862485E-2</v>
      </c>
      <c r="X9" s="10" t="str">
        <f>name!B6</f>
        <v>Food drink and tobacco</v>
      </c>
      <c r="Y9" s="11">
        <v>6.2970000000000024</v>
      </c>
      <c r="Z9" s="11">
        <v>6.1889999999999938</v>
      </c>
      <c r="AA9" s="345">
        <f t="shared" si="7"/>
        <v>-0.10800000000000853</v>
      </c>
      <c r="AB9" s="11">
        <v>2.7563104773915303</v>
      </c>
      <c r="AC9" s="345">
        <f t="shared" si="8"/>
        <v>2.6483104773915218</v>
      </c>
      <c r="AD9" s="348">
        <f t="shared" si="9"/>
        <v>2.4499100453316602E-2</v>
      </c>
    </row>
    <row r="10" spans="1:30" ht="12.5" x14ac:dyDescent="0.25">
      <c r="A10" s="10" t="str">
        <f>name!D7</f>
        <v>22 Health professionals</v>
      </c>
      <c r="B10" s="11">
        <f t="shared" si="2"/>
        <v>26.829030859021039</v>
      </c>
      <c r="C10" s="11">
        <f t="shared" si="2"/>
        <v>32.152035056604745</v>
      </c>
      <c r="D10" s="11">
        <f t="shared" si="2"/>
        <v>5.3230041975837032</v>
      </c>
      <c r="E10" s="11">
        <f t="shared" si="2"/>
        <v>15.876709301282569</v>
      </c>
      <c r="F10" s="11">
        <f t="shared" si="2"/>
        <v>21.199713498866277</v>
      </c>
      <c r="G10" s="200">
        <f t="shared" si="3"/>
        <v>3.1475106492189653E-2</v>
      </c>
      <c r="H10" s="11"/>
      <c r="I10" s="10" t="str">
        <f>name!E6</f>
        <v>Associate professional occupations</v>
      </c>
      <c r="J10" s="11">
        <v>60.870563130092521</v>
      </c>
      <c r="K10" s="11">
        <v>63.713873046934708</v>
      </c>
      <c r="L10" s="11">
        <v>2.8433099168421814</v>
      </c>
      <c r="M10" s="11">
        <v>28.085772003775855</v>
      </c>
      <c r="N10" s="11">
        <v>30.929081920618042</v>
      </c>
      <c r="O10" s="11"/>
      <c r="P10" s="10" t="str">
        <f>name!D7</f>
        <v>22 Health professionals</v>
      </c>
      <c r="Q10" s="11">
        <v>6.7901368676653817</v>
      </c>
      <c r="R10" s="11">
        <v>7.8635435431675589</v>
      </c>
      <c r="S10" s="345">
        <f t="shared" si="4"/>
        <v>1.0734066755021772</v>
      </c>
      <c r="T10" s="345">
        <v>2.8413973104385644</v>
      </c>
      <c r="U10" s="345">
        <f t="shared" si="5"/>
        <v>3.9148039859407415</v>
      </c>
      <c r="V10" s="346">
        <f t="shared" si="6"/>
        <v>2.3578439616761315E-2</v>
      </c>
      <c r="X10" s="10" t="str">
        <f>name!B7</f>
        <v>Engineering</v>
      </c>
      <c r="Y10" s="11">
        <v>7.4150000000000249</v>
      </c>
      <c r="Z10" s="11">
        <v>7.0909999999999744</v>
      </c>
      <c r="AA10" s="345">
        <f t="shared" si="7"/>
        <v>-0.32400000000005047</v>
      </c>
      <c r="AB10" s="11">
        <v>3.1694309101435358</v>
      </c>
      <c r="AC10" s="345">
        <f t="shared" si="8"/>
        <v>2.8454309101434854</v>
      </c>
      <c r="AD10" s="348">
        <f t="shared" si="9"/>
        <v>2.4008961028304299E-2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21.982938940498297</v>
      </c>
      <c r="C11" s="11">
        <f t="shared" si="2"/>
        <v>26.04874420557195</v>
      </c>
      <c r="D11" s="11">
        <f t="shared" si="2"/>
        <v>4.0658052650736476</v>
      </c>
      <c r="E11" s="11">
        <f t="shared" si="2"/>
        <v>12.214918035015762</v>
      </c>
      <c r="F11" s="11">
        <f t="shared" si="2"/>
        <v>16.280723300089413</v>
      </c>
      <c r="G11" s="200">
        <f t="shared" si="3"/>
        <v>2.9897986789862552E-2</v>
      </c>
      <c r="H11" s="11"/>
      <c r="I11" s="10" t="str">
        <f>name!E7</f>
        <v>Administrative and secretarial occupations</v>
      </c>
      <c r="J11" s="11">
        <v>56.605928964515655</v>
      </c>
      <c r="K11" s="11">
        <v>48.14884375460904</v>
      </c>
      <c r="L11" s="11">
        <v>-8.4570852099066194</v>
      </c>
      <c r="M11" s="11">
        <v>26.155382761210923</v>
      </c>
      <c r="N11" s="11">
        <v>17.698297551304304</v>
      </c>
      <c r="O11" s="11"/>
      <c r="P11" s="10" t="str">
        <f>name!D8</f>
        <v>23 Teaching and other educational professionals</v>
      </c>
      <c r="Q11" s="11">
        <v>7.1657801652128423</v>
      </c>
      <c r="R11" s="11">
        <v>8.3118035521619635</v>
      </c>
      <c r="S11" s="345">
        <f t="shared" si="4"/>
        <v>1.1460233869491212</v>
      </c>
      <c r="T11" s="345">
        <v>3.3613858583212401</v>
      </c>
      <c r="U11" s="345">
        <f t="shared" si="5"/>
        <v>4.5074092452703614</v>
      </c>
      <c r="V11" s="346">
        <f t="shared" si="6"/>
        <v>2.5974419689469341E-2</v>
      </c>
      <c r="X11" s="10" t="str">
        <f>name!B8</f>
        <v>Rest of manufacturing</v>
      </c>
      <c r="Y11" s="11">
        <v>50.166999999999987</v>
      </c>
      <c r="Z11" s="11">
        <v>43.609999999999964</v>
      </c>
      <c r="AA11" s="345">
        <f t="shared" si="7"/>
        <v>-6.5570000000000235</v>
      </c>
      <c r="AB11" s="11">
        <v>19.781791225959136</v>
      </c>
      <c r="AC11" s="345">
        <f t="shared" si="8"/>
        <v>13.224791225959112</v>
      </c>
      <c r="AD11" s="348">
        <f t="shared" si="9"/>
        <v>2.2407764188540957E-2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27.886221209662999</v>
      </c>
      <c r="C12" s="11">
        <f t="shared" si="2"/>
        <v>35.208060016251743</v>
      </c>
      <c r="D12" s="11">
        <f t="shared" si="2"/>
        <v>7.3218388065887439</v>
      </c>
      <c r="E12" s="11">
        <f t="shared" si="2"/>
        <v>15.224120450490423</v>
      </c>
      <c r="F12" s="11">
        <f t="shared" si="2"/>
        <v>22.545959257079161</v>
      </c>
      <c r="G12" s="200">
        <f t="shared" si="3"/>
        <v>2.9467845673559534E-2</v>
      </c>
      <c r="H12" s="11"/>
      <c r="I12" s="10" t="str">
        <f>name!E8</f>
        <v>Skilled trades occupations</v>
      </c>
      <c r="J12" s="11">
        <v>52.306630670550838</v>
      </c>
      <c r="K12" s="11">
        <v>47.401734716717307</v>
      </c>
      <c r="L12" s="11">
        <v>-4.9048959538335248</v>
      </c>
      <c r="M12" s="11">
        <v>20.681544433003907</v>
      </c>
      <c r="N12" s="11">
        <v>15.776648479170383</v>
      </c>
      <c r="O12" s="11"/>
      <c r="P12" s="10" t="str">
        <f>name!D9</f>
        <v>24 Business, media and public service professionals</v>
      </c>
      <c r="Q12" s="11">
        <v>16.146207267011317</v>
      </c>
      <c r="R12" s="11">
        <v>19.741649303463671</v>
      </c>
      <c r="S12" s="345">
        <f t="shared" si="4"/>
        <v>3.5954420364523543</v>
      </c>
      <c r="T12" s="345">
        <v>7.7493173771787145</v>
      </c>
      <c r="U12" s="345">
        <f t="shared" si="5"/>
        <v>11.344759413631069</v>
      </c>
      <c r="V12" s="346">
        <f t="shared" si="6"/>
        <v>2.6478214337783523E-2</v>
      </c>
      <c r="X12" s="10" t="str">
        <f>name!B9</f>
        <v>Electricity and gas</v>
      </c>
      <c r="Y12" s="11">
        <v>1.9710000000000003</v>
      </c>
      <c r="Z12" s="11">
        <v>1.8179999999999998</v>
      </c>
      <c r="AA12" s="345">
        <f t="shared" si="7"/>
        <v>-0.15300000000000047</v>
      </c>
      <c r="AB12" s="11">
        <v>0.79230698748769435</v>
      </c>
      <c r="AC12" s="345">
        <f t="shared" si="8"/>
        <v>0.63930698748769388</v>
      </c>
      <c r="AD12" s="348">
        <f t="shared" si="9"/>
        <v>2.2781429642973361E-2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8.7583830870047326</v>
      </c>
      <c r="C13" s="11">
        <f t="shared" si="2"/>
        <v>7.7929826577159522</v>
      </c>
      <c r="D13" s="11">
        <f t="shared" si="2"/>
        <v>-0.96540042928878056</v>
      </c>
      <c r="E13" s="11">
        <f t="shared" si="2"/>
        <v>3.0653345470108286</v>
      </c>
      <c r="F13" s="11">
        <f t="shared" si="2"/>
        <v>2.0999341177220483</v>
      </c>
      <c r="G13" s="200">
        <f t="shared" si="3"/>
        <v>2.0207881195704713E-2</v>
      </c>
      <c r="H13" s="11"/>
      <c r="I13" s="10" t="str">
        <f>name!E9</f>
        <v>Caring, leisure and other service occupations</v>
      </c>
      <c r="J13" s="11">
        <v>49.410643446209647</v>
      </c>
      <c r="K13" s="11">
        <v>57.663130107930797</v>
      </c>
      <c r="L13" s="11">
        <v>8.2524866617211483</v>
      </c>
      <c r="M13" s="11">
        <v>30.248027009467108</v>
      </c>
      <c r="N13" s="11">
        <v>38.500513671188251</v>
      </c>
      <c r="O13" s="11"/>
      <c r="P13" s="10" t="str">
        <f>name!D10</f>
        <v>31 Science, engineering and technology associate professionals</v>
      </c>
      <c r="Q13" s="11">
        <v>6.7520478139256888</v>
      </c>
      <c r="R13" s="11">
        <v>5.4201932230587637</v>
      </c>
      <c r="S13" s="345">
        <f t="shared" si="4"/>
        <v>-1.331854590866925</v>
      </c>
      <c r="T13" s="345">
        <v>1.9873010340181028</v>
      </c>
      <c r="U13" s="345">
        <f t="shared" si="5"/>
        <v>0.65544644315117773</v>
      </c>
      <c r="V13" s="346">
        <f t="shared" si="6"/>
        <v>1.7348083033404071E-2</v>
      </c>
      <c r="X13" s="10" t="str">
        <f>name!B10</f>
        <v>Water and sewerage</v>
      </c>
      <c r="Y13" s="11">
        <v>3.8030000000000097</v>
      </c>
      <c r="Z13" s="11">
        <v>4.0479999999999974</v>
      </c>
      <c r="AA13" s="345">
        <f t="shared" si="7"/>
        <v>0.24499999999998767</v>
      </c>
      <c r="AB13" s="11">
        <v>1.738711302445989</v>
      </c>
      <c r="AC13" s="345">
        <f t="shared" si="8"/>
        <v>1.9837113024459767</v>
      </c>
      <c r="AD13" s="348">
        <f t="shared" si="9"/>
        <v>2.5418554299612151E-2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11.033633555444217</v>
      </c>
      <c r="C14" s="11">
        <f t="shared" si="2"/>
        <v>12.588267509691505</v>
      </c>
      <c r="D14" s="11">
        <f t="shared" si="2"/>
        <v>1.554633954247288</v>
      </c>
      <c r="E14" s="11">
        <f t="shared" si="2"/>
        <v>6.6936695426944146</v>
      </c>
      <c r="F14" s="11">
        <f t="shared" si="2"/>
        <v>8.2483034969417055</v>
      </c>
      <c r="G14" s="200">
        <f t="shared" si="3"/>
        <v>3.2115438359330728E-2</v>
      </c>
      <c r="H14" s="11"/>
      <c r="I14" s="10" t="str">
        <f>name!E10</f>
        <v>Sales and customer service occupations</v>
      </c>
      <c r="J14" s="11">
        <v>39.309638587229415</v>
      </c>
      <c r="K14" s="11">
        <v>39.410882758368288</v>
      </c>
      <c r="L14" s="11">
        <v>0.10124417113888118</v>
      </c>
      <c r="M14" s="11">
        <v>17.957580114900235</v>
      </c>
      <c r="N14" s="11">
        <v>18.058824286039112</v>
      </c>
      <c r="O14" s="11"/>
      <c r="P14" s="10" t="str">
        <f>name!D11</f>
        <v>32 Health and social care associate professionals</v>
      </c>
      <c r="Q14" s="11">
        <v>2.4664319309430569</v>
      </c>
      <c r="R14" s="11">
        <v>2.4461537245581995</v>
      </c>
      <c r="S14" s="345">
        <f t="shared" si="4"/>
        <v>-2.0278206384857445E-2</v>
      </c>
      <c r="T14" s="345">
        <v>1.1381357536644265</v>
      </c>
      <c r="U14" s="345">
        <f t="shared" si="5"/>
        <v>1.1178575472795691</v>
      </c>
      <c r="V14" s="346">
        <f t="shared" si="6"/>
        <v>2.5617927018871667E-2</v>
      </c>
      <c r="X14" s="10" t="str">
        <f>name!B11</f>
        <v>Construction</v>
      </c>
      <c r="Y14" s="11">
        <v>37.015000000000043</v>
      </c>
      <c r="Z14" s="11">
        <v>37.449999999999932</v>
      </c>
      <c r="AA14" s="345">
        <f t="shared" si="7"/>
        <v>0.43499999999988859</v>
      </c>
      <c r="AB14" s="11">
        <v>15.502149947583076</v>
      </c>
      <c r="AC14" s="345">
        <f t="shared" si="8"/>
        <v>15.937149947582965</v>
      </c>
      <c r="AD14" s="348">
        <f t="shared" si="9"/>
        <v>2.3595166331646489E-2</v>
      </c>
    </row>
    <row r="15" spans="1:30" ht="12.5" x14ac:dyDescent="0.25">
      <c r="A15" s="10" t="str">
        <f>name!D12</f>
        <v>33 Protective service occupations</v>
      </c>
      <c r="B15" s="11">
        <f t="shared" si="2"/>
        <v>4.7001992247175259</v>
      </c>
      <c r="C15" s="11">
        <f t="shared" si="2"/>
        <v>6.7057443147352043</v>
      </c>
      <c r="D15" s="11">
        <f t="shared" si="2"/>
        <v>2.0055450900176792</v>
      </c>
      <c r="E15" s="11">
        <f t="shared" si="2"/>
        <v>2.0642343570892101</v>
      </c>
      <c r="F15" s="11">
        <f t="shared" si="2"/>
        <v>4.0697794471068898</v>
      </c>
      <c r="G15" s="200">
        <f t="shared" si="3"/>
        <v>2.456852794576192E-2</v>
      </c>
      <c r="H15" s="11"/>
      <c r="I15" s="10" t="str">
        <f>name!E11</f>
        <v>Process, plant and machine operatives</v>
      </c>
      <c r="J15" s="11">
        <v>40.267755299281518</v>
      </c>
      <c r="K15" s="11">
        <v>45.466920875438298</v>
      </c>
      <c r="L15" s="11">
        <v>5.1991655761567781</v>
      </c>
      <c r="M15" s="11">
        <v>21.228253252211957</v>
      </c>
      <c r="N15" s="11">
        <v>26.427418828368733</v>
      </c>
      <c r="O15" s="11"/>
      <c r="P15" s="10" t="str">
        <f>name!D12</f>
        <v>33 Protective service occupations</v>
      </c>
      <c r="Q15" s="11">
        <v>3.4192040474433307</v>
      </c>
      <c r="R15" s="11">
        <v>4.3844965160471778</v>
      </c>
      <c r="S15" s="345">
        <f t="shared" si="4"/>
        <v>0.9652924686038471</v>
      </c>
      <c r="T15" s="345">
        <v>1.146554881386878</v>
      </c>
      <c r="U15" s="345">
        <f t="shared" si="5"/>
        <v>2.1118473499907253</v>
      </c>
      <c r="V15" s="346">
        <f t="shared" si="6"/>
        <v>1.9465493560095082E-2</v>
      </c>
      <c r="X15" s="10" t="str">
        <f>name!B12</f>
        <v>Wholesale and retail trade</v>
      </c>
      <c r="Y15" s="11">
        <v>87.073999999999927</v>
      </c>
      <c r="Z15" s="11">
        <v>88.843000000000146</v>
      </c>
      <c r="AA15" s="345">
        <f t="shared" si="7"/>
        <v>1.7690000000002186</v>
      </c>
      <c r="AB15" s="11">
        <v>41.021183041804584</v>
      </c>
      <c r="AC15" s="345">
        <f t="shared" si="8"/>
        <v>42.790183041804802</v>
      </c>
      <c r="AD15" s="348">
        <f t="shared" si="9"/>
        <v>2.6068338802329949E-2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7.6662439139121075</v>
      </c>
      <c r="C16" s="11">
        <f t="shared" si="2"/>
        <v>8.025505883018381</v>
      </c>
      <c r="D16" s="11">
        <f t="shared" si="2"/>
        <v>0.35926196910627139</v>
      </c>
      <c r="E16" s="11">
        <f t="shared" si="2"/>
        <v>3.4663871952510545</v>
      </c>
      <c r="F16" s="11">
        <f t="shared" si="2"/>
        <v>3.8256491643573249</v>
      </c>
      <c r="G16" s="200">
        <f t="shared" si="3"/>
        <v>2.5182094601238658E-2</v>
      </c>
      <c r="H16" s="11"/>
      <c r="I16" s="10" t="str">
        <f>name!E12</f>
        <v>Elementary occupations</v>
      </c>
      <c r="J16" s="11">
        <v>46.376753906216891</v>
      </c>
      <c r="K16" s="11">
        <v>42.114721270652211</v>
      </c>
      <c r="L16" s="11">
        <v>-4.2620326355646796</v>
      </c>
      <c r="M16" s="11">
        <v>21.212774715744736</v>
      </c>
      <c r="N16" s="11">
        <v>16.950742080180053</v>
      </c>
      <c r="O16" s="11"/>
      <c r="P16" s="10" t="str">
        <f>name!D13</f>
        <v>34 Culture, media and sports occupations</v>
      </c>
      <c r="Q16" s="11">
        <v>4.5266562824420671</v>
      </c>
      <c r="R16" s="11">
        <v>4.6667567601410695</v>
      </c>
      <c r="S16" s="345">
        <f t="shared" si="4"/>
        <v>0.14010047769900247</v>
      </c>
      <c r="T16" s="345">
        <v>1.7794214074744488</v>
      </c>
      <c r="U16" s="345">
        <f t="shared" si="5"/>
        <v>1.9195218851734512</v>
      </c>
      <c r="V16" s="346">
        <f t="shared" si="6"/>
        <v>2.2348081936480302E-2</v>
      </c>
      <c r="X16" s="10" t="str">
        <f>name!B13</f>
        <v>Transport and storage</v>
      </c>
      <c r="Y16" s="11">
        <v>32.947999999999908</v>
      </c>
      <c r="Z16" s="11">
        <v>37.760999999999989</v>
      </c>
      <c r="AA16" s="345">
        <f t="shared" si="7"/>
        <v>4.8130000000000805</v>
      </c>
      <c r="AB16" s="11">
        <v>17.33263106233365</v>
      </c>
      <c r="AC16" s="345">
        <f t="shared" si="8"/>
        <v>22.145631062333731</v>
      </c>
      <c r="AD16" s="348">
        <f t="shared" si="9"/>
        <v>2.8580083626708941E-2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28.712103349013933</v>
      </c>
      <c r="C17" s="11">
        <f t="shared" si="10"/>
        <v>28.601372681773665</v>
      </c>
      <c r="D17" s="11">
        <f t="shared" si="10"/>
        <v>-0.11073066724027658</v>
      </c>
      <c r="E17" s="11">
        <f t="shared" si="10"/>
        <v>12.796146361730347</v>
      </c>
      <c r="F17" s="11">
        <f t="shared" si="10"/>
        <v>12.685415694490072</v>
      </c>
      <c r="G17" s="200">
        <f t="shared" si="3"/>
        <v>2.4875931497954085E-2</v>
      </c>
      <c r="H17" s="11"/>
      <c r="O17" s="11"/>
      <c r="P17" s="10" t="str">
        <f>name!D14</f>
        <v>35 Business and public service associate professionals</v>
      </c>
      <c r="Q17" s="11">
        <v>15.681841668855601</v>
      </c>
      <c r="R17" s="11">
        <v>14.36700043432305</v>
      </c>
      <c r="S17" s="345">
        <f t="shared" si="4"/>
        <v>-1.3148412345325511</v>
      </c>
      <c r="T17" s="345">
        <v>5.5829686119788713</v>
      </c>
      <c r="U17" s="345">
        <f t="shared" si="5"/>
        <v>4.2681273774463202</v>
      </c>
      <c r="V17" s="346">
        <f t="shared" si="6"/>
        <v>2.0510857945784888E-2</v>
      </c>
      <c r="X17" s="10" t="str">
        <f>name!B14</f>
        <v>Accommodation and food</v>
      </c>
      <c r="Y17" s="11">
        <v>24.702000000000005</v>
      </c>
      <c r="Z17" s="11">
        <v>29.35199999999999</v>
      </c>
      <c r="AA17" s="345">
        <f t="shared" si="7"/>
        <v>4.6499999999999844</v>
      </c>
      <c r="AB17" s="11">
        <v>13.870571853464222</v>
      </c>
      <c r="AC17" s="345">
        <f t="shared" si="8"/>
        <v>18.520571853464205</v>
      </c>
      <c r="AD17" s="348">
        <f t="shared" si="9"/>
        <v>3.0156242558857738E-2</v>
      </c>
    </row>
    <row r="18" spans="1:30" x14ac:dyDescent="0.3">
      <c r="A18" s="10" t="str">
        <f>name!D15</f>
        <v>41 Administrative occupations</v>
      </c>
      <c r="B18" s="11">
        <f t="shared" si="10"/>
        <v>47.317539575288428</v>
      </c>
      <c r="C18" s="11">
        <f t="shared" si="10"/>
        <v>41.608672087451588</v>
      </c>
      <c r="D18" s="11">
        <f t="shared" si="10"/>
        <v>-5.7088674878368488</v>
      </c>
      <c r="E18" s="11">
        <f t="shared" si="10"/>
        <v>21.612891822284254</v>
      </c>
      <c r="F18" s="11">
        <f t="shared" si="10"/>
        <v>15.904024334447408</v>
      </c>
      <c r="G18" s="200">
        <f t="shared" si="3"/>
        <v>2.539829151726436E-2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16.30028080571164</v>
      </c>
      <c r="R18" s="11">
        <v>17.329207429920501</v>
      </c>
      <c r="S18" s="345">
        <f t="shared" si="4"/>
        <v>1.0289266242088608</v>
      </c>
      <c r="T18" s="345">
        <v>6.2193023036870123</v>
      </c>
      <c r="U18" s="345">
        <f t="shared" si="5"/>
        <v>7.2482289278958731</v>
      </c>
      <c r="V18" s="346">
        <f t="shared" si="6"/>
        <v>2.1780673677536111E-2</v>
      </c>
      <c r="X18" s="10" t="str">
        <f>name!B15</f>
        <v>Media</v>
      </c>
      <c r="Y18" s="11">
        <v>2.1100000000000025</v>
      </c>
      <c r="Z18" s="11">
        <v>2.1059999999999963</v>
      </c>
      <c r="AA18" s="345">
        <f t="shared" si="7"/>
        <v>-4.0000000000062208E-3</v>
      </c>
      <c r="AB18" s="11">
        <v>0.96361093984688406</v>
      </c>
      <c r="AC18" s="345">
        <f t="shared" si="8"/>
        <v>0.95961093984687784</v>
      </c>
      <c r="AD18" s="348">
        <f t="shared" si="9"/>
        <v>2.5394764958090565E-2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9.2883893892272233</v>
      </c>
      <c r="C19" s="11">
        <f t="shared" si="10"/>
        <v>6.5401716671574519</v>
      </c>
      <c r="D19" s="11">
        <f t="shared" si="10"/>
        <v>-2.7482177220697701</v>
      </c>
      <c r="E19" s="11">
        <f t="shared" si="10"/>
        <v>4.542490938926667</v>
      </c>
      <c r="F19" s="11">
        <f t="shared" si="10"/>
        <v>1.794273216856896</v>
      </c>
      <c r="G19" s="200">
        <f t="shared" si="3"/>
        <v>2.6897966836926912E-2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0.53260946093572958</v>
      </c>
      <c r="K19" s="11">
        <f t="array" ref="K19:K27">MMULT(aggregation!$B$13:$AA$21,C36:C61)</f>
        <v>1.1036888467925678</v>
      </c>
      <c r="L19" s="11">
        <f t="array" ref="L19:L27">MMULT(aggregation!$B$13:$AA$21,D36:D61)</f>
        <v>0.57107938585683826</v>
      </c>
      <c r="M19" s="11">
        <f t="array" ref="M19:M27">MMULT(aggregation!$B$13:$AA$21,E36:E61)</f>
        <v>0.4335194131438167</v>
      </c>
      <c r="N19" s="11">
        <f t="array" ref="N19:N27">MMULT(aggregation!$B$13:$AA$21,F36:F61)</f>
        <v>1.0045987990006549</v>
      </c>
      <c r="O19" s="11"/>
      <c r="P19" s="10" t="str">
        <f>name!D16</f>
        <v>42 Secretarial and related occupations</v>
      </c>
      <c r="Q19" s="11">
        <v>0.69927002657578796</v>
      </c>
      <c r="R19" s="11">
        <v>1.0652556392754455</v>
      </c>
      <c r="S19" s="345">
        <f t="shared" si="4"/>
        <v>0.36598561269965757</v>
      </c>
      <c r="T19" s="345">
        <v>0.31033253098752311</v>
      </c>
      <c r="U19" s="345">
        <f t="shared" si="5"/>
        <v>0.67631814368718068</v>
      </c>
      <c r="V19" s="346">
        <f t="shared" si="6"/>
        <v>2.4787222823404509E-2</v>
      </c>
      <c r="X19" s="10" t="str">
        <f>name!B16</f>
        <v>Information technology</v>
      </c>
      <c r="Y19" s="11">
        <v>6.8729999999999754</v>
      </c>
      <c r="Z19" s="11">
        <v>7.39</v>
      </c>
      <c r="AA19" s="345">
        <f t="shared" si="7"/>
        <v>0.51700000000002433</v>
      </c>
      <c r="AB19" s="11">
        <v>3.0961922169591958</v>
      </c>
      <c r="AC19" s="345">
        <f t="shared" si="8"/>
        <v>3.6131922169592201</v>
      </c>
      <c r="AD19" s="348">
        <f t="shared" si="9"/>
        <v>2.5103166543943845E-2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3.1859142674106153</v>
      </c>
      <c r="C20" s="11">
        <f t="shared" si="10"/>
        <v>3.7139631488526734</v>
      </c>
      <c r="D20" s="11">
        <f t="shared" si="10"/>
        <v>0.52804888144205753</v>
      </c>
      <c r="E20" s="11">
        <f t="shared" si="10"/>
        <v>1.8714766757540804</v>
      </c>
      <c r="F20" s="11">
        <f t="shared" si="10"/>
        <v>2.3995255571961378</v>
      </c>
      <c r="G20" s="200">
        <f t="shared" si="3"/>
        <v>3.1286888092308951E-2</v>
      </c>
      <c r="H20" s="11"/>
      <c r="I20" s="11" t="str">
        <f t="shared" si="11"/>
        <v>Professional occupations</v>
      </c>
      <c r="J20" s="11">
        <v>5.3693359288503082</v>
      </c>
      <c r="K20" s="11">
        <v>9.7737717460242486</v>
      </c>
      <c r="L20" s="11">
        <v>4.4044358171739422</v>
      </c>
      <c r="M20" s="11">
        <v>3.4883208601920379</v>
      </c>
      <c r="N20" s="11">
        <v>7.8927566773659814</v>
      </c>
      <c r="O20" s="11"/>
      <c r="P20" s="10" t="str">
        <f>name!D17</f>
        <v>51 Skilled agricultural and related trades</v>
      </c>
      <c r="Q20" s="11">
        <v>2.6169442046855278</v>
      </c>
      <c r="R20" s="11">
        <v>2.9386848333331872</v>
      </c>
      <c r="S20" s="345">
        <f t="shared" si="4"/>
        <v>0.3217406286476594</v>
      </c>
      <c r="T20" s="345">
        <v>1.40160300361368</v>
      </c>
      <c r="U20" s="345">
        <f t="shared" si="5"/>
        <v>1.7233436322613394</v>
      </c>
      <c r="V20" s="346">
        <f t="shared" si="6"/>
        <v>2.9006948557102286E-2</v>
      </c>
      <c r="X20" s="10" t="str">
        <f>name!B17</f>
        <v>Finance and insurance</v>
      </c>
      <c r="Y20" s="11">
        <v>10.441000000000015</v>
      </c>
      <c r="Z20" s="11">
        <v>10.053999999999988</v>
      </c>
      <c r="AA20" s="345">
        <f t="shared" si="7"/>
        <v>-0.3870000000000271</v>
      </c>
      <c r="AB20" s="11">
        <v>4.9850469719075363</v>
      </c>
      <c r="AC20" s="345">
        <f t="shared" si="8"/>
        <v>4.5980469719075092</v>
      </c>
      <c r="AD20" s="348">
        <f t="shared" si="9"/>
        <v>2.6362644125988099E-2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23.336997409184587</v>
      </c>
      <c r="C21" s="11">
        <f t="shared" si="10"/>
        <v>20.844900637900015</v>
      </c>
      <c r="D21" s="11">
        <f t="shared" si="10"/>
        <v>-2.4920967712845719</v>
      </c>
      <c r="E21" s="11">
        <f t="shared" si="10"/>
        <v>8.338256863704288</v>
      </c>
      <c r="F21" s="11">
        <f t="shared" si="10"/>
        <v>5.8461600924197166</v>
      </c>
      <c r="G21" s="200">
        <f t="shared" si="3"/>
        <v>2.0575195376490552E-2</v>
      </c>
      <c r="H21" s="11"/>
      <c r="I21" s="11" t="str">
        <f t="shared" si="11"/>
        <v>Associate professional occupations</v>
      </c>
      <c r="J21" s="11">
        <v>0.59747336327652545</v>
      </c>
      <c r="K21" s="11">
        <v>1.2251393085468076</v>
      </c>
      <c r="L21" s="11">
        <v>0.62766594527028197</v>
      </c>
      <c r="M21" s="11">
        <v>0.41211285838803713</v>
      </c>
      <c r="N21" s="11">
        <v>1.0397788036583191</v>
      </c>
      <c r="O21" s="11"/>
      <c r="P21" s="10" t="str">
        <f>name!D18</f>
        <v>52 Skilled metal, electrical and electronic trades</v>
      </c>
      <c r="Q21" s="11">
        <v>22.875815286022011</v>
      </c>
      <c r="R21" s="11">
        <v>19.682681549916762</v>
      </c>
      <c r="S21" s="345">
        <f t="shared" si="4"/>
        <v>-3.1931337361052492</v>
      </c>
      <c r="T21" s="345">
        <v>7.7832913854122499</v>
      </c>
      <c r="U21" s="345">
        <f t="shared" si="5"/>
        <v>4.5901576493070007</v>
      </c>
      <c r="V21" s="346">
        <f t="shared" si="6"/>
        <v>1.971512492388916E-2</v>
      </c>
      <c r="X21" s="10" t="str">
        <f>name!B18</f>
        <v>Real estate</v>
      </c>
      <c r="Y21" s="11">
        <v>10.239999999999995</v>
      </c>
      <c r="Z21" s="11">
        <v>11.23800000000001</v>
      </c>
      <c r="AA21" s="345">
        <f t="shared" si="7"/>
        <v>0.99800000000001532</v>
      </c>
      <c r="AB21" s="11">
        <v>5.1361528924868995</v>
      </c>
      <c r="AC21" s="345">
        <f t="shared" si="8"/>
        <v>6.1341528924869149</v>
      </c>
      <c r="AD21" s="348">
        <f t="shared" si="9"/>
        <v>2.7471652715691075E-2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17.43359971900254</v>
      </c>
      <c r="C22" s="11">
        <f t="shared" si="10"/>
        <v>15.35781956065968</v>
      </c>
      <c r="D22" s="11">
        <f t="shared" si="10"/>
        <v>-2.0757801583428606</v>
      </c>
      <c r="E22" s="11">
        <f t="shared" si="10"/>
        <v>7.1060875783042627</v>
      </c>
      <c r="F22" s="11">
        <f t="shared" si="10"/>
        <v>5.0303074199614022</v>
      </c>
      <c r="G22" s="200">
        <f t="shared" si="3"/>
        <v>2.3054563470612965E-2</v>
      </c>
      <c r="H22" s="11"/>
      <c r="I22" s="11" t="str">
        <f t="shared" si="11"/>
        <v>Administrative and secretarial occupations</v>
      </c>
      <c r="J22" s="11">
        <v>0.30097136858721052</v>
      </c>
      <c r="K22" s="11">
        <v>0.62458714196079745</v>
      </c>
      <c r="L22" s="11">
        <v>0.32361577337358693</v>
      </c>
      <c r="M22" s="11">
        <v>0.22562476705197451</v>
      </c>
      <c r="N22" s="11">
        <v>0.54924054042556147</v>
      </c>
      <c r="O22" s="11"/>
      <c r="P22" s="10" t="str">
        <f>name!D19</f>
        <v>53 Skilled construction and building trades</v>
      </c>
      <c r="Q22" s="11">
        <v>17.154190392596323</v>
      </c>
      <c r="R22" s="11">
        <v>15.033360244624994</v>
      </c>
      <c r="S22" s="345">
        <f t="shared" si="4"/>
        <v>-2.1208301479713292</v>
      </c>
      <c r="T22" s="345">
        <v>6.9468456199543267</v>
      </c>
      <c r="U22" s="345">
        <f t="shared" si="5"/>
        <v>4.8260154719829975</v>
      </c>
      <c r="V22" s="346">
        <f t="shared" si="6"/>
        <v>2.2926349486823927E-2</v>
      </c>
      <c r="X22" s="10" t="str">
        <f>name!B19</f>
        <v>Professional services</v>
      </c>
      <c r="Y22" s="11">
        <v>24.729000000000006</v>
      </c>
      <c r="Z22" s="11">
        <v>26.89300000000004</v>
      </c>
      <c r="AA22" s="345">
        <f t="shared" si="7"/>
        <v>2.1640000000000335</v>
      </c>
      <c r="AB22" s="11">
        <v>12.143444311822394</v>
      </c>
      <c r="AC22" s="345">
        <f t="shared" si="8"/>
        <v>14.307444311822428</v>
      </c>
      <c r="AD22" s="348">
        <f t="shared" si="9"/>
        <v>2.6990339211488523E-2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8.3501192749530944</v>
      </c>
      <c r="C23" s="11">
        <f t="shared" si="10"/>
        <v>7.4850513693049434</v>
      </c>
      <c r="D23" s="11">
        <f t="shared" si="10"/>
        <v>-0.86506790564814973</v>
      </c>
      <c r="E23" s="11">
        <f t="shared" si="10"/>
        <v>3.3657233152412753</v>
      </c>
      <c r="F23" s="11">
        <f t="shared" si="10"/>
        <v>2.5006554095931253</v>
      </c>
      <c r="G23" s="200">
        <f t="shared" si="3"/>
        <v>2.2834551020491256E-2</v>
      </c>
      <c r="H23" s="11"/>
      <c r="I23" s="11" t="str">
        <f t="shared" si="11"/>
        <v>Skilled trades occupations</v>
      </c>
      <c r="J23" s="11">
        <v>5.265415312436951E-2</v>
      </c>
      <c r="K23" s="11">
        <v>9.3527336262846733E-2</v>
      </c>
      <c r="L23" s="11">
        <v>4.0873183138477223E-2</v>
      </c>
      <c r="M23" s="11">
        <v>3.4733313217864437E-2</v>
      </c>
      <c r="N23" s="11">
        <v>7.5606496356341646E-2</v>
      </c>
      <c r="O23" s="11"/>
      <c r="P23" s="10" t="str">
        <f>name!D20</f>
        <v>54 Textiles, printing and other skilled trades</v>
      </c>
      <c r="Q23" s="11">
        <v>4.9649399753070922</v>
      </c>
      <c r="R23" s="11">
        <v>4.2518098478429378</v>
      </c>
      <c r="S23" s="345">
        <f t="shared" si="4"/>
        <v>-0.71313012746415438</v>
      </c>
      <c r="T23" s="345">
        <v>1.4576390606796472</v>
      </c>
      <c r="U23" s="345">
        <f t="shared" si="5"/>
        <v>0.74450893321549283</v>
      </c>
      <c r="V23" s="346">
        <f t="shared" si="6"/>
        <v>1.7309336545093812E-2</v>
      </c>
      <c r="X23" s="10" t="str">
        <f>name!B20</f>
        <v>Support services</v>
      </c>
      <c r="Y23" s="11">
        <v>32.167999999999957</v>
      </c>
      <c r="Z23" s="11">
        <v>35.682999999999936</v>
      </c>
      <c r="AA23" s="345">
        <f t="shared" si="7"/>
        <v>3.5149999999999793</v>
      </c>
      <c r="AB23" s="11">
        <v>16.009085152914533</v>
      </c>
      <c r="AC23" s="345">
        <f t="shared" si="8"/>
        <v>19.524085152914513</v>
      </c>
      <c r="AD23" s="348">
        <f t="shared" si="9"/>
        <v>2.7293240939628927E-2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39.805845710643986</v>
      </c>
      <c r="C24" s="11">
        <f t="shared" si="10"/>
        <v>47.806525479323916</v>
      </c>
      <c r="D24" s="11">
        <f t="shared" si="10"/>
        <v>8.0006797686799302</v>
      </c>
      <c r="E24" s="11">
        <f t="shared" si="10"/>
        <v>25.2710172937939</v>
      </c>
      <c r="F24" s="11">
        <f t="shared" si="10"/>
        <v>33.271697062473827</v>
      </c>
      <c r="G24" s="200">
        <f t="shared" si="3"/>
        <v>3.331321508324514E-2</v>
      </c>
      <c r="H24" s="11"/>
      <c r="I24" s="11" t="str">
        <f t="shared" si="11"/>
        <v>Caring, leisure and other service occupations</v>
      </c>
      <c r="J24" s="11">
        <v>4.6093517731077054E-2</v>
      </c>
      <c r="K24" s="11">
        <v>0.1170897893725605</v>
      </c>
      <c r="L24" s="11">
        <v>7.0996271641483435E-2</v>
      </c>
      <c r="M24" s="11">
        <v>4.2395183006815412E-2</v>
      </c>
      <c r="N24" s="11">
        <v>0.11339145464829886</v>
      </c>
      <c r="O24" s="11"/>
      <c r="P24" s="10" t="str">
        <f>name!D21</f>
        <v>61 Caring personal service occupations</v>
      </c>
      <c r="Q24" s="11">
        <v>4.2720139761381004</v>
      </c>
      <c r="R24" s="11">
        <v>6.0233816531853872</v>
      </c>
      <c r="S24" s="345">
        <f t="shared" si="4"/>
        <v>1.7513676770472868</v>
      </c>
      <c r="T24" s="345">
        <v>2.3765215198211238</v>
      </c>
      <c r="U24" s="345">
        <f t="shared" si="5"/>
        <v>4.127889196868411</v>
      </c>
      <c r="V24" s="346">
        <f t="shared" si="6"/>
        <v>2.9926474179168272E-2</v>
      </c>
      <c r="X24" s="10" t="str">
        <f>name!B21</f>
        <v>Public admin. and defence</v>
      </c>
      <c r="Y24" s="11">
        <v>15.280999999999995</v>
      </c>
      <c r="Z24" s="11">
        <v>16.225000000000005</v>
      </c>
      <c r="AA24" s="345">
        <f t="shared" si="7"/>
        <v>0.94400000000000972</v>
      </c>
      <c r="AB24" s="11">
        <v>7.6902156074481924</v>
      </c>
      <c r="AC24" s="345">
        <f t="shared" si="8"/>
        <v>8.6342156074482013</v>
      </c>
      <c r="AD24" s="348">
        <f t="shared" si="9"/>
        <v>2.7548067531794285E-2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9.1467848880288702</v>
      </c>
      <c r="C25" s="11">
        <f t="shared" si="10"/>
        <v>9.4378645671143033</v>
      </c>
      <c r="D25" s="11">
        <f t="shared" si="10"/>
        <v>0.2910796790854342</v>
      </c>
      <c r="E25" s="11">
        <f t="shared" si="10"/>
        <v>4.7791302351719134</v>
      </c>
      <c r="F25" s="11">
        <f t="shared" si="10"/>
        <v>5.0702099142573482</v>
      </c>
      <c r="G25" s="200">
        <f t="shared" si="3"/>
        <v>2.8419616322779673E-2</v>
      </c>
      <c r="H25" s="11"/>
      <c r="I25" s="11" t="str">
        <f t="shared" si="11"/>
        <v>Sales and customer service occupations</v>
      </c>
      <c r="J25" s="11">
        <v>8.5433023417772924E-2</v>
      </c>
      <c r="K25" s="11">
        <v>0.20048101256213241</v>
      </c>
      <c r="L25" s="11">
        <v>0.11504798914435949</v>
      </c>
      <c r="M25" s="11">
        <v>6.1879531637997164E-2</v>
      </c>
      <c r="N25" s="11">
        <v>0.17692752078235663</v>
      </c>
      <c r="O25" s="11"/>
      <c r="P25" s="10" t="str">
        <f>name!D22</f>
        <v>62 Leisure, travel and related personal service occupations</v>
      </c>
      <c r="Q25" s="11">
        <v>2.7402654170114906</v>
      </c>
      <c r="R25" s="11">
        <v>2.9280944168669421</v>
      </c>
      <c r="S25" s="345">
        <f t="shared" si="4"/>
        <v>0.18782899985545143</v>
      </c>
      <c r="T25" s="345">
        <v>1.2322327009250122</v>
      </c>
      <c r="U25" s="345">
        <f t="shared" si="5"/>
        <v>1.4200617007804637</v>
      </c>
      <c r="V25" s="346">
        <f t="shared" si="6"/>
        <v>2.5064998921362935E-2</v>
      </c>
      <c r="X25" s="10" t="str">
        <f>name!B22</f>
        <v>Education</v>
      </c>
      <c r="Y25" s="11">
        <v>45.06299999999996</v>
      </c>
      <c r="Z25" s="11">
        <v>49.163999999999859</v>
      </c>
      <c r="AA25" s="345">
        <f t="shared" si="7"/>
        <v>4.1009999999998996</v>
      </c>
      <c r="AB25" s="11">
        <v>24.917220778000434</v>
      </c>
      <c r="AC25" s="345">
        <f t="shared" si="8"/>
        <v>29.018220778000334</v>
      </c>
      <c r="AD25" s="348">
        <f t="shared" si="9"/>
        <v>2.9778168586393594E-2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0.45801284753679455</v>
      </c>
      <c r="C26" s="11">
        <f t="shared" si="10"/>
        <v>0.41874006149257786</v>
      </c>
      <c r="D26" s="11">
        <f t="shared" si="10"/>
        <v>-3.9272786044216752E-2</v>
      </c>
      <c r="E26" s="11">
        <f t="shared" si="10"/>
        <v>0.197879480501295</v>
      </c>
      <c r="F26" s="11">
        <f t="shared" si="10"/>
        <v>0.1586066944570782</v>
      </c>
      <c r="G26" s="200">
        <f t="shared" si="3"/>
        <v>2.4228821774426645E-2</v>
      </c>
      <c r="H26" s="11"/>
      <c r="I26" s="11" t="str">
        <f t="shared" si="11"/>
        <v>Process, plant and machine operatives</v>
      </c>
      <c r="J26" s="11">
        <v>7.6150473916712411E-2</v>
      </c>
      <c r="K26" s="11">
        <v>0.26759612159223467</v>
      </c>
      <c r="L26" s="11">
        <v>0.19144564767552225</v>
      </c>
      <c r="M26" s="11">
        <v>9.6298504988159506E-2</v>
      </c>
      <c r="N26" s="11">
        <v>0.28774415266368175</v>
      </c>
      <c r="O26" s="11"/>
      <c r="P26" s="10" t="str">
        <f>name!D23</f>
        <v>63 Community and civil enforcement occupations</v>
      </c>
      <c r="Q26" s="11">
        <v>0.35144879684425001</v>
      </c>
      <c r="R26" s="11">
        <v>0.27641728730973392</v>
      </c>
      <c r="S26" s="345">
        <f t="shared" si="4"/>
        <v>-7.5031509534516094E-2</v>
      </c>
      <c r="T26" s="345">
        <v>0.10708176331486299</v>
      </c>
      <c r="U26" s="345">
        <f t="shared" si="5"/>
        <v>3.2050253780346899E-2</v>
      </c>
      <c r="V26" s="346">
        <f t="shared" si="6"/>
        <v>1.7888985675551528E-2</v>
      </c>
      <c r="X26" s="10" t="str">
        <f>name!B23</f>
        <v>Health and social work</v>
      </c>
      <c r="Y26" s="11">
        <v>71.770000000000209</v>
      </c>
      <c r="Z26" s="11">
        <v>81.203000000000074</v>
      </c>
      <c r="AA26" s="345">
        <f t="shared" si="7"/>
        <v>9.4329999999998648</v>
      </c>
      <c r="AB26" s="11">
        <v>42.42588104299147</v>
      </c>
      <c r="AC26" s="345">
        <f t="shared" si="8"/>
        <v>51.858881042991335</v>
      </c>
      <c r="AD26" s="348">
        <f t="shared" si="9"/>
        <v>3.1447591797521435E-2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30.191807825248844</v>
      </c>
      <c r="C27" s="11">
        <f t="shared" si="12"/>
        <v>25.969905791596364</v>
      </c>
      <c r="D27" s="11">
        <f t="shared" si="12"/>
        <v>-4.2219020336524773</v>
      </c>
      <c r="E27" s="11">
        <f t="shared" si="12"/>
        <v>12.464489272924162</v>
      </c>
      <c r="F27" s="11">
        <f t="shared" si="12"/>
        <v>8.2425872392716819</v>
      </c>
      <c r="G27" s="200">
        <f t="shared" si="3"/>
        <v>2.3307763381924529E-2</v>
      </c>
      <c r="H27" s="11"/>
      <c r="I27" s="11" t="str">
        <f t="shared" si="11"/>
        <v>Elementary occupations</v>
      </c>
      <c r="J27" s="11">
        <v>3.058728925374686E-2</v>
      </c>
      <c r="K27" s="11">
        <v>7.8324835876677767E-2</v>
      </c>
      <c r="L27" s="11">
        <v>4.7737546622930907E-2</v>
      </c>
      <c r="M27" s="11">
        <v>2.8985937129800611E-2</v>
      </c>
      <c r="N27" s="11">
        <v>7.6723483752731525E-2</v>
      </c>
      <c r="O27" s="11"/>
      <c r="P27" s="10" t="str">
        <f>name!D24</f>
        <v>71 Sales occupations</v>
      </c>
      <c r="Q27" s="11">
        <v>12.938657545094458</v>
      </c>
      <c r="R27" s="11">
        <v>11.50387541225362</v>
      </c>
      <c r="S27" s="345">
        <f t="shared" si="4"/>
        <v>-1.4347821328408372</v>
      </c>
      <c r="T27" s="345">
        <v>3.9017012139859149</v>
      </c>
      <c r="U27" s="345">
        <f t="shared" si="5"/>
        <v>2.4669190811450776</v>
      </c>
      <c r="V27" s="346">
        <f t="shared" si="6"/>
        <v>1.7725855690781556E-2</v>
      </c>
      <c r="X27" s="10" t="str">
        <f>name!B24</f>
        <v>Arts and entertainment</v>
      </c>
      <c r="Y27" s="11">
        <v>11.910000000000011</v>
      </c>
      <c r="Z27" s="11">
        <v>11.952999999999994</v>
      </c>
      <c r="AA27" s="345">
        <f t="shared" si="7"/>
        <v>4.2999999999983274E-2</v>
      </c>
      <c r="AB27" s="11">
        <v>5.6306533047026992</v>
      </c>
      <c r="AC27" s="345">
        <f t="shared" si="8"/>
        <v>5.6736533047026825</v>
      </c>
      <c r="AD27" s="348">
        <f t="shared" si="9"/>
        <v>2.6145473050120493E-2</v>
      </c>
    </row>
    <row r="28" spans="1:30" ht="12.5" x14ac:dyDescent="0.25">
      <c r="A28" s="10" t="str">
        <f>name!D25</f>
        <v>72 Customer service occupations</v>
      </c>
      <c r="B28" s="11">
        <f t="shared" si="12"/>
        <v>9.1178307619805725</v>
      </c>
      <c r="C28" s="11">
        <f t="shared" si="12"/>
        <v>13.440976966771927</v>
      </c>
      <c r="D28" s="11">
        <f t="shared" si="12"/>
        <v>4.3231462047913585</v>
      </c>
      <c r="E28" s="11">
        <f t="shared" si="12"/>
        <v>5.4930908419760724</v>
      </c>
      <c r="F28" s="11">
        <f t="shared" si="12"/>
        <v>9.81623704676743</v>
      </c>
      <c r="G28" s="200">
        <f t="shared" si="3"/>
        <v>3.1935149608792956E-2</v>
      </c>
      <c r="H28" s="11"/>
      <c r="O28" s="11"/>
      <c r="P28" s="10" t="str">
        <f>name!D25</f>
        <v>72 Customer service occupations</v>
      </c>
      <c r="Q28" s="11">
        <v>3.7325933245267708</v>
      </c>
      <c r="R28" s="11">
        <v>6.0861719042285651</v>
      </c>
      <c r="S28" s="345">
        <f t="shared" si="4"/>
        <v>2.3535785797017943</v>
      </c>
      <c r="T28" s="345">
        <v>1.8484617707676598</v>
      </c>
      <c r="U28" s="345">
        <f t="shared" si="5"/>
        <v>4.2020403504694546</v>
      </c>
      <c r="V28" s="346">
        <f t="shared" si="6"/>
        <v>2.7181153179401729E-2</v>
      </c>
      <c r="X28" s="10" t="str">
        <f>name!B25</f>
        <v>Other services</v>
      </c>
      <c r="Y28" s="11">
        <v>12.946999999999987</v>
      </c>
      <c r="Z28" s="11">
        <v>12.594999999999988</v>
      </c>
      <c r="AA28" s="345">
        <f t="shared" si="7"/>
        <v>-0.35199999999999854</v>
      </c>
      <c r="AB28" s="11">
        <v>6.3826041856876401</v>
      </c>
      <c r="AC28" s="345">
        <f t="shared" si="8"/>
        <v>6.0306041856876416</v>
      </c>
      <c r="AD28" s="348">
        <f t="shared" si="9"/>
        <v>2.7078380279602188E-2</v>
      </c>
    </row>
    <row r="29" spans="1:30" x14ac:dyDescent="0.3">
      <c r="A29" s="10" t="str">
        <f>name!D26</f>
        <v>81 Process, plant and machine operatives</v>
      </c>
      <c r="B29" s="11">
        <f t="shared" si="12"/>
        <v>18.316254028773731</v>
      </c>
      <c r="C29" s="11">
        <f t="shared" si="12"/>
        <v>21.313020528914102</v>
      </c>
      <c r="D29" s="11">
        <f t="shared" si="12"/>
        <v>2.996766500140374</v>
      </c>
      <c r="E29" s="11">
        <f t="shared" si="12"/>
        <v>8.5869227295539954</v>
      </c>
      <c r="F29" s="11">
        <f t="shared" si="12"/>
        <v>11.583689229694368</v>
      </c>
      <c r="G29" s="200">
        <f t="shared" si="3"/>
        <v>2.5961649492393768E-2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14.240849462931685</v>
      </c>
      <c r="R29" s="11">
        <v>16.01928453256275</v>
      </c>
      <c r="S29" s="345">
        <f t="shared" si="4"/>
        <v>1.7784350696310653</v>
      </c>
      <c r="T29" s="345">
        <v>5.9728153254484555</v>
      </c>
      <c r="U29" s="345">
        <f t="shared" si="5"/>
        <v>7.7512503950795208</v>
      </c>
      <c r="V29" s="346">
        <f t="shared" si="6"/>
        <v>2.36243560547722E-2</v>
      </c>
      <c r="X29" s="231" t="str">
        <f>name!B3</f>
        <v>All industries</v>
      </c>
      <c r="Y29" s="34">
        <f>SUM(Y7:Y28)</f>
        <v>496.19400000000013</v>
      </c>
      <c r="Z29" s="34">
        <f>SUM(Z7:Z28)</f>
        <v>521.94399999999985</v>
      </c>
      <c r="AA29" s="349">
        <f t="shared" si="7"/>
        <v>25.749999999999716</v>
      </c>
      <c r="AB29" s="34">
        <f>SUM(AB7:AB28)</f>
        <v>246.00013269454831</v>
      </c>
      <c r="AC29" s="349">
        <f t="shared" si="8"/>
        <v>271.75013269454803</v>
      </c>
      <c r="AD29" s="350">
        <f t="shared" si="9"/>
        <v>2.7206440887196148E-2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21.951501270507787</v>
      </c>
      <c r="C30" s="11">
        <f t="shared" si="12"/>
        <v>24.153900346524196</v>
      </c>
      <c r="D30" s="11">
        <f t="shared" si="12"/>
        <v>2.2023990760164036</v>
      </c>
      <c r="E30" s="11">
        <f t="shared" si="12"/>
        <v>12.641330522657963</v>
      </c>
      <c r="F30" s="11">
        <f t="shared" si="12"/>
        <v>14.843729598674365</v>
      </c>
      <c r="G30" s="200">
        <f t="shared" si="3"/>
        <v>3.0785084971849841E-2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5.0976106660829457</v>
      </c>
      <c r="K30" s="11">
        <f t="array" ref="K30:K38">MMULT(aggregation!$B$13:$AA$21,C65:C90)</f>
        <v>10.254894561337514</v>
      </c>
      <c r="L30" s="11">
        <f t="array" ref="L30:L38">MMULT(aggregation!$B$13:$AA$21,D65:D90)</f>
        <v>5.1572838952545679</v>
      </c>
      <c r="M30" s="11">
        <f t="array" ref="M30:M38">MMULT(aggregation!$B$13:$AA$21,E65:E90)</f>
        <v>4.0430117609221252</v>
      </c>
      <c r="N30" s="11">
        <f t="array" ref="N30:N38">MMULT(aggregation!$B$13:$AA$21,F65:F90)</f>
        <v>9.2002956561766922</v>
      </c>
      <c r="O30" s="11"/>
      <c r="P30" s="10" t="str">
        <f>name!D27</f>
        <v>82 Transport and mobile machine drivers and operatives</v>
      </c>
      <c r="Q30" s="11">
        <v>20.970327260829357</v>
      </c>
      <c r="R30" s="11">
        <v>22.421091909051682</v>
      </c>
      <c r="S30" s="345">
        <f t="shared" si="4"/>
        <v>1.4507646482223251</v>
      </c>
      <c r="T30" s="345">
        <v>11.66412028667688</v>
      </c>
      <c r="U30" s="345">
        <f t="shared" si="5"/>
        <v>13.114884934899205</v>
      </c>
      <c r="V30" s="346">
        <f t="shared" si="6"/>
        <v>2.9922953331058988E-2</v>
      </c>
      <c r="X30" s="10"/>
      <c r="Y30" s="10"/>
      <c r="Z30" s="10"/>
      <c r="AA30" s="345"/>
      <c r="AB30" s="10"/>
      <c r="AC30" s="345"/>
      <c r="AD30" s="348"/>
    </row>
    <row r="31" spans="1:30" ht="12.5" x14ac:dyDescent="0.25">
      <c r="A31" s="10" t="str">
        <f>name!D28</f>
        <v>91 Elementary trades and related occupations</v>
      </c>
      <c r="B31" s="11">
        <f t="shared" si="12"/>
        <v>8.6428835980951533</v>
      </c>
      <c r="C31" s="11">
        <f t="shared" si="12"/>
        <v>6.8647391674322371</v>
      </c>
      <c r="D31" s="11">
        <f t="shared" si="12"/>
        <v>-1.7781444306629157</v>
      </c>
      <c r="E31" s="11">
        <f t="shared" si="12"/>
        <v>2.9576920072013015</v>
      </c>
      <c r="F31" s="11">
        <f t="shared" si="12"/>
        <v>1.1795475765383865</v>
      </c>
      <c r="G31" s="200">
        <f t="shared" si="3"/>
        <v>1.9814990934286403E-2</v>
      </c>
      <c r="H31" s="11"/>
      <c r="I31" s="11" t="str">
        <f>I20</f>
        <v>Professional occupations</v>
      </c>
      <c r="J31" s="11">
        <v>26.855024104166375</v>
      </c>
      <c r="K31" s="11">
        <v>46.157810491674141</v>
      </c>
      <c r="L31" s="11">
        <v>19.302786387507766</v>
      </c>
      <c r="M31" s="11">
        <v>17.644019454114328</v>
      </c>
      <c r="N31" s="11">
        <v>36.946805841622094</v>
      </c>
      <c r="O31" s="11"/>
      <c r="P31" s="10" t="str">
        <f>name!D28</f>
        <v>91 Elementary trades and related occupations</v>
      </c>
      <c r="Q31" s="11">
        <v>6.714685612172139</v>
      </c>
      <c r="R31" s="11">
        <v>5.2825902579145962</v>
      </c>
      <c r="S31" s="345">
        <f t="shared" si="4"/>
        <v>-1.4320953542575428</v>
      </c>
      <c r="T31" s="345">
        <v>1.9007400359716879</v>
      </c>
      <c r="U31" s="345">
        <f t="shared" si="5"/>
        <v>0.46864468171414519</v>
      </c>
      <c r="V31" s="346">
        <f t="shared" si="6"/>
        <v>1.6755983885158532E-2</v>
      </c>
      <c r="X31" s="10"/>
      <c r="Y31" s="10"/>
      <c r="Z31" s="10"/>
      <c r="AA31" s="345"/>
      <c r="AB31" s="10"/>
      <c r="AC31" s="345"/>
      <c r="AD31" s="348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37.733870308121737</v>
      </c>
      <c r="C32" s="11">
        <f t="shared" si="12"/>
        <v>35.24998210321997</v>
      </c>
      <c r="D32" s="11">
        <f t="shared" si="12"/>
        <v>-2.4838882049017643</v>
      </c>
      <c r="E32" s="11">
        <f t="shared" si="12"/>
        <v>18.255082708543434</v>
      </c>
      <c r="F32" s="11">
        <f t="shared" si="12"/>
        <v>15.771194503641667</v>
      </c>
      <c r="G32" s="200">
        <f t="shared" ref="G32" si="13">IF(B32&gt;0,(1+(E32/B32))^(1/($C$6-$B$6))-1,0)</f>
        <v>2.6655487776829911E-2</v>
      </c>
      <c r="H32" s="11"/>
      <c r="I32" s="11" t="str">
        <f>I21</f>
        <v>Associate professional occupations</v>
      </c>
      <c r="J32" s="11">
        <v>7.1873721589414359</v>
      </c>
      <c r="K32" s="11">
        <v>13.007187631606264</v>
      </c>
      <c r="L32" s="11">
        <v>5.8198154726648301</v>
      </c>
      <c r="M32" s="11">
        <v>4.706330039841836</v>
      </c>
      <c r="N32" s="11">
        <v>10.526145512506666</v>
      </c>
      <c r="O32" s="11"/>
      <c r="P32" s="10" t="str">
        <f>name!D29</f>
        <v>92 Elementary administration and service occupations</v>
      </c>
      <c r="Q32" s="11">
        <v>18.818562046152262</v>
      </c>
      <c r="R32" s="11">
        <v>18.797003814893657</v>
      </c>
      <c r="S32" s="345">
        <f t="shared" ref="S32" si="14">R32-Q32</f>
        <v>-2.1558231258605787E-2</v>
      </c>
      <c r="T32" s="345">
        <v>7.9123356886639762</v>
      </c>
      <c r="U32" s="345">
        <f>SUM(S32:T32)</f>
        <v>7.8907774574053704</v>
      </c>
      <c r="V32" s="346">
        <f t="shared" ref="V32" si="15">IF(Q32&gt;0,(1+(T32/Q32))^(1/($C$6-$B$6))-1,0)</f>
        <v>2.3674316720366129E-2</v>
      </c>
      <c r="X32" s="10"/>
      <c r="Y32" s="10"/>
      <c r="Z32" s="10"/>
      <c r="AA32" s="345"/>
      <c r="AB32" s="10"/>
      <c r="AC32" s="345"/>
      <c r="AD32" s="348"/>
    </row>
    <row r="33" spans="1:30" ht="12.5" x14ac:dyDescent="0.25">
      <c r="A33" t="str">
        <f>name!D3</f>
        <v>All occupations</v>
      </c>
      <c r="B33" s="11">
        <f t="shared" si="12"/>
        <v>496.19400000000019</v>
      </c>
      <c r="C33" s="11">
        <f>SUM(C62,C91,C120,C149,C178,C207,C236,C265,C294)</f>
        <v>521.94399999999985</v>
      </c>
      <c r="D33" s="11">
        <f t="shared" si="12"/>
        <v>25.749999999999744</v>
      </c>
      <c r="E33" s="11">
        <f t="shared" si="12"/>
        <v>246.00013269454828</v>
      </c>
      <c r="F33" s="11">
        <f t="shared" si="12"/>
        <v>271.75013269454797</v>
      </c>
      <c r="G33" s="200">
        <f t="shared" si="3"/>
        <v>2.7206440887196148E-2</v>
      </c>
      <c r="H33" s="11"/>
      <c r="I33" s="11" t="str">
        <f>I22</f>
        <v>Administrative and secretarial occupations</v>
      </c>
      <c r="J33" s="11">
        <v>3.3990672804578104</v>
      </c>
      <c r="K33" s="11">
        <v>5.6448095912407998</v>
      </c>
      <c r="L33" s="11">
        <v>2.245742310782989</v>
      </c>
      <c r="M33" s="11">
        <v>2.3344269873026322</v>
      </c>
      <c r="N33" s="11">
        <v>4.5801692980856217</v>
      </c>
      <c r="O33" s="11"/>
      <c r="P33" s="10" t="str">
        <f>name!D3</f>
        <v>All occupations</v>
      </c>
      <c r="Q33" s="11">
        <f>SUM(Q7:Q32)</f>
        <v>265.09940440411077</v>
      </c>
      <c r="R33" s="11">
        <f>SUM(R7:R32)</f>
        <v>273.44446800719913</v>
      </c>
      <c r="S33" s="345">
        <f>R33-Q33</f>
        <v>8.3450636030883629</v>
      </c>
      <c r="T33" s="11">
        <f>SUM(T7:T32)</f>
        <v>109.07337200483829</v>
      </c>
      <c r="U33" s="345">
        <f>SUM(S33:T33)</f>
        <v>117.41843560792665</v>
      </c>
      <c r="V33" s="346">
        <f t="shared" si="6"/>
        <v>2.3240125499824904E-2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0.84462685392844294</v>
      </c>
      <c r="K34" s="11">
        <v>1.943022648093188</v>
      </c>
      <c r="L34" s="11">
        <v>1.0983957941647451</v>
      </c>
      <c r="M34" s="11">
        <v>0.68930160154977849</v>
      </c>
      <c r="N34" s="11">
        <v>1.7876973957145239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25" x14ac:dyDescent="0.25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1.9054197420226386</v>
      </c>
      <c r="K35" s="11">
        <v>5.1427272921962528</v>
      </c>
      <c r="L35" s="11">
        <v>3.2373075501736142</v>
      </c>
      <c r="M35" s="11">
        <v>1.8649724317829477</v>
      </c>
      <c r="N35" s="11">
        <v>5.1022799819565607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5">
      <c r="A36" t="str">
        <f t="shared" ref="A36:A62" si="24">A7</f>
        <v>11 Corporate managers and directors</v>
      </c>
      <c r="B36" s="11">
        <v>0.40211463992171392</v>
      </c>
      <c r="C36" s="11">
        <v>0.74257702087434996</v>
      </c>
      <c r="D36" s="11">
        <f>C36-B36</f>
        <v>0.34046238095263603</v>
      </c>
      <c r="E36" s="11">
        <v>0.28282175720124053</v>
      </c>
      <c r="F36" s="11">
        <f>SUM(D36:E36)</f>
        <v>0.62328413815387651</v>
      </c>
      <c r="G36" s="200">
        <f>IF(B36&gt;0,(1+(E36/B36))^(1/($C$6-$B$6))-1,0)</f>
        <v>3.6143779396563103E-2</v>
      </c>
      <c r="I36" s="11" t="str">
        <f t="shared" si="17"/>
        <v>Sales and customer service occupations</v>
      </c>
      <c r="J36" s="11">
        <v>1.3386536032301146</v>
      </c>
      <c r="K36" s="11">
        <v>3.2598265549111307</v>
      </c>
      <c r="L36" s="11">
        <v>1.9211729516810163</v>
      </c>
      <c r="M36" s="11">
        <v>1.0200952675955417</v>
      </c>
      <c r="N36" s="11">
        <v>2.9412682192765578</v>
      </c>
      <c r="P36" s="10" t="str">
        <f>name!D4</f>
        <v>11 Corporate managers and directors</v>
      </c>
      <c r="Q36" s="11">
        <v>10.917192839239181</v>
      </c>
      <c r="R36" s="11">
        <v>12.937161601978143</v>
      </c>
      <c r="S36" s="345">
        <f>R36-Q36</f>
        <v>2.0199687627389622</v>
      </c>
      <c r="T36" s="345">
        <v>6.8454181868419237</v>
      </c>
      <c r="U36" s="345">
        <f>SUM(S36:T36)</f>
        <v>8.8653869495808859</v>
      </c>
      <c r="V36" s="346">
        <f>IF(Q36&gt;0,(1+(T36/Q36))^(1/($C$6-$B$6))-1,0)</f>
        <v>3.2982716034320347E-2</v>
      </c>
      <c r="X36" s="10"/>
      <c r="Y36" s="10"/>
      <c r="Z36" s="10"/>
      <c r="AA36" s="345"/>
      <c r="AB36" s="10"/>
      <c r="AC36" s="345"/>
      <c r="AD36" s="348"/>
    </row>
    <row r="37" spans="1:30" ht="12.5" x14ac:dyDescent="0.25">
      <c r="A37" t="str">
        <f t="shared" si="24"/>
        <v>12 Other managers and proprietors</v>
      </c>
      <c r="B37" s="11">
        <v>0.13049482101401563</v>
      </c>
      <c r="C37" s="11">
        <v>0.36111182591821783</v>
      </c>
      <c r="D37" s="11">
        <f t="shared" ref="D37:D60" si="25">C37-B37</f>
        <v>0.2306170049042022</v>
      </c>
      <c r="E37" s="11">
        <v>0.1506976559425762</v>
      </c>
      <c r="F37" s="11">
        <f t="shared" ref="F37:F60" si="26">SUM(D37:E37)</f>
        <v>0.3813146608467784</v>
      </c>
      <c r="G37" s="200">
        <f t="shared" ref="G37:G62" si="27">IF(B37&gt;0,(1+(E37/B37))^(1/($C$6-$B$6))-1,0)</f>
        <v>5.2512740052747198E-2</v>
      </c>
      <c r="I37" s="11" t="str">
        <f t="shared" si="17"/>
        <v>Process, plant and machine operatives</v>
      </c>
      <c r="J37" s="11">
        <v>0.46474750048945646</v>
      </c>
      <c r="K37" s="11">
        <v>1.4566375404907452</v>
      </c>
      <c r="L37" s="11">
        <v>0.99189004000128866</v>
      </c>
      <c r="M37" s="11">
        <v>0.50823838639469732</v>
      </c>
      <c r="N37" s="11">
        <v>1.5001284263959862</v>
      </c>
      <c r="P37" s="10" t="str">
        <f>name!D5</f>
        <v>12 Other managers and proprietors</v>
      </c>
      <c r="Q37" s="11">
        <v>5.8032586368036325</v>
      </c>
      <c r="R37" s="11">
        <v>8.1401527214881035</v>
      </c>
      <c r="S37" s="345">
        <f t="shared" ref="S37:S60" si="28">R37-Q37</f>
        <v>2.336894084684471</v>
      </c>
      <c r="T37" s="345">
        <v>4.7707612911876529</v>
      </c>
      <c r="U37" s="345">
        <f t="shared" ref="U37:U60" si="29">SUM(S37:T37)</f>
        <v>7.1076553758721239</v>
      </c>
      <c r="V37" s="346">
        <f t="shared" ref="V37:V62" si="30">IF(Q37&gt;0,(1+(T37/Q37))^(1/($C$6-$B$6))-1,0)</f>
        <v>4.080941758100276E-2</v>
      </c>
      <c r="X37" s="10"/>
      <c r="Y37" s="10"/>
      <c r="Z37" s="10"/>
      <c r="AA37" s="345"/>
      <c r="AB37" s="10"/>
      <c r="AC37" s="345"/>
      <c r="AD37" s="348"/>
    </row>
    <row r="38" spans="1:30" ht="12.5" x14ac:dyDescent="0.25">
      <c r="A38" t="str">
        <f t="shared" si="24"/>
        <v>21 Science, research, engineering and technology professionals</v>
      </c>
      <c r="B38" s="11">
        <v>1.2288221919230395</v>
      </c>
      <c r="C38" s="11">
        <v>2.2284767290650818</v>
      </c>
      <c r="D38" s="11">
        <f t="shared" si="25"/>
        <v>0.99965453714204222</v>
      </c>
      <c r="E38" s="11">
        <v>0.63024563616590012</v>
      </c>
      <c r="F38" s="11">
        <f t="shared" si="26"/>
        <v>1.6299001733079423</v>
      </c>
      <c r="G38" s="200">
        <f t="shared" si="27"/>
        <v>2.7985714040045018E-2</v>
      </c>
      <c r="I38" s="11" t="str">
        <f t="shared" si="17"/>
        <v>Elementary occupations</v>
      </c>
      <c r="J38" s="11">
        <v>0.82173509166769665</v>
      </c>
      <c r="K38" s="11">
        <v>2.3888252992671304</v>
      </c>
      <c r="L38" s="11">
        <v>1.567090207599434</v>
      </c>
      <c r="M38" s="11">
        <v>0.84356715028576468</v>
      </c>
      <c r="N38" s="11">
        <v>2.4106573578851984</v>
      </c>
      <c r="P38" s="10" t="str">
        <f>name!D6</f>
        <v>21 Science, research, engineering and technology professionals</v>
      </c>
      <c r="Q38" s="11">
        <v>4.8671892826657777</v>
      </c>
      <c r="R38" s="11">
        <v>6.9337796503575548</v>
      </c>
      <c r="S38" s="345">
        <f t="shared" si="28"/>
        <v>2.0665903676917772</v>
      </c>
      <c r="T38" s="345">
        <v>3.0470055789482431</v>
      </c>
      <c r="U38" s="345">
        <f t="shared" si="29"/>
        <v>5.1135959466400198</v>
      </c>
      <c r="V38" s="346">
        <f t="shared" si="30"/>
        <v>3.2940328196332525E-2</v>
      </c>
      <c r="X38" s="10"/>
      <c r="Y38" s="10"/>
      <c r="Z38" s="10"/>
      <c r="AA38" s="345"/>
      <c r="AB38" s="10"/>
      <c r="AC38" s="345"/>
      <c r="AD38" s="348"/>
    </row>
    <row r="39" spans="1:30" ht="12.5" x14ac:dyDescent="0.25">
      <c r="A39" t="str">
        <f t="shared" si="24"/>
        <v>22 Health professionals</v>
      </c>
      <c r="B39" s="11">
        <v>1.716898386190332</v>
      </c>
      <c r="C39" s="11">
        <v>3.5159152087892749</v>
      </c>
      <c r="D39" s="11">
        <f t="shared" si="25"/>
        <v>1.7990168225989429</v>
      </c>
      <c r="E39" s="11">
        <v>1.2602981757378102</v>
      </c>
      <c r="F39" s="11">
        <f t="shared" si="26"/>
        <v>3.0593149983367534</v>
      </c>
      <c r="G39" s="200">
        <f t="shared" si="27"/>
        <v>3.7379180526651457E-2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20.038893991355664</v>
      </c>
      <c r="R39" s="11">
        <v>24.288491513437172</v>
      </c>
      <c r="S39" s="345">
        <f t="shared" si="28"/>
        <v>4.2495975220815083</v>
      </c>
      <c r="T39" s="345">
        <v>13.035311990844002</v>
      </c>
      <c r="U39" s="345">
        <f t="shared" si="29"/>
        <v>17.284909512925509</v>
      </c>
      <c r="V39" s="346">
        <f t="shared" si="30"/>
        <v>3.3969461412130642E-2</v>
      </c>
      <c r="X39" s="10"/>
      <c r="Y39" s="10"/>
      <c r="Z39" s="10"/>
      <c r="AA39" s="345"/>
      <c r="AB39" s="10"/>
      <c r="AC39" s="345"/>
      <c r="AD39" s="348"/>
    </row>
    <row r="40" spans="1:30" x14ac:dyDescent="0.3">
      <c r="A40" t="str">
        <f t="shared" si="24"/>
        <v>23 Teaching and other educational professionals</v>
      </c>
      <c r="B40" s="11">
        <v>1.9646321612036162</v>
      </c>
      <c r="C40" s="11">
        <v>3.0174778687865733</v>
      </c>
      <c r="D40" s="11">
        <f>C40-B40</f>
        <v>1.0528457075829571</v>
      </c>
      <c r="E40" s="11">
        <v>1.2450775210006504</v>
      </c>
      <c r="F40" s="11">
        <f>SUM(D40:E40)</f>
        <v>2.2979232285836075</v>
      </c>
      <c r="G40" s="200">
        <f>IF(B40&gt;0,(1+(E40/B40))^(1/($C$6-$B$6))-1,0)</f>
        <v>3.3266383530876409E-2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14.817158775285453</v>
      </c>
      <c r="R40" s="11">
        <v>17.736940653409981</v>
      </c>
      <c r="S40" s="345">
        <f t="shared" si="28"/>
        <v>2.9197818781245282</v>
      </c>
      <c r="T40" s="345">
        <v>8.8535321766945199</v>
      </c>
      <c r="U40" s="345">
        <f t="shared" si="29"/>
        <v>11.773314054819048</v>
      </c>
      <c r="V40" s="346">
        <f t="shared" si="30"/>
        <v>3.1722891707048895E-2</v>
      </c>
      <c r="X40" s="10"/>
      <c r="Y40" s="10"/>
      <c r="Z40" s="10"/>
      <c r="AA40" s="345"/>
      <c r="AB40" s="10"/>
      <c r="AC40" s="345"/>
      <c r="AD40" s="348"/>
    </row>
    <row r="41" spans="1:30" ht="12.5" x14ac:dyDescent="0.25">
      <c r="A41" t="str">
        <f t="shared" si="24"/>
        <v>24 Business, media and public service professionals</v>
      </c>
      <c r="B41" s="11">
        <v>0.45898318953332035</v>
      </c>
      <c r="C41" s="11">
        <v>1.0119019393833204</v>
      </c>
      <c r="D41" s="11">
        <f t="shared" si="25"/>
        <v>0.55291874985000011</v>
      </c>
      <c r="E41" s="11">
        <v>0.35269952728767745</v>
      </c>
      <c r="F41" s="11">
        <f t="shared" si="26"/>
        <v>0.90561827713767751</v>
      </c>
      <c r="G41" s="200">
        <f t="shared" si="27"/>
        <v>3.8737876326319975E-2</v>
      </c>
      <c r="I41" s="11" t="str">
        <f>I30</f>
        <v>Managers, directors and senior officials</v>
      </c>
      <c r="J41" s="11">
        <f t="array" ref="J41:J49">MMULT(aggregation!$B$13:$AA$21,B94:B119)</f>
        <v>11.902365074580619</v>
      </c>
      <c r="K41" s="11">
        <f t="array" ref="K41:K49">MMULT(aggregation!$B$13:$AA$21,C94:C119)</f>
        <v>14.788911077011818</v>
      </c>
      <c r="L41" s="11">
        <f t="array" ref="L41:L49">MMULT(aggregation!$B$13:$AA$21,D94:D119)</f>
        <v>2.8865460024311989</v>
      </c>
      <c r="M41" s="11">
        <f t="array" ref="M41:M49">MMULT(aggregation!$B$13:$AA$21,E94:E119)</f>
        <v>8.0143716256223509</v>
      </c>
      <c r="N41" s="11">
        <f t="array" ref="N41:N49">MMULT(aggregation!$B$13:$AA$21,F94:F119)</f>
        <v>10.900917628053548</v>
      </c>
      <c r="P41" s="10" t="str">
        <f>name!D9</f>
        <v>24 Business, media and public service professionals</v>
      </c>
      <c r="Q41" s="11">
        <v>11.740013942651709</v>
      </c>
      <c r="R41" s="11">
        <v>15.466410712788081</v>
      </c>
      <c r="S41" s="345">
        <f t="shared" si="28"/>
        <v>3.7263967701363718</v>
      </c>
      <c r="T41" s="345">
        <v>7.4748030733117057</v>
      </c>
      <c r="U41" s="345">
        <f t="shared" si="29"/>
        <v>11.201199843448077</v>
      </c>
      <c r="V41" s="346">
        <f t="shared" si="30"/>
        <v>3.3390606154913627E-2</v>
      </c>
      <c r="X41" s="10"/>
      <c r="Y41" s="10"/>
      <c r="Z41" s="10"/>
      <c r="AA41" s="345"/>
      <c r="AB41" s="10"/>
      <c r="AC41" s="345"/>
      <c r="AD41" s="348"/>
    </row>
    <row r="42" spans="1:30" ht="12.5" x14ac:dyDescent="0.25">
      <c r="A42" t="str">
        <f t="shared" si="24"/>
        <v>31 Science, engineering and technology associate professionals</v>
      </c>
      <c r="B42" s="11">
        <v>0.13424439512140601</v>
      </c>
      <c r="C42" s="11">
        <v>0.26509767785588256</v>
      </c>
      <c r="D42" s="11">
        <f t="shared" si="25"/>
        <v>0.13085328273447655</v>
      </c>
      <c r="E42" s="11">
        <v>8.4698015201408905E-2</v>
      </c>
      <c r="F42" s="11">
        <f t="shared" si="26"/>
        <v>0.21555129793588546</v>
      </c>
      <c r="G42" s="200">
        <f t="shared" si="27"/>
        <v>3.314730897862983E-2</v>
      </c>
      <c r="I42" s="11" t="str">
        <f>I31</f>
        <v>Professional occupations</v>
      </c>
      <c r="J42" s="11">
        <v>33.608182808746577</v>
      </c>
      <c r="K42" s="11">
        <v>35.688089220649097</v>
      </c>
      <c r="L42" s="11">
        <v>2.0799064119025172</v>
      </c>
      <c r="M42" s="11">
        <v>18.046514621028322</v>
      </c>
      <c r="N42" s="11">
        <v>20.126421032930843</v>
      </c>
      <c r="P42" s="10" t="str">
        <f>name!D10</f>
        <v>31 Science, engineering and technology associate professionals</v>
      </c>
      <c r="Q42" s="11">
        <v>2.0063352730790425</v>
      </c>
      <c r="R42" s="11">
        <v>2.3727894346571912</v>
      </c>
      <c r="S42" s="345">
        <f t="shared" si="28"/>
        <v>0.3664541615781487</v>
      </c>
      <c r="T42" s="345">
        <v>1.0780335129927259</v>
      </c>
      <c r="U42" s="345">
        <f t="shared" si="29"/>
        <v>1.4444876745708746</v>
      </c>
      <c r="V42" s="346">
        <f t="shared" si="30"/>
        <v>2.9084063507090141E-2</v>
      </c>
      <c r="X42" s="10"/>
      <c r="Y42" s="10"/>
      <c r="Z42" s="10"/>
      <c r="AA42" s="345"/>
      <c r="AB42" s="10"/>
      <c r="AC42" s="345"/>
      <c r="AD42" s="348"/>
    </row>
    <row r="43" spans="1:30" ht="12.5" x14ac:dyDescent="0.25">
      <c r="A43" t="str">
        <f t="shared" si="24"/>
        <v>32 Health and social care associate professionals</v>
      </c>
      <c r="B43" s="11">
        <v>3.8693959952058855E-2</v>
      </c>
      <c r="C43" s="11">
        <v>0.10871506684439076</v>
      </c>
      <c r="D43" s="11">
        <f t="shared" si="25"/>
        <v>7.0021106892331902E-2</v>
      </c>
      <c r="E43" s="11">
        <v>3.9456542778628728E-2</v>
      </c>
      <c r="F43" s="11">
        <f t="shared" si="26"/>
        <v>0.10947764967096063</v>
      </c>
      <c r="G43" s="200">
        <f t="shared" si="27"/>
        <v>4.7978983408684561E-2</v>
      </c>
      <c r="I43" s="11" t="str">
        <f>I32</f>
        <v>Associate professional occupations</v>
      </c>
      <c r="J43" s="11">
        <v>16.55706250126822</v>
      </c>
      <c r="K43" s="11">
        <v>18.96939862399099</v>
      </c>
      <c r="L43" s="11">
        <v>2.4123361227227722</v>
      </c>
      <c r="M43" s="11">
        <v>9.1738057192673423</v>
      </c>
      <c r="N43" s="11">
        <v>11.586141841990115</v>
      </c>
      <c r="P43" s="10" t="str">
        <f>name!D11</f>
        <v>32 Health and social care associate professionals</v>
      </c>
      <c r="Q43" s="11">
        <v>8.567201624501152</v>
      </c>
      <c r="R43" s="11">
        <v>10.142113785133306</v>
      </c>
      <c r="S43" s="345">
        <f t="shared" si="28"/>
        <v>1.5749121606321541</v>
      </c>
      <c r="T43" s="345">
        <v>5.5555337890299894</v>
      </c>
      <c r="U43" s="345">
        <f t="shared" si="29"/>
        <v>7.1304459496621435</v>
      </c>
      <c r="V43" s="346">
        <f t="shared" si="30"/>
        <v>3.3884415632182918E-2</v>
      </c>
      <c r="X43" s="10"/>
      <c r="Y43" s="10"/>
      <c r="Z43" s="10"/>
      <c r="AA43" s="345"/>
      <c r="AB43" s="10"/>
      <c r="AC43" s="345"/>
      <c r="AD43" s="348"/>
    </row>
    <row r="44" spans="1:30" ht="12.5" x14ac:dyDescent="0.25">
      <c r="A44" t="str">
        <f t="shared" si="24"/>
        <v>33 Protective service occupations</v>
      </c>
      <c r="B44" s="11">
        <v>2.2556664348817271E-2</v>
      </c>
      <c r="C44" s="11">
        <v>6.7038060312270609E-2</v>
      </c>
      <c r="D44" s="11">
        <f t="shared" si="25"/>
        <v>4.4481395963453338E-2</v>
      </c>
      <c r="E44" s="11">
        <v>1.6845335136915742E-2</v>
      </c>
      <c r="F44" s="11">
        <f t="shared" si="26"/>
        <v>6.1326731100369083E-2</v>
      </c>
      <c r="G44" s="200">
        <f t="shared" si="27"/>
        <v>3.7885773237502418E-2</v>
      </c>
      <c r="I44" s="11" t="str">
        <f>I33</f>
        <v>Administrative and secretarial occupations</v>
      </c>
      <c r="J44" s="11">
        <v>10.598447911870617</v>
      </c>
      <c r="K44" s="11">
        <v>13.202085041644501</v>
      </c>
      <c r="L44" s="11">
        <v>2.6036371297738841</v>
      </c>
      <c r="M44" s="11">
        <v>6.827270982561739</v>
      </c>
      <c r="N44" s="11">
        <v>9.430908112335624</v>
      </c>
      <c r="P44" s="10" t="str">
        <f>name!D12</f>
        <v>33 Protective service occupations</v>
      </c>
      <c r="Q44" s="11">
        <v>1.2809951772741999</v>
      </c>
      <c r="R44" s="11">
        <v>2.3212477986880211</v>
      </c>
      <c r="S44" s="345">
        <f t="shared" si="28"/>
        <v>1.0402526214138212</v>
      </c>
      <c r="T44" s="345">
        <v>0.91767947570233266</v>
      </c>
      <c r="U44" s="345">
        <f t="shared" si="29"/>
        <v>1.9579320971161538</v>
      </c>
      <c r="V44" s="346">
        <f t="shared" si="30"/>
        <v>3.6670877437269489E-2</v>
      </c>
      <c r="X44" s="10"/>
      <c r="Y44" s="10"/>
      <c r="Z44" s="10"/>
      <c r="AA44" s="345"/>
      <c r="AB44" s="10"/>
      <c r="AC44" s="345"/>
      <c r="AD44" s="348"/>
    </row>
    <row r="45" spans="1:30" ht="12.5" x14ac:dyDescent="0.25">
      <c r="A45" t="str">
        <f t="shared" si="24"/>
        <v>34 Culture, media and sports occupations</v>
      </c>
      <c r="B45" s="11">
        <v>7.6044888685729353E-2</v>
      </c>
      <c r="C45" s="11">
        <v>0.13298251618171975</v>
      </c>
      <c r="D45" s="11">
        <f t="shared" ref="D45:D46" si="31">C45-B45</f>
        <v>5.6937627495990392E-2</v>
      </c>
      <c r="E45" s="11">
        <v>5.1434967867387313E-2</v>
      </c>
      <c r="F45" s="11">
        <f t="shared" ref="F45:F46" si="32">SUM(D45:E45)</f>
        <v>0.10837259536337771</v>
      </c>
      <c r="G45" s="200">
        <f t="shared" si="27"/>
        <v>3.5042308698405522E-2</v>
      </c>
      <c r="I45" s="11" t="str">
        <f t="shared" ref="I45:I49" si="33">I34</f>
        <v>Skilled trades occupations</v>
      </c>
      <c r="J45" s="11">
        <v>2.4439580529829996</v>
      </c>
      <c r="K45" s="11">
        <v>3.6829944585352816</v>
      </c>
      <c r="L45" s="11">
        <v>1.2390364055522822</v>
      </c>
      <c r="M45" s="11">
        <v>1.6977091446217454</v>
      </c>
      <c r="N45" s="11">
        <v>2.9367455501740274</v>
      </c>
      <c r="P45" s="10" t="str">
        <f>name!D13</f>
        <v>34 Culture, media and sports occupations</v>
      </c>
      <c r="Q45" s="11">
        <v>3.1395876314700399</v>
      </c>
      <c r="R45" s="11">
        <v>3.3587491228773114</v>
      </c>
      <c r="S45" s="345">
        <f t="shared" si="28"/>
        <v>0.21916149140727148</v>
      </c>
      <c r="T45" s="345">
        <v>1.6869657877766053</v>
      </c>
      <c r="U45" s="345">
        <f t="shared" si="29"/>
        <v>1.9061272791838768</v>
      </c>
      <c r="V45" s="346">
        <f t="shared" si="30"/>
        <v>2.9084334714027049E-2</v>
      </c>
      <c r="X45" s="10"/>
      <c r="Y45" s="10"/>
      <c r="Z45" s="10"/>
      <c r="AA45" s="345"/>
      <c r="AB45" s="10"/>
      <c r="AC45" s="345"/>
      <c r="AD45" s="348"/>
    </row>
    <row r="46" spans="1:30" ht="12.5" x14ac:dyDescent="0.25">
      <c r="A46" t="str">
        <f t="shared" si="24"/>
        <v>35 Business and public service associate professionals</v>
      </c>
      <c r="B46" s="11">
        <v>0.32593345516851402</v>
      </c>
      <c r="C46" s="11">
        <v>0.65130598735254386</v>
      </c>
      <c r="D46" s="11">
        <f t="shared" si="31"/>
        <v>0.32537253218402984</v>
      </c>
      <c r="E46" s="11">
        <v>0.2196779974036964</v>
      </c>
      <c r="F46" s="11">
        <f t="shared" si="32"/>
        <v>0.54505052958772626</v>
      </c>
      <c r="G46" s="200">
        <f t="shared" si="27"/>
        <v>3.494428131253513E-2</v>
      </c>
      <c r="I46" s="11" t="str">
        <f t="shared" si="33"/>
        <v>Caring, leisure and other service occupations</v>
      </c>
      <c r="J46" s="11">
        <v>6.1124684945188505</v>
      </c>
      <c r="K46" s="11">
        <v>9.6175344445719944</v>
      </c>
      <c r="L46" s="11">
        <v>3.5050659500531451</v>
      </c>
      <c r="M46" s="11">
        <v>5.243741074203327</v>
      </c>
      <c r="N46" s="11">
        <v>8.7488070242564717</v>
      </c>
      <c r="P46" s="10" t="str">
        <f>name!D14</f>
        <v>35 Business and public service associate professionals</v>
      </c>
      <c r="Q46" s="11">
        <v>13.030261680158304</v>
      </c>
      <c r="R46" s="11">
        <v>14.234372247450615</v>
      </c>
      <c r="S46" s="345">
        <f t="shared" si="28"/>
        <v>1.2041105672923109</v>
      </c>
      <c r="T46" s="345">
        <v>7.2131777497514742</v>
      </c>
      <c r="U46" s="345">
        <f t="shared" si="29"/>
        <v>8.4172883170437842</v>
      </c>
      <c r="V46" s="346">
        <f t="shared" si="30"/>
        <v>2.9805983773865341E-2</v>
      </c>
      <c r="X46" s="10"/>
      <c r="Y46" s="10"/>
      <c r="Z46" s="10"/>
      <c r="AA46" s="345"/>
      <c r="AB46" s="10"/>
      <c r="AC46" s="345"/>
      <c r="AD46" s="348"/>
    </row>
    <row r="47" spans="1:30" ht="12.5" x14ac:dyDescent="0.25">
      <c r="A47" t="str">
        <f t="shared" si="24"/>
        <v>41 Administrative occupations</v>
      </c>
      <c r="B47" s="11">
        <v>0.28037837176089742</v>
      </c>
      <c r="C47" s="11">
        <v>0.57616271652849149</v>
      </c>
      <c r="D47" s="11">
        <f t="shared" si="25"/>
        <v>0.29578434476759408</v>
      </c>
      <c r="E47" s="11">
        <v>0.20508034400410954</v>
      </c>
      <c r="F47" s="11">
        <f t="shared" si="26"/>
        <v>0.50086468877170365</v>
      </c>
      <c r="G47" s="200">
        <f t="shared" si="27"/>
        <v>3.7274861625842926E-2</v>
      </c>
      <c r="I47" s="11" t="str">
        <f t="shared" si="33"/>
        <v>Sales and customer service occupations</v>
      </c>
      <c r="J47" s="11">
        <v>5.3598277397176464</v>
      </c>
      <c r="K47" s="11">
        <v>8.1120016342661412</v>
      </c>
      <c r="L47" s="11">
        <v>2.7521738945484957</v>
      </c>
      <c r="M47" s="11">
        <v>3.5979318756304535</v>
      </c>
      <c r="N47" s="11">
        <v>6.3501057701789492</v>
      </c>
      <c r="P47" s="10" t="str">
        <f>name!D15</f>
        <v>41 Administrative occupations</v>
      </c>
      <c r="Q47" s="11">
        <v>31.017258769576816</v>
      </c>
      <c r="R47" s="11">
        <v>24.279464657531076</v>
      </c>
      <c r="S47" s="345">
        <f t="shared" si="28"/>
        <v>-6.7377941120457407</v>
      </c>
      <c r="T47" s="345">
        <v>15.39358951859724</v>
      </c>
      <c r="U47" s="345">
        <f t="shared" si="29"/>
        <v>8.6557954065514995</v>
      </c>
      <c r="V47" s="346">
        <f t="shared" si="30"/>
        <v>2.7230106841007906E-2</v>
      </c>
      <c r="X47" s="10"/>
      <c r="Y47" s="10"/>
      <c r="Z47" s="10"/>
      <c r="AA47" s="345"/>
      <c r="AB47" s="10"/>
      <c r="AC47" s="345"/>
      <c r="AD47" s="348"/>
    </row>
    <row r="48" spans="1:30" ht="12.5" x14ac:dyDescent="0.25">
      <c r="A48" t="str">
        <f t="shared" si="24"/>
        <v>42 Secretarial and related occupations</v>
      </c>
      <c r="B48" s="11">
        <v>2.0592996826313111E-2</v>
      </c>
      <c r="C48" s="11">
        <v>4.8424425432305941E-2</v>
      </c>
      <c r="D48" s="11">
        <f t="shared" si="25"/>
        <v>2.7831428605992831E-2</v>
      </c>
      <c r="E48" s="11">
        <v>2.0544423047864972E-2</v>
      </c>
      <c r="F48" s="11">
        <f t="shared" si="26"/>
        <v>4.8375851653857799E-2</v>
      </c>
      <c r="G48" s="200">
        <f t="shared" si="27"/>
        <v>4.7211733885865304E-2</v>
      </c>
      <c r="I48" s="11" t="str">
        <f t="shared" si="33"/>
        <v>Process, plant and machine operatives</v>
      </c>
      <c r="J48" s="11">
        <v>1.5109287731281524</v>
      </c>
      <c r="K48" s="11">
        <v>3.4262607109188581</v>
      </c>
      <c r="L48" s="11">
        <v>1.9153319377907057</v>
      </c>
      <c r="M48" s="11">
        <v>1.5276524085106591</v>
      </c>
      <c r="N48" s="11">
        <v>3.4429843463013645</v>
      </c>
      <c r="P48" s="10" t="str">
        <f>name!D16</f>
        <v>42 Secretarial and related occupations</v>
      </c>
      <c r="Q48" s="11">
        <v>8.5891193626514415</v>
      </c>
      <c r="R48" s="11">
        <v>5.4749160278820082</v>
      </c>
      <c r="S48" s="345">
        <f t="shared" si="28"/>
        <v>-3.1142033347694333</v>
      </c>
      <c r="T48" s="345">
        <v>4.232158407939143</v>
      </c>
      <c r="U48" s="345">
        <f t="shared" si="29"/>
        <v>1.1179550731697097</v>
      </c>
      <c r="V48" s="346">
        <f t="shared" si="30"/>
        <v>2.7067163927904092E-2</v>
      </c>
      <c r="X48" s="10"/>
      <c r="Y48" s="10"/>
      <c r="Z48" s="10"/>
      <c r="AA48" s="345"/>
      <c r="AB48" s="10"/>
      <c r="AC48" s="345"/>
      <c r="AD48" s="348"/>
    </row>
    <row r="49" spans="1:30" ht="12.5" x14ac:dyDescent="0.25">
      <c r="A49" t="str">
        <f t="shared" si="24"/>
        <v>51 Skilled agricultural and related trades</v>
      </c>
      <c r="B49" s="11">
        <v>6.4725081901144815E-3</v>
      </c>
      <c r="C49" s="11">
        <v>1.5731983663825153E-2</v>
      </c>
      <c r="D49" s="11">
        <f t="shared" si="25"/>
        <v>9.259475473710671E-3</v>
      </c>
      <c r="E49" s="11">
        <v>6.3862980094272727E-3</v>
      </c>
      <c r="F49" s="11">
        <f t="shared" si="26"/>
        <v>1.5645773483137945E-2</v>
      </c>
      <c r="G49" s="200">
        <f t="shared" si="27"/>
        <v>4.6827692473576654E-2</v>
      </c>
      <c r="I49" s="11" t="str">
        <f t="shared" si="33"/>
        <v>Elementary occupations</v>
      </c>
      <c r="J49" s="11">
        <v>2.940811664221028</v>
      </c>
      <c r="K49" s="11">
        <v>4.6028493998224338</v>
      </c>
      <c r="L49" s="11">
        <v>1.6620377356014053</v>
      </c>
      <c r="M49" s="11">
        <v>2.5172278287180019</v>
      </c>
      <c r="N49" s="11">
        <v>4.1792655643194072</v>
      </c>
      <c r="P49" s="10" t="str">
        <f>name!D17</f>
        <v>51 Skilled agricultural and related trades</v>
      </c>
      <c r="Q49" s="11">
        <v>0.56897006272508988</v>
      </c>
      <c r="R49" s="11">
        <v>0.77527831551948567</v>
      </c>
      <c r="S49" s="345">
        <f t="shared" si="28"/>
        <v>0.2063082527943958</v>
      </c>
      <c r="T49" s="345">
        <v>0.46987367214040049</v>
      </c>
      <c r="U49" s="345">
        <f t="shared" si="29"/>
        <v>0.67618192493479623</v>
      </c>
      <c r="V49" s="346">
        <f t="shared" si="30"/>
        <v>4.095203993361185E-2</v>
      </c>
      <c r="X49" s="10"/>
      <c r="Y49" s="10"/>
      <c r="Z49" s="10"/>
      <c r="AA49" s="345"/>
      <c r="AB49" s="10"/>
      <c r="AC49" s="345"/>
      <c r="AD49" s="348"/>
    </row>
    <row r="50" spans="1:30" ht="12.5" x14ac:dyDescent="0.25">
      <c r="A50" t="str">
        <f t="shared" si="24"/>
        <v>52 Skilled metal, electrical and electronic trades</v>
      </c>
      <c r="B50" s="11">
        <v>1.1528215041746498E-2</v>
      </c>
      <c r="C50" s="11">
        <v>2.1420243778881097E-2</v>
      </c>
      <c r="D50" s="11">
        <f t="shared" si="25"/>
        <v>9.8920287371345988E-3</v>
      </c>
      <c r="E50" s="11">
        <v>6.7160662525239841E-3</v>
      </c>
      <c r="F50" s="11">
        <f t="shared" si="26"/>
        <v>1.6608094989658581E-2</v>
      </c>
      <c r="G50" s="200">
        <f t="shared" si="27"/>
        <v>3.1076715390144338E-2</v>
      </c>
      <c r="O50" s="71"/>
      <c r="P50" s="10" t="str">
        <f>name!D18</f>
        <v>52 Skilled metal, electrical and electronic trades</v>
      </c>
      <c r="Q50" s="11">
        <v>0.4611821231625623</v>
      </c>
      <c r="R50" s="11">
        <v>1.1622190879832661</v>
      </c>
      <c r="S50" s="345">
        <f t="shared" si="28"/>
        <v>0.70103696482070377</v>
      </c>
      <c r="T50" s="345">
        <v>0.55496547829203935</v>
      </c>
      <c r="U50" s="345">
        <f t="shared" si="29"/>
        <v>1.256002443112743</v>
      </c>
      <c r="V50" s="346">
        <f t="shared" si="30"/>
        <v>5.4076882740939025E-2</v>
      </c>
      <c r="X50" s="10"/>
      <c r="Y50" s="10"/>
      <c r="Z50" s="10"/>
      <c r="AA50" s="345"/>
      <c r="AB50" s="10"/>
      <c r="AC50" s="345"/>
      <c r="AD50" s="348"/>
    </row>
    <row r="51" spans="1:30" x14ac:dyDescent="0.3">
      <c r="A51" t="str">
        <f t="shared" si="24"/>
        <v>53 Skilled construction and building trades</v>
      </c>
      <c r="B51" s="11">
        <v>3.4674086733359837E-3</v>
      </c>
      <c r="C51" s="11">
        <v>5.3318611453630361E-3</v>
      </c>
      <c r="D51" s="11">
        <f t="shared" ref="D51" si="34">C51-B51</f>
        <v>1.8644524720270524E-3</v>
      </c>
      <c r="E51" s="11">
        <v>1.999527513812454E-3</v>
      </c>
      <c r="F51" s="11">
        <f t="shared" ref="F51" si="35">SUM(D51:E51)</f>
        <v>3.8639799858395064E-3</v>
      </c>
      <c r="G51" s="200">
        <f t="shared" si="27"/>
        <v>3.0819435269296314E-2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0.27940932640622779</v>
      </c>
      <c r="R51" s="11">
        <v>0.32445931603468431</v>
      </c>
      <c r="S51" s="345">
        <f t="shared" si="28"/>
        <v>4.5049989628456522E-2</v>
      </c>
      <c r="T51" s="345">
        <v>0.15924195834993865</v>
      </c>
      <c r="U51" s="345">
        <f t="shared" si="29"/>
        <v>0.20429194797839517</v>
      </c>
      <c r="V51" s="346">
        <f t="shared" si="30"/>
        <v>3.0525083420182009E-2</v>
      </c>
      <c r="X51" s="10"/>
      <c r="Y51" s="10"/>
      <c r="Z51" s="10"/>
      <c r="AA51" s="345"/>
      <c r="AB51" s="10"/>
      <c r="AC51" s="345"/>
      <c r="AD51" s="348"/>
    </row>
    <row r="52" spans="1:30" ht="12.5" x14ac:dyDescent="0.25">
      <c r="A52" t="str">
        <f t="shared" si="24"/>
        <v>54 Textiles, printing and other skilled trades</v>
      </c>
      <c r="B52" s="11">
        <v>3.1186021219172549E-2</v>
      </c>
      <c r="C52" s="11">
        <v>5.1043247674777449E-2</v>
      </c>
      <c r="D52" s="11">
        <f t="shared" si="25"/>
        <v>1.98572264556049E-2</v>
      </c>
      <c r="E52" s="11">
        <v>1.9631421442100724E-2</v>
      </c>
      <c r="F52" s="11">
        <f t="shared" si="26"/>
        <v>3.948864789770562E-2</v>
      </c>
      <c r="G52" s="200">
        <f t="shared" si="27"/>
        <v>3.3086902816962693E-2</v>
      </c>
      <c r="I52" s="11" t="str">
        <f>I41</f>
        <v>Managers, directors and senior officials</v>
      </c>
      <c r="J52" s="11">
        <f t="array" ref="J52:J60">MMULT(aggregation!$B$13:$AA$21,B123:B148)</f>
        <v>2.7497320959425533</v>
      </c>
      <c r="K52" s="11">
        <f t="array" ref="K52:K60">MMULT(aggregation!$B$13:$AA$21,C123:C148)</f>
        <v>3.171218367875333</v>
      </c>
      <c r="L52" s="11">
        <f t="array" ref="L52:L60">MMULT(aggregation!$B$13:$AA$21,D123:D148)</f>
        <v>0.42148627193277954</v>
      </c>
      <c r="M52" s="11">
        <f t="array" ref="M52:M60">MMULT(aggregation!$B$13:$AA$21,E123:E148)</f>
        <v>1.6883018698549419</v>
      </c>
      <c r="N52" s="11">
        <f t="array" ref="N52:N60">MMULT(aggregation!$B$13:$AA$21,F123:F148)</f>
        <v>2.1097881417877216</v>
      </c>
      <c r="P52" s="10" t="str">
        <f>name!D20</f>
        <v>54 Textiles, printing and other skilled trades</v>
      </c>
      <c r="Q52" s="11">
        <v>3.3851792996460044</v>
      </c>
      <c r="R52" s="11">
        <v>3.2332415214620065</v>
      </c>
      <c r="S52" s="345">
        <f t="shared" si="28"/>
        <v>-0.1519377781839979</v>
      </c>
      <c r="T52" s="345">
        <v>1.9080842545616281</v>
      </c>
      <c r="U52" s="345">
        <f t="shared" si="29"/>
        <v>1.7561464763776302</v>
      </c>
      <c r="V52" s="346">
        <f t="shared" si="30"/>
        <v>3.0250394394886637E-2</v>
      </c>
      <c r="X52" s="10"/>
      <c r="Y52" s="10"/>
      <c r="Z52" s="10"/>
      <c r="AA52" s="345"/>
      <c r="AB52" s="10"/>
      <c r="AC52" s="345"/>
      <c r="AD52" s="348"/>
    </row>
    <row r="53" spans="1:30" ht="12.5" x14ac:dyDescent="0.25">
      <c r="A53" t="str">
        <f t="shared" si="24"/>
        <v>61 Caring personal service occupations</v>
      </c>
      <c r="B53" s="11">
        <v>2.7545890768822964E-2</v>
      </c>
      <c r="C53" s="11">
        <v>7.0115469836677657E-2</v>
      </c>
      <c r="D53" s="11">
        <f t="shared" si="25"/>
        <v>4.256957906785469E-2</v>
      </c>
      <c r="E53" s="11">
        <v>2.4727812480211359E-2</v>
      </c>
      <c r="F53" s="11">
        <f t="shared" si="26"/>
        <v>6.7297391548066049E-2</v>
      </c>
      <c r="G53" s="200">
        <f t="shared" si="27"/>
        <v>4.3634505840227433E-2</v>
      </c>
      <c r="I53" s="11" t="str">
        <f>I42</f>
        <v>Professional occupations</v>
      </c>
      <c r="J53" s="11">
        <v>5.8143832081281852</v>
      </c>
      <c r="K53" s="11">
        <v>3.049802869404675</v>
      </c>
      <c r="L53" s="11">
        <v>-2.7645803387235111</v>
      </c>
      <c r="M53" s="11">
        <v>1.5381646773457707</v>
      </c>
      <c r="N53" s="11">
        <v>-1.2264156613777404</v>
      </c>
      <c r="P53" s="10" t="str">
        <f>name!D21</f>
        <v>61 Caring personal service occupations</v>
      </c>
      <c r="Q53" s="11">
        <v>35.533831734505888</v>
      </c>
      <c r="R53" s="11">
        <v>41.783143826138506</v>
      </c>
      <c r="S53" s="345">
        <f t="shared" si="28"/>
        <v>6.2493120916326177</v>
      </c>
      <c r="T53" s="345">
        <v>22.894495773972768</v>
      </c>
      <c r="U53" s="345">
        <f t="shared" si="29"/>
        <v>29.143807865605385</v>
      </c>
      <c r="V53" s="346">
        <f t="shared" si="30"/>
        <v>3.3710103030583083E-2</v>
      </c>
      <c r="X53" s="10"/>
      <c r="Y53" s="10"/>
      <c r="Z53" s="10"/>
      <c r="AA53" s="345"/>
      <c r="AB53" s="10"/>
      <c r="AC53" s="345"/>
      <c r="AD53" s="348"/>
    </row>
    <row r="54" spans="1:30" ht="12.5" x14ac:dyDescent="0.25">
      <c r="A54" t="str">
        <f t="shared" si="24"/>
        <v>62 Leisure, travel and related personal service occupations</v>
      </c>
      <c r="B54" s="11">
        <v>1.721080347992732E-2</v>
      </c>
      <c r="C54" s="11">
        <v>4.3688609310604178E-2</v>
      </c>
      <c r="D54" s="11">
        <f t="shared" ref="D54:D55" si="36">C54-B54</f>
        <v>2.6477805830676857E-2</v>
      </c>
      <c r="E54" s="11">
        <v>1.6383344679811958E-2</v>
      </c>
      <c r="F54" s="11">
        <f t="shared" ref="F54:F55" si="37">SUM(D54:E54)</f>
        <v>4.2861150510488819E-2</v>
      </c>
      <c r="G54" s="200">
        <f t="shared" si="27"/>
        <v>4.5596608360098045E-2</v>
      </c>
      <c r="I54" s="11" t="str">
        <f>I43</f>
        <v>Associate professional occupations</v>
      </c>
      <c r="J54" s="11">
        <v>5.1510590637616342</v>
      </c>
      <c r="K54" s="11">
        <v>4.8001791073495106</v>
      </c>
      <c r="L54" s="11">
        <v>-0.35087995641212466</v>
      </c>
      <c r="M54" s="11">
        <v>2.2465427612184206</v>
      </c>
      <c r="N54" s="11">
        <v>1.8956628048062956</v>
      </c>
      <c r="P54" s="10" t="str">
        <f>name!D22</f>
        <v>62 Leisure, travel and related personal service occupations</v>
      </c>
      <c r="Q54" s="11">
        <v>6.4065194710173774</v>
      </c>
      <c r="R54" s="11">
        <v>6.5097701502473697</v>
      </c>
      <c r="S54" s="345">
        <f t="shared" si="28"/>
        <v>0.10325067922999231</v>
      </c>
      <c r="T54" s="345">
        <v>3.5468975342469009</v>
      </c>
      <c r="U54" s="345">
        <f t="shared" si="29"/>
        <v>3.6501482134768932</v>
      </c>
      <c r="V54" s="346">
        <f t="shared" si="30"/>
        <v>2.9808968990128637E-2</v>
      </c>
      <c r="X54" s="10"/>
      <c r="Y54" s="10"/>
      <c r="Z54" s="10"/>
      <c r="AA54" s="345"/>
      <c r="AB54" s="10"/>
      <c r="AC54" s="345"/>
      <c r="AD54" s="348"/>
    </row>
    <row r="55" spans="1:30" ht="12.5" x14ac:dyDescent="0.25">
      <c r="A55" t="str">
        <f t="shared" si="24"/>
        <v>63 Community and civil enforcement occupations</v>
      </c>
      <c r="B55" s="11">
        <v>1.3368234823267688E-3</v>
      </c>
      <c r="C55" s="11">
        <v>3.2857102252786658E-3</v>
      </c>
      <c r="D55" s="11">
        <f t="shared" si="36"/>
        <v>1.948886742951897E-3</v>
      </c>
      <c r="E55" s="11">
        <v>1.2840258467920937E-3</v>
      </c>
      <c r="F55" s="11">
        <f t="shared" si="37"/>
        <v>3.2329125897439907E-3</v>
      </c>
      <c r="G55" s="200">
        <f t="shared" si="27"/>
        <v>4.590249557412851E-2</v>
      </c>
      <c r="I55" s="11" t="str">
        <f>I44</f>
        <v>Administrative and secretarial occupations</v>
      </c>
      <c r="J55" s="11">
        <v>4.1414568046774356</v>
      </c>
      <c r="K55" s="11">
        <v>4.8926394937322213</v>
      </c>
      <c r="L55" s="11">
        <v>0.75118268905478636</v>
      </c>
      <c r="M55" s="11">
        <v>2.7188094410608237</v>
      </c>
      <c r="N55" s="11">
        <v>3.4699921301156103</v>
      </c>
      <c r="P55" s="10" t="str">
        <f>name!D23</f>
        <v>63 Community and civil enforcement occupations</v>
      </c>
      <c r="Q55" s="11">
        <v>0.10656405069254467</v>
      </c>
      <c r="R55" s="11">
        <v>0.14232277418284373</v>
      </c>
      <c r="S55" s="345">
        <f t="shared" si="28"/>
        <v>3.5758723490299058E-2</v>
      </c>
      <c r="T55" s="345">
        <v>9.0797717186431967E-2</v>
      </c>
      <c r="U55" s="345">
        <f t="shared" si="29"/>
        <v>0.12655644067673102</v>
      </c>
      <c r="V55" s="346">
        <f t="shared" si="30"/>
        <v>4.1941862226312576E-2</v>
      </c>
      <c r="X55" s="10"/>
      <c r="Y55" s="10"/>
      <c r="Z55" s="10"/>
      <c r="AA55" s="345"/>
      <c r="AB55" s="10"/>
      <c r="AC55" s="345"/>
      <c r="AD55" s="348"/>
    </row>
    <row r="56" spans="1:30" ht="12.5" x14ac:dyDescent="0.25">
      <c r="A56" t="str">
        <f t="shared" si="24"/>
        <v>71 Sales occupations</v>
      </c>
      <c r="B56" s="11">
        <v>5.1287922652370276E-2</v>
      </c>
      <c r="C56" s="11">
        <v>8.6860454830266151E-2</v>
      </c>
      <c r="D56" s="11">
        <f t="shared" si="25"/>
        <v>3.5572532177895876E-2</v>
      </c>
      <c r="E56" s="11">
        <v>2.9728403239773195E-2</v>
      </c>
      <c r="F56" s="11">
        <f t="shared" si="26"/>
        <v>6.530093541766907E-2</v>
      </c>
      <c r="G56" s="200">
        <f t="shared" si="27"/>
        <v>3.094895401263531E-2</v>
      </c>
      <c r="I56" s="11" t="str">
        <f t="shared" ref="I56:I60" si="38">I45</f>
        <v>Skilled trades occupations</v>
      </c>
      <c r="J56" s="11">
        <v>1.1394259027908828</v>
      </c>
      <c r="K56" s="11">
        <v>1.5296976207028099</v>
      </c>
      <c r="L56" s="11">
        <v>0.39027171791192716</v>
      </c>
      <c r="M56" s="11">
        <v>0.71958516593560251</v>
      </c>
      <c r="N56" s="11">
        <v>1.1098568838475298</v>
      </c>
      <c r="P56" s="10" t="str">
        <f>name!D24</f>
        <v>71 Sales occupations</v>
      </c>
      <c r="Q56" s="11">
        <v>17.253150280154376</v>
      </c>
      <c r="R56" s="11">
        <v>14.466030379342753</v>
      </c>
      <c r="S56" s="345">
        <f t="shared" si="28"/>
        <v>-2.7871199008116232</v>
      </c>
      <c r="T56" s="345">
        <v>8.5627880589382475</v>
      </c>
      <c r="U56" s="345">
        <f t="shared" si="29"/>
        <v>5.7756681581266243</v>
      </c>
      <c r="V56" s="346">
        <f t="shared" si="30"/>
        <v>2.7230645615081039E-2</v>
      </c>
      <c r="X56" s="10"/>
      <c r="Y56" s="10"/>
      <c r="Z56" s="10"/>
      <c r="AA56" s="345"/>
      <c r="AB56" s="10"/>
      <c r="AC56" s="345"/>
      <c r="AD56" s="348"/>
    </row>
    <row r="57" spans="1:30" ht="12.5" x14ac:dyDescent="0.25">
      <c r="A57" t="str">
        <f t="shared" si="24"/>
        <v>72 Customer service occupations</v>
      </c>
      <c r="B57" s="11">
        <v>3.4145100765402642E-2</v>
      </c>
      <c r="C57" s="11">
        <v>0.11362055773186625</v>
      </c>
      <c r="D57" s="11">
        <f t="shared" si="25"/>
        <v>7.9475456966463603E-2</v>
      </c>
      <c r="E57" s="11">
        <v>3.2151128398223969E-2</v>
      </c>
      <c r="F57" s="11">
        <f t="shared" si="26"/>
        <v>0.11162658536468757</v>
      </c>
      <c r="G57" s="200">
        <f t="shared" si="27"/>
        <v>4.5227181597344401E-2</v>
      </c>
      <c r="I57" s="11" t="str">
        <f t="shared" si="38"/>
        <v>Caring, leisure and other service occupations</v>
      </c>
      <c r="J57" s="11">
        <v>4.8542394145071448</v>
      </c>
      <c r="K57" s="11">
        <v>5.8058383418130912</v>
      </c>
      <c r="L57" s="11">
        <v>0.95159892730594742</v>
      </c>
      <c r="M57" s="11">
        <v>3.194877005900997</v>
      </c>
      <c r="N57" s="11">
        <v>4.1464759332069443</v>
      </c>
      <c r="P57" s="10" t="str">
        <f>name!D25</f>
        <v>72 Customer service occupations</v>
      </c>
      <c r="Q57" s="11">
        <v>5.3852374374537986</v>
      </c>
      <c r="R57" s="11">
        <v>7.3548050625433694</v>
      </c>
      <c r="S57" s="345">
        <f t="shared" si="28"/>
        <v>1.9695676250895708</v>
      </c>
      <c r="T57" s="345">
        <v>3.6446290712084131</v>
      </c>
      <c r="U57" s="345">
        <f t="shared" si="29"/>
        <v>5.6141966962979843</v>
      </c>
      <c r="V57" s="346">
        <f t="shared" si="30"/>
        <v>3.5058981600701422E-2</v>
      </c>
      <c r="X57" s="10"/>
      <c r="Y57" s="10"/>
      <c r="Z57" s="10"/>
      <c r="AA57" s="345"/>
      <c r="AB57" s="10"/>
      <c r="AC57" s="345"/>
      <c r="AD57" s="348"/>
    </row>
    <row r="58" spans="1:30" ht="12.5" x14ac:dyDescent="0.25">
      <c r="A58" t="str">
        <f t="shared" si="24"/>
        <v>81 Process, plant and machine operatives</v>
      </c>
      <c r="B58" s="11">
        <v>3.1212897683661971E-2</v>
      </c>
      <c r="C58" s="11">
        <v>0.11776030216461929</v>
      </c>
      <c r="D58" s="11">
        <f t="shared" ref="D58:D59" si="39">C58-B58</f>
        <v>8.6547404480957324E-2</v>
      </c>
      <c r="E58" s="11">
        <v>3.7841034779967801E-2</v>
      </c>
      <c r="F58" s="11">
        <f t="shared" ref="F58:F59" si="40">SUM(D58:E58)</f>
        <v>0.12438843926092513</v>
      </c>
      <c r="G58" s="200">
        <f t="shared" si="27"/>
        <v>5.4363318835881413E-2</v>
      </c>
      <c r="I58" s="11" t="str">
        <f t="shared" si="38"/>
        <v>Sales and customer service occupations</v>
      </c>
      <c r="J58" s="11">
        <v>1.7808226135892382</v>
      </c>
      <c r="K58" s="11">
        <v>2.5603065386333759</v>
      </c>
      <c r="L58" s="11">
        <v>0.77948392504413755</v>
      </c>
      <c r="M58" s="11">
        <v>1.1524173587547546</v>
      </c>
      <c r="N58" s="11">
        <v>1.9319012837988923</v>
      </c>
      <c r="P58" s="10" t="str">
        <f>name!D26</f>
        <v>81 Process, plant and machine operatives</v>
      </c>
      <c r="Q58" s="11">
        <v>4.0754045658420548</v>
      </c>
      <c r="R58" s="11">
        <v>5.2937359963513479</v>
      </c>
      <c r="S58" s="345">
        <f t="shared" si="28"/>
        <v>1.2183314305092932</v>
      </c>
      <c r="T58" s="345">
        <v>2.6141074041055399</v>
      </c>
      <c r="U58" s="345">
        <f t="shared" si="29"/>
        <v>3.832438834614833</v>
      </c>
      <c r="V58" s="346">
        <f t="shared" si="30"/>
        <v>3.3589876962515364E-2</v>
      </c>
      <c r="X58" s="10"/>
      <c r="Y58" s="10"/>
      <c r="Z58" s="10"/>
      <c r="AA58" s="345"/>
      <c r="AB58" s="10"/>
      <c r="AC58" s="345"/>
      <c r="AD58" s="348"/>
    </row>
    <row r="59" spans="1:30" ht="12.5" x14ac:dyDescent="0.25">
      <c r="A59" t="str">
        <f t="shared" si="24"/>
        <v>82 Transport and mobile machine drivers and operatives</v>
      </c>
      <c r="B59" s="11">
        <v>4.493757623305044E-2</v>
      </c>
      <c r="C59" s="11">
        <v>0.14983581942761537</v>
      </c>
      <c r="D59" s="11">
        <f t="shared" si="39"/>
        <v>0.10489824319456492</v>
      </c>
      <c r="E59" s="11">
        <v>5.8457470208191711E-2</v>
      </c>
      <c r="F59" s="11">
        <f t="shared" si="40"/>
        <v>0.16335571340275662</v>
      </c>
      <c r="G59" s="200">
        <f t="shared" si="27"/>
        <v>5.7124177941965559E-2</v>
      </c>
      <c r="I59" s="11" t="str">
        <f t="shared" si="38"/>
        <v>Process, plant and machine operatives</v>
      </c>
      <c r="J59" s="11">
        <v>0.73560728618482885</v>
      </c>
      <c r="K59" s="11">
        <v>1.3062730784689649</v>
      </c>
      <c r="L59" s="11">
        <v>0.57066579228413605</v>
      </c>
      <c r="M59" s="11">
        <v>0.60518994060274522</v>
      </c>
      <c r="N59" s="11">
        <v>1.1758557328868813</v>
      </c>
      <c r="P59" s="10" t="str">
        <f>name!D27</f>
        <v>82 Transport and mobile machine drivers and operatives</v>
      </c>
      <c r="Q59" s="11">
        <v>0.98117400967843427</v>
      </c>
      <c r="R59" s="11">
        <v>1.7328084374724997</v>
      </c>
      <c r="S59" s="345">
        <f t="shared" si="28"/>
        <v>0.75163442779406542</v>
      </c>
      <c r="T59" s="345">
        <v>0.97721023598108014</v>
      </c>
      <c r="U59" s="345">
        <f t="shared" si="29"/>
        <v>1.7288446637751456</v>
      </c>
      <c r="V59" s="346">
        <f t="shared" si="30"/>
        <v>4.7152960124263732E-2</v>
      </c>
      <c r="X59" s="10"/>
      <c r="Y59" s="10"/>
      <c r="Z59" s="10"/>
      <c r="AA59" s="345"/>
      <c r="AB59" s="10"/>
      <c r="AC59" s="345"/>
      <c r="AD59" s="348"/>
    </row>
    <row r="60" spans="1:30" ht="12.5" x14ac:dyDescent="0.25">
      <c r="A60" t="str">
        <f t="shared" si="24"/>
        <v>91 Elementary trades and related occupations</v>
      </c>
      <c r="B60" s="11">
        <v>2.8891072480207678E-4</v>
      </c>
      <c r="C60" s="11">
        <v>5.8873560105830768E-4</v>
      </c>
      <c r="D60" s="11">
        <f t="shared" si="25"/>
        <v>2.998248762562309E-4</v>
      </c>
      <c r="E60" s="11">
        <v>2.4385305124390122E-4</v>
      </c>
      <c r="F60" s="11">
        <f t="shared" si="26"/>
        <v>5.4367792750013215E-4</v>
      </c>
      <c r="G60" s="200">
        <f t="shared" si="27"/>
        <v>4.1641005978511947E-2</v>
      </c>
      <c r="I60" s="11" t="str">
        <f t="shared" si="38"/>
        <v>Elementary occupations</v>
      </c>
      <c r="J60" s="11">
        <v>1.4606736176118018</v>
      </c>
      <c r="K60" s="11">
        <v>2.3436216736971325</v>
      </c>
      <c r="L60" s="11">
        <v>0.88294805608533045</v>
      </c>
      <c r="M60" s="11">
        <v>1.1712279827134713</v>
      </c>
      <c r="N60" s="11">
        <v>2.054176038798802</v>
      </c>
      <c r="P60" s="10" t="str">
        <f>name!D28</f>
        <v>91 Elementary trades and related occupations</v>
      </c>
      <c r="Q60" s="11">
        <v>1.9281979859230163</v>
      </c>
      <c r="R60" s="11">
        <v>1.5821489095176442</v>
      </c>
      <c r="S60" s="345">
        <f t="shared" si="28"/>
        <v>-0.34604907640537208</v>
      </c>
      <c r="T60" s="345">
        <v>1.0569519712296145</v>
      </c>
      <c r="U60" s="345">
        <f t="shared" si="29"/>
        <v>0.7109028948242424</v>
      </c>
      <c r="V60" s="346">
        <f t="shared" si="30"/>
        <v>2.9566260030794655E-2</v>
      </c>
      <c r="X60" s="10"/>
      <c r="Y60" s="10"/>
      <c r="Z60" s="10"/>
      <c r="AA60" s="345"/>
      <c r="AB60" s="10"/>
      <c r="AC60" s="345"/>
      <c r="AD60" s="348"/>
    </row>
    <row r="61" spans="1:30" ht="12.5" x14ac:dyDescent="0.25">
      <c r="A61" t="str">
        <f t="shared" si="24"/>
        <v>92 Elementary administration and service occupations</v>
      </c>
      <c r="B61" s="11">
        <v>3.0298378528944785E-2</v>
      </c>
      <c r="C61" s="11">
        <v>7.773610027561946E-2</v>
      </c>
      <c r="D61" s="11">
        <f t="shared" ref="D61" si="41">C61-B61</f>
        <v>4.7437721746674676E-2</v>
      </c>
      <c r="E61" s="11">
        <v>2.8742084078556711E-2</v>
      </c>
      <c r="F61" s="11">
        <f t="shared" ref="F61" si="42">SUM(D61:E61)</f>
        <v>7.6179805825231386E-2</v>
      </c>
      <c r="G61" s="200">
        <f t="shared" ref="G61" si="43">IF(B61&gt;0,(1+(E61/B61))^(1/($C$6-$B$6))-1,0)</f>
        <v>4.5479105561538891E-2</v>
      </c>
      <c r="P61" s="10" t="str">
        <f>name!D29</f>
        <v>92 Elementary administration and service occupations</v>
      </c>
      <c r="Q61" s="11">
        <v>18.915308261969496</v>
      </c>
      <c r="R61" s="11">
        <v>16.452978288326339</v>
      </c>
      <c r="S61" s="345">
        <f t="shared" ref="S61" si="44">R61-Q61</f>
        <v>-2.4623299736431576</v>
      </c>
      <c r="T61" s="345">
        <v>10.342747019879454</v>
      </c>
      <c r="U61" s="345">
        <f t="shared" ref="U61" si="45">SUM(S61:T61)</f>
        <v>7.8804170462362961</v>
      </c>
      <c r="V61" s="346">
        <f t="shared" ref="V61" si="46">IF(Q61&gt;0,(1+(T61/Q61))^(1/($C$6-$B$6))-1,0)</f>
        <v>2.9505810689719469E-2</v>
      </c>
      <c r="X61" s="10"/>
      <c r="Y61" s="10"/>
      <c r="Z61" s="10"/>
      <c r="AA61" s="345"/>
      <c r="AB61" s="10"/>
      <c r="AC61" s="345"/>
      <c r="AD61" s="348"/>
    </row>
    <row r="62" spans="1:30" x14ac:dyDescent="0.3">
      <c r="A62" t="str">
        <f t="shared" si="24"/>
        <v>All occupations</v>
      </c>
      <c r="B62" s="11">
        <f>SUM(B36:B61)</f>
        <v>7.0913085790934494</v>
      </c>
      <c r="C62" s="11">
        <f t="shared" ref="C62:F62" si="47">SUM(C36:C61)</f>
        <v>13.484206138990873</v>
      </c>
      <c r="D62" s="11">
        <f t="shared" si="47"/>
        <v>6.3928975598974214</v>
      </c>
      <c r="E62" s="11">
        <f t="shared" si="47"/>
        <v>4.8238703687565048</v>
      </c>
      <c r="F62" s="11">
        <f t="shared" si="47"/>
        <v>11.216767928653926</v>
      </c>
      <c r="G62" s="200">
        <f t="shared" si="27"/>
        <v>3.5201626458668533E-2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231.09459559588936</v>
      </c>
      <c r="R62" s="11">
        <f>SUM(R36:R61)</f>
        <v>248.49953199280068</v>
      </c>
      <c r="S62" s="345">
        <f>R62-Q62</f>
        <v>17.404936396911324</v>
      </c>
      <c r="T62" s="11">
        <f>SUM(T36:T61)</f>
        <v>136.92676068970997</v>
      </c>
      <c r="U62" s="345">
        <f>SUM(S62:T62)</f>
        <v>154.33169708662129</v>
      </c>
      <c r="V62" s="346">
        <f t="shared" si="30"/>
        <v>3.1507085431570436E-2</v>
      </c>
      <c r="X62" s="10"/>
      <c r="Y62" s="10"/>
      <c r="Z62" s="10"/>
      <c r="AA62" s="345"/>
      <c r="AB62" s="10"/>
      <c r="AC62" s="345"/>
      <c r="AD62" s="348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3.5909658565299978</v>
      </c>
      <c r="K63" s="11">
        <f t="array" ref="K63:K71">MMULT(aggregation!$B$13:$AA$21,C152:C177)</f>
        <v>3.9470377151099649</v>
      </c>
      <c r="L63" s="11">
        <f t="array" ref="L63:L71">MMULT(aggregation!$B$13:$AA$21,D152:D177)</f>
        <v>0.3560718585799667</v>
      </c>
      <c r="M63" s="11">
        <f t="array" ref="M63:M71">MMULT(aggregation!$B$13:$AA$21,E152:E177)</f>
        <v>2.0637922256354617</v>
      </c>
      <c r="N63" s="11">
        <f t="array" ref="N63:N71">MMULT(aggregation!$B$13:$AA$21,F152:F177)</f>
        <v>2.4198640842154289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25.5" x14ac:dyDescent="0.3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5.0409569537991485</v>
      </c>
      <c r="K64" s="11">
        <v>5.0671331685548449</v>
      </c>
      <c r="L64" s="11">
        <v>2.6176214755696536E-2</v>
      </c>
      <c r="M64" s="11">
        <v>2.1279897951386935</v>
      </c>
      <c r="N64" s="11">
        <v>2.1541660098943902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3">
      <c r="A65" t="str">
        <f t="shared" ref="A65:A91" si="49">A7</f>
        <v>11 Corporate managers and directors</v>
      </c>
      <c r="B65" s="11">
        <v>3.7941479027392155</v>
      </c>
      <c r="C65" s="11">
        <v>6.7076572645207788</v>
      </c>
      <c r="D65" s="11">
        <f>C65-B65</f>
        <v>2.9135093617815633</v>
      </c>
      <c r="E65" s="11">
        <v>2.606447578411542</v>
      </c>
      <c r="F65" s="11">
        <f>SUM(D65:E65)</f>
        <v>5.5199569401931052</v>
      </c>
      <c r="G65" s="200">
        <f>IF(B65&gt;0,(1+(E65/B65))^(1/($C$6-$B$6))-1,0)</f>
        <v>3.5476884314180834E-2</v>
      </c>
      <c r="I65" s="11" t="str">
        <f>I54</f>
        <v>Associate professional occupations</v>
      </c>
      <c r="J65" s="11">
        <v>4.0368535260132354</v>
      </c>
      <c r="K65" s="11">
        <v>3.9852039089779279</v>
      </c>
      <c r="L65" s="11">
        <v>-5.1649617035306905E-2</v>
      </c>
      <c r="M65" s="11">
        <v>1.7795040655194765</v>
      </c>
      <c r="N65" s="11">
        <v>1.7278544484841696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3">
      <c r="A66" t="str">
        <f t="shared" si="49"/>
        <v>12 Other managers and proprietors</v>
      </c>
      <c r="B66" s="11">
        <v>1.3034627633437299</v>
      </c>
      <c r="C66" s="11">
        <v>3.5472372968167343</v>
      </c>
      <c r="D66" s="11">
        <f t="shared" ref="D66:D89" si="50">C66-B66</f>
        <v>2.2437745334730046</v>
      </c>
      <c r="E66" s="11">
        <v>1.4365641825105828</v>
      </c>
      <c r="F66" s="11">
        <f t="shared" ref="F66:F89" si="51">SUM(D66:E66)</f>
        <v>3.6803387159835874</v>
      </c>
      <c r="G66" s="200">
        <f t="shared" ref="G66:G89" si="52">IF(B66&gt;0,(1+(E66/B66))^(1/($C$6-$B$6))-1,0)</f>
        <v>5.0776650422426739E-2</v>
      </c>
      <c r="I66" s="11" t="str">
        <f>I55</f>
        <v>Administrative and secretarial occupations</v>
      </c>
      <c r="J66" s="11">
        <v>3.7521008505253053</v>
      </c>
      <c r="K66" s="11">
        <v>4.1793218089262876</v>
      </c>
      <c r="L66" s="11">
        <v>0.42722095840098218</v>
      </c>
      <c r="M66" s="11">
        <v>2.1718463281776526</v>
      </c>
      <c r="N66" s="11">
        <v>2.5990672865786348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3">
      <c r="A67" t="str">
        <f t="shared" si="49"/>
        <v>21 Science, research, engineering and technology professionals</v>
      </c>
      <c r="B67" s="11">
        <v>4.4679255757124636</v>
      </c>
      <c r="C67" s="11">
        <v>8.2326054520455418</v>
      </c>
      <c r="D67" s="11">
        <f t="shared" si="50"/>
        <v>3.7646798763330782</v>
      </c>
      <c r="E67" s="11">
        <v>2.4493177916260742</v>
      </c>
      <c r="F67" s="11">
        <f t="shared" si="51"/>
        <v>6.213997667959152</v>
      </c>
      <c r="G67" s="200">
        <f t="shared" si="52"/>
        <v>2.9568251027311865E-2</v>
      </c>
      <c r="I67" s="11" t="str">
        <f t="shared" ref="I67:I71" si="53">I56</f>
        <v>Skilled trades occupations</v>
      </c>
      <c r="J67" s="11">
        <v>2.8921498293576877</v>
      </c>
      <c r="K67" s="11">
        <v>3.6384295174456587</v>
      </c>
      <c r="L67" s="11">
        <v>0.74627968808797074</v>
      </c>
      <c r="M67" s="11">
        <v>1.5769303367049421</v>
      </c>
      <c r="N67" s="11">
        <v>2.3232100247929126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3">
      <c r="A68" t="str">
        <f t="shared" si="49"/>
        <v>22 Health professionals</v>
      </c>
      <c r="B68" s="11">
        <v>5.2257769020888833</v>
      </c>
      <c r="C68" s="11">
        <v>10.109856701539204</v>
      </c>
      <c r="D68" s="11">
        <f t="shared" si="50"/>
        <v>4.8840797994503209</v>
      </c>
      <c r="E68" s="11">
        <v>3.873166770743854</v>
      </c>
      <c r="F68" s="11">
        <f t="shared" si="51"/>
        <v>8.7572465701941749</v>
      </c>
      <c r="G68" s="200">
        <f t="shared" si="52"/>
        <v>3.7662226072525895E-2</v>
      </c>
      <c r="I68" s="11" t="str">
        <f t="shared" si="53"/>
        <v>Caring, leisure and other service occupations</v>
      </c>
      <c r="J68" s="11">
        <v>3.087919504317072</v>
      </c>
      <c r="K68" s="11">
        <v>4.0883258275140912</v>
      </c>
      <c r="L68" s="11">
        <v>1.0004063231970191</v>
      </c>
      <c r="M68" s="11">
        <v>2.1906588599381025</v>
      </c>
      <c r="N68" s="11">
        <v>3.1910651831351218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3">
      <c r="A69" t="str">
        <f t="shared" si="49"/>
        <v>23 Teaching and other educational professionals</v>
      </c>
      <c r="B69" s="11">
        <v>11.47388925534997</v>
      </c>
      <c r="C69" s="11">
        <v>17.340716433448851</v>
      </c>
      <c r="D69" s="11">
        <f t="shared" ref="D69" si="54">C69-B69</f>
        <v>5.8668271780988803</v>
      </c>
      <c r="E69" s="11">
        <v>7.4233403136245562</v>
      </c>
      <c r="F69" s="11">
        <f t="shared" ref="F69" si="55">SUM(D69:E69)</f>
        <v>13.290167491723437</v>
      </c>
      <c r="G69" s="200">
        <f t="shared" si="52"/>
        <v>3.3822148825395137E-2</v>
      </c>
      <c r="I69" s="11" t="str">
        <f t="shared" si="53"/>
        <v>Sales and customer service occupations</v>
      </c>
      <c r="J69" s="11">
        <v>1.7828066449258317</v>
      </c>
      <c r="K69" s="11">
        <v>2.3690534615658074</v>
      </c>
      <c r="L69" s="11">
        <v>0.58624681663997558</v>
      </c>
      <c r="M69" s="11">
        <v>0.98387638887898921</v>
      </c>
      <c r="N69" s="11">
        <v>1.5701232055189647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3">
      <c r="A70" t="str">
        <f t="shared" si="49"/>
        <v>24 Business, media and public service professionals</v>
      </c>
      <c r="B70" s="11">
        <v>5.6874323710150545</v>
      </c>
      <c r="C70" s="11">
        <v>10.474631904640543</v>
      </c>
      <c r="D70" s="11">
        <f t="shared" si="50"/>
        <v>4.787199533625488</v>
      </c>
      <c r="E70" s="11">
        <v>3.8981945781198455</v>
      </c>
      <c r="F70" s="11">
        <f t="shared" si="51"/>
        <v>8.6853941117453335</v>
      </c>
      <c r="G70" s="200">
        <f t="shared" si="52"/>
        <v>3.5413012166265911E-2</v>
      </c>
      <c r="I70" s="11" t="str">
        <f t="shared" si="53"/>
        <v>Process, plant and machine operatives</v>
      </c>
      <c r="J70" s="11">
        <v>1.3406750971613006</v>
      </c>
      <c r="K70" s="11">
        <v>2.3542018807018814</v>
      </c>
      <c r="L70" s="11">
        <v>1.0135267835405808</v>
      </c>
      <c r="M70" s="11">
        <v>1.085224791287013</v>
      </c>
      <c r="N70" s="11">
        <v>2.0987515748275936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3">
      <c r="A71" t="str">
        <f t="shared" si="49"/>
        <v>31 Science, engineering and technology associate professionals</v>
      </c>
      <c r="B71" s="11">
        <v>0.89678256615296614</v>
      </c>
      <c r="C71" s="11">
        <v>1.3235411374741606</v>
      </c>
      <c r="D71" s="11">
        <f t="shared" si="50"/>
        <v>0.42675857132119444</v>
      </c>
      <c r="E71" s="11">
        <v>0.43761655993362647</v>
      </c>
      <c r="F71" s="11">
        <f t="shared" si="51"/>
        <v>0.86437513125482091</v>
      </c>
      <c r="G71" s="200">
        <f t="shared" si="52"/>
        <v>2.6848972337662591E-2</v>
      </c>
      <c r="I71" s="11" t="str">
        <f t="shared" si="53"/>
        <v>Elementary occupations</v>
      </c>
      <c r="J71" s="11">
        <v>1.4358316988977347</v>
      </c>
      <c r="K71" s="11">
        <v>2.2147502037616067</v>
      </c>
      <c r="L71" s="11">
        <v>0.77891850486387204</v>
      </c>
      <c r="M71" s="11">
        <v>1.1353950971476701</v>
      </c>
      <c r="N71" s="11">
        <v>1.9143136020115421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3">
      <c r="A72" t="str">
        <f t="shared" si="49"/>
        <v>32 Health and social care associate professionals</v>
      </c>
      <c r="B72" s="11">
        <v>1.2464310321006769</v>
      </c>
      <c r="C72" s="11">
        <v>2.9266383693116476</v>
      </c>
      <c r="D72" s="11">
        <f t="shared" si="50"/>
        <v>1.6802073372109707</v>
      </c>
      <c r="E72" s="11">
        <v>1.0900851975505332</v>
      </c>
      <c r="F72" s="11">
        <f t="shared" si="51"/>
        <v>2.7702925347615039</v>
      </c>
      <c r="G72" s="200">
        <f t="shared" si="52"/>
        <v>4.2781625324052275E-2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3">
      <c r="A73" t="str">
        <f t="shared" si="49"/>
        <v>33 Protective service occupations</v>
      </c>
      <c r="B73" s="11">
        <v>0.26413399935912896</v>
      </c>
      <c r="C73" s="11">
        <v>0.7239510072422578</v>
      </c>
      <c r="D73" s="11">
        <f t="shared" si="50"/>
        <v>0.45981700788312885</v>
      </c>
      <c r="E73" s="11">
        <v>0.1616683359971994</v>
      </c>
      <c r="F73" s="11">
        <f t="shared" si="51"/>
        <v>0.62148534388032828</v>
      </c>
      <c r="G73" s="200">
        <f t="shared" si="52"/>
        <v>3.2346719653935985E-2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3">
      <c r="A74" t="str">
        <f t="shared" si="49"/>
        <v>34 Culture, media and sports occupations</v>
      </c>
      <c r="B74" s="11">
        <v>1.333902864452752</v>
      </c>
      <c r="C74" s="11">
        <v>2.0049241463725442</v>
      </c>
      <c r="D74" s="11">
        <f t="shared" ref="D74:D75" si="56">C74-B74</f>
        <v>0.67102128191979227</v>
      </c>
      <c r="E74" s="11">
        <v>0.80462648787807889</v>
      </c>
      <c r="F74" s="11">
        <f t="shared" ref="F74:F75" si="57">SUM(D74:E74)</f>
        <v>1.4756477697978712</v>
      </c>
      <c r="G74" s="200">
        <f t="shared" si="52"/>
        <v>3.1967612135874512E-2</v>
      </c>
      <c r="I74" s="11" t="str">
        <f>I63</f>
        <v>Managers, directors and senior officials</v>
      </c>
      <c r="J74" s="11">
        <f t="array" ref="J74:J82">MMULT(aggregation!$B$13:$AA$21,B181:B206)</f>
        <v>8.8748102681493144</v>
      </c>
      <c r="K74" s="11">
        <f t="array" ref="K74:K82">MMULT(aggregation!$B$13:$AA$21,C181:C206)</f>
        <v>9.5052640082564377</v>
      </c>
      <c r="L74" s="11">
        <f t="array" ref="L74:L82">MMULT(aggregation!$B$13:$AA$21,D181:D206)</f>
        <v>0.63045374010712285</v>
      </c>
      <c r="M74" s="11">
        <f t="array" ref="M74:M82">MMULT(aggregation!$B$13:$AA$21,E181:E206)</f>
        <v>4.0760273243008456</v>
      </c>
      <c r="N74" s="11">
        <f t="array" ref="N74:N82">MMULT(aggregation!$B$13:$AA$21,F181:F206)</f>
        <v>4.7064810644079689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3">
      <c r="A75" t="str">
        <f t="shared" si="49"/>
        <v>35 Business and public service associate professionals</v>
      </c>
      <c r="B75" s="11">
        <v>3.4461216968759119</v>
      </c>
      <c r="C75" s="11">
        <v>6.0281329712056548</v>
      </c>
      <c r="D75" s="11">
        <f t="shared" si="56"/>
        <v>2.582011274329743</v>
      </c>
      <c r="E75" s="11">
        <v>2.2123334584823979</v>
      </c>
      <c r="F75" s="11">
        <f t="shared" si="57"/>
        <v>4.7943447328121405</v>
      </c>
      <c r="G75" s="200">
        <f t="shared" si="52"/>
        <v>3.3612654830435407E-2</v>
      </c>
      <c r="I75" s="11" t="str">
        <f>I64</f>
        <v>Professional occupations</v>
      </c>
      <c r="J75" s="11">
        <v>12.016908739246571</v>
      </c>
      <c r="K75" s="11">
        <v>13.033977147213113</v>
      </c>
      <c r="L75" s="11">
        <v>1.017068407966542</v>
      </c>
      <c r="M75" s="11">
        <v>5.3629822139006667</v>
      </c>
      <c r="N75" s="11">
        <v>6.3800506218672082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3">
      <c r="A76" t="str">
        <f t="shared" si="49"/>
        <v>41 Administrative occupations</v>
      </c>
      <c r="B76" s="11">
        <v>2.9256183633396677</v>
      </c>
      <c r="C76" s="11">
        <v>5.0773610313832895</v>
      </c>
      <c r="D76" s="11">
        <f t="shared" si="50"/>
        <v>2.1517426680436218</v>
      </c>
      <c r="E76" s="11">
        <v>2.0026182004208701</v>
      </c>
      <c r="F76" s="11">
        <f t="shared" si="51"/>
        <v>4.1543608684644919</v>
      </c>
      <c r="G76" s="200">
        <f t="shared" si="52"/>
        <v>3.5376391920011185E-2</v>
      </c>
      <c r="I76" s="11" t="str">
        <f>I65</f>
        <v>Associate professional occupations</v>
      </c>
      <c r="J76" s="11">
        <v>11.514769455156106</v>
      </c>
      <c r="K76" s="11">
        <v>10.85700434863378</v>
      </c>
      <c r="L76" s="11">
        <v>-0.65776510652232723</v>
      </c>
      <c r="M76" s="11">
        <v>4.6152366191282272</v>
      </c>
      <c r="N76" s="11">
        <v>3.9574715126059004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3">
      <c r="A77" t="str">
        <f t="shared" si="49"/>
        <v>42 Secretarial and related occupations</v>
      </c>
      <c r="B77" s="11">
        <v>0.47344891711814269</v>
      </c>
      <c r="C77" s="11">
        <v>0.56744855985751008</v>
      </c>
      <c r="D77" s="11">
        <f t="shared" si="50"/>
        <v>9.3999642739367395E-2</v>
      </c>
      <c r="E77" s="11">
        <v>0.33180878688176219</v>
      </c>
      <c r="F77" s="11">
        <f t="shared" si="51"/>
        <v>0.42580842962112958</v>
      </c>
      <c r="G77" s="200">
        <f t="shared" si="52"/>
        <v>3.6042212652975136E-2</v>
      </c>
      <c r="I77" s="11" t="str">
        <f>I66</f>
        <v>Administrative and secretarial occupations</v>
      </c>
      <c r="J77" s="11">
        <v>11.690761519241633</v>
      </c>
      <c r="K77" s="11">
        <v>8.5587152793306274</v>
      </c>
      <c r="L77" s="11">
        <v>-3.1320462399110052</v>
      </c>
      <c r="M77" s="11">
        <v>4.7565172165518472</v>
      </c>
      <c r="N77" s="11">
        <v>1.6244709766408425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3">
      <c r="A78" t="str">
        <f t="shared" si="49"/>
        <v>51 Skilled agricultural and related trades</v>
      </c>
      <c r="B78" s="11">
        <v>5.1006957805719219E-2</v>
      </c>
      <c r="C78" s="11">
        <v>8.4036100209355855E-2</v>
      </c>
      <c r="D78" s="11">
        <f t="shared" si="50"/>
        <v>3.3029142403636635E-2</v>
      </c>
      <c r="E78" s="11">
        <v>3.5998757412943408E-2</v>
      </c>
      <c r="F78" s="11">
        <f t="shared" si="51"/>
        <v>6.9027899816580043E-2</v>
      </c>
      <c r="G78" s="200">
        <f t="shared" si="52"/>
        <v>3.6242079327175158E-2</v>
      </c>
      <c r="I78" s="11" t="str">
        <f t="shared" ref="I78:I82" si="58">I67</f>
        <v>Skilled trades occupations</v>
      </c>
      <c r="J78" s="11">
        <v>17.972994003788251</v>
      </c>
      <c r="K78" s="11">
        <v>17.35106457495889</v>
      </c>
      <c r="L78" s="11">
        <v>-0.62192942882936042</v>
      </c>
      <c r="M78" s="11">
        <v>6.6643064474681237</v>
      </c>
      <c r="N78" s="11">
        <v>6.0423770186387635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3">
      <c r="A79" t="str">
        <f t="shared" si="49"/>
        <v>52 Skilled metal, electrical and electronic trades</v>
      </c>
      <c r="B79" s="11">
        <v>0.35303262568292743</v>
      </c>
      <c r="C79" s="11">
        <v>0.9757572437613331</v>
      </c>
      <c r="D79" s="11">
        <f t="shared" si="50"/>
        <v>0.62272461807840562</v>
      </c>
      <c r="E79" s="11">
        <v>0.31625333852041959</v>
      </c>
      <c r="F79" s="11">
        <f t="shared" si="51"/>
        <v>0.93897795659882521</v>
      </c>
      <c r="G79" s="200">
        <f t="shared" si="52"/>
        <v>4.3565688952910131E-2</v>
      </c>
      <c r="I79" s="11" t="str">
        <f t="shared" si="58"/>
        <v>Caring, leisure and other service occupations</v>
      </c>
      <c r="J79" s="11">
        <v>16.716738154372901</v>
      </c>
      <c r="K79" s="11">
        <v>19.82640617866339</v>
      </c>
      <c r="L79" s="11">
        <v>3.1096680242904919</v>
      </c>
      <c r="M79" s="11">
        <v>10.260421678342857</v>
      </c>
      <c r="N79" s="11">
        <v>13.370089702633351</v>
      </c>
      <c r="X79" s="10"/>
      <c r="Y79" s="10"/>
      <c r="Z79" s="10"/>
      <c r="AA79" s="345"/>
      <c r="AB79" s="10"/>
      <c r="AC79" s="345"/>
      <c r="AD79" s="348"/>
    </row>
    <row r="80" spans="1:30" x14ac:dyDescent="0.3">
      <c r="A80" t="str">
        <f t="shared" si="49"/>
        <v>53 Skilled construction and building trades</v>
      </c>
      <c r="B80" s="11">
        <v>0.1400095473322128</v>
      </c>
      <c r="C80" s="11">
        <v>0.2931868850179592</v>
      </c>
      <c r="D80" s="11">
        <f t="shared" ref="D80" si="59">C80-B80</f>
        <v>0.1531773376857464</v>
      </c>
      <c r="E80" s="11">
        <v>0.10046852279033273</v>
      </c>
      <c r="F80" s="11">
        <f t="shared" ref="F80" si="60">SUM(D80:E80)</f>
        <v>0.25364586047607912</v>
      </c>
      <c r="G80" s="200">
        <f t="shared" si="52"/>
        <v>3.6719311492158013E-2</v>
      </c>
      <c r="I80" s="11" t="str">
        <f t="shared" si="58"/>
        <v>Sales and customer service occupations</v>
      </c>
      <c r="J80" s="11">
        <v>9.9607568697794129</v>
      </c>
      <c r="K80" s="11">
        <v>10.821659339244551</v>
      </c>
      <c r="L80" s="11">
        <v>0.86090246946513727</v>
      </c>
      <c r="M80" s="11">
        <v>4.5905614364912921</v>
      </c>
      <c r="N80" s="11">
        <v>5.4514639059564294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3">
      <c r="A81" t="str">
        <f t="shared" si="49"/>
        <v>54 Textiles, printing and other skilled trades</v>
      </c>
      <c r="B81" s="11">
        <v>0.30057772310758346</v>
      </c>
      <c r="C81" s="11">
        <v>0.59004241910454003</v>
      </c>
      <c r="D81" s="11">
        <f t="shared" si="50"/>
        <v>0.28946469599695657</v>
      </c>
      <c r="E81" s="11">
        <v>0.23658098282608275</v>
      </c>
      <c r="F81" s="11">
        <f t="shared" si="51"/>
        <v>0.52604567882303932</v>
      </c>
      <c r="G81" s="200">
        <f t="shared" si="52"/>
        <v>3.9464643838387881E-2</v>
      </c>
      <c r="I81" s="11" t="str">
        <f t="shared" si="58"/>
        <v>Process, plant and machine operatives</v>
      </c>
      <c r="J81" s="11">
        <v>8.3648831404777457</v>
      </c>
      <c r="K81" s="11">
        <v>12.912361046814935</v>
      </c>
      <c r="L81" s="11">
        <v>4.5474779063371891</v>
      </c>
      <c r="M81" s="11">
        <v>4.9617288257200389</v>
      </c>
      <c r="N81" s="11">
        <v>9.5092067320572298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3">
      <c r="A82" t="str">
        <f t="shared" si="49"/>
        <v>61 Caring personal service occupations</v>
      </c>
      <c r="B82" s="11">
        <v>1.6584054165240061</v>
      </c>
      <c r="C82" s="11">
        <v>4.5644057918152505</v>
      </c>
      <c r="D82" s="11">
        <f t="shared" si="50"/>
        <v>2.9060003752912444</v>
      </c>
      <c r="E82" s="11">
        <v>1.6556886467064373</v>
      </c>
      <c r="F82" s="11">
        <f t="shared" si="51"/>
        <v>4.5616890219976813</v>
      </c>
      <c r="G82" s="200">
        <f t="shared" si="52"/>
        <v>4.7236912338253889E-2</v>
      </c>
      <c r="I82" s="11" t="str">
        <f t="shared" si="58"/>
        <v>Elementary occupations</v>
      </c>
      <c r="J82" s="11">
        <v>7.3412408266796625</v>
      </c>
      <c r="K82" s="11">
        <v>7.4656051508986438</v>
      </c>
      <c r="L82" s="11">
        <v>0.12436432421898114</v>
      </c>
      <c r="M82" s="11">
        <v>3.5046408940530878</v>
      </c>
      <c r="N82" s="11">
        <v>3.6290052182720691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3">
      <c r="A83" t="str">
        <f t="shared" si="49"/>
        <v>62 Leisure, travel and related personal service occupations</v>
      </c>
      <c r="B83" s="11">
        <v>0.23045229175617399</v>
      </c>
      <c r="C83" s="11">
        <v>0.54529228222179449</v>
      </c>
      <c r="D83" s="11">
        <f t="shared" ref="D83:D84" si="61">C83-B83</f>
        <v>0.3148399904656205</v>
      </c>
      <c r="E83" s="11">
        <v>0.19671986244522244</v>
      </c>
      <c r="F83" s="11">
        <f t="shared" ref="F83:F84" si="62">SUM(D83:E83)</f>
        <v>0.51155985291084294</v>
      </c>
      <c r="G83" s="200">
        <f t="shared" si="52"/>
        <v>4.2000978759656249E-2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3">
      <c r="A84" t="str">
        <f t="shared" si="49"/>
        <v>63 Community and civil enforcement occupations</v>
      </c>
      <c r="B84" s="11">
        <v>1.6562033742458616E-2</v>
      </c>
      <c r="C84" s="11">
        <v>3.302921815920791E-2</v>
      </c>
      <c r="D84" s="11">
        <f t="shared" si="61"/>
        <v>1.6467184416749294E-2</v>
      </c>
      <c r="E84" s="11">
        <v>1.2563922631287978E-2</v>
      </c>
      <c r="F84" s="11">
        <f t="shared" si="62"/>
        <v>2.9031107048037273E-2</v>
      </c>
      <c r="G84" s="200">
        <f t="shared" si="52"/>
        <v>3.8351597271453208E-2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3">
      <c r="A85" t="str">
        <f t="shared" si="49"/>
        <v>71 Sales occupations</v>
      </c>
      <c r="B85" s="11">
        <v>0.98037963775967507</v>
      </c>
      <c r="C85" s="11">
        <v>2.176970352082372</v>
      </c>
      <c r="D85" s="11">
        <f t="shared" si="50"/>
        <v>1.196590714322697</v>
      </c>
      <c r="E85" s="11">
        <v>0.68740843770650939</v>
      </c>
      <c r="F85" s="11">
        <f t="shared" si="51"/>
        <v>1.8839991520292063</v>
      </c>
      <c r="G85" s="200">
        <f t="shared" si="52"/>
        <v>3.6055702527124422E-2</v>
      </c>
      <c r="I85" s="11" t="str">
        <f>I74</f>
        <v>Managers, directors and senior officials</v>
      </c>
      <c r="J85" s="11">
        <f t="array" ref="J85:J93">MMULT(aggregation!$B$13:$AA$21,B210:B235)</f>
        <v>7.5895468168881699</v>
      </c>
      <c r="K85" s="11">
        <f t="array" ref="K85:K93">MMULT(aggregation!$B$13:$AA$21,C210:C235)</f>
        <v>7.0745942595347042</v>
      </c>
      <c r="L85" s="11">
        <f t="array" ref="L85:L93">MMULT(aggregation!$B$13:$AA$21,D210:D235)</f>
        <v>-0.51495255735346568</v>
      </c>
      <c r="M85" s="11">
        <f t="array" ref="M85:M93">MMULT(aggregation!$B$13:$AA$21,E210:E235)</f>
        <v>3.9599589977705878</v>
      </c>
      <c r="N85" s="11">
        <f t="array" ref="N85:N93">MMULT(aggregation!$B$13:$AA$21,F210:F235)</f>
        <v>3.4450064404171221</v>
      </c>
      <c r="P85" s="11"/>
      <c r="Q85" s="11"/>
      <c r="R85" s="11"/>
      <c r="S85" s="341"/>
      <c r="T85" s="341"/>
      <c r="U85" s="341"/>
    </row>
    <row r="86" spans="1:30" x14ac:dyDescent="0.3">
      <c r="A86" t="str">
        <f t="shared" si="49"/>
        <v>72 Customer service occupations</v>
      </c>
      <c r="B86" s="11">
        <v>0.35827396547043966</v>
      </c>
      <c r="C86" s="11">
        <v>1.0828562028287589</v>
      </c>
      <c r="D86" s="11">
        <f t="shared" si="50"/>
        <v>0.72458223735831928</v>
      </c>
      <c r="E86" s="11">
        <v>0.3326868298890322</v>
      </c>
      <c r="F86" s="11">
        <f t="shared" si="51"/>
        <v>1.0572690672473515</v>
      </c>
      <c r="G86" s="200">
        <f t="shared" si="52"/>
        <v>4.4758413089813542E-2</v>
      </c>
      <c r="I86" s="11" t="str">
        <f>I75</f>
        <v>Professional occupations</v>
      </c>
      <c r="J86" s="11">
        <v>8.1696174610982428</v>
      </c>
      <c r="K86" s="11">
        <v>7.0872543626190723</v>
      </c>
      <c r="L86" s="11">
        <v>-1.0823630984791699</v>
      </c>
      <c r="M86" s="11">
        <v>3.4805967009915664</v>
      </c>
      <c r="N86" s="11">
        <v>2.3982336025123967</v>
      </c>
      <c r="P86" s="11"/>
      <c r="Q86" s="11"/>
      <c r="R86" s="11"/>
      <c r="S86" s="341"/>
      <c r="T86" s="341"/>
      <c r="U86" s="341"/>
    </row>
    <row r="87" spans="1:30" x14ac:dyDescent="0.3">
      <c r="A87" t="str">
        <f t="shared" si="49"/>
        <v>81 Process, plant and machine operatives</v>
      </c>
      <c r="B87" s="11">
        <v>0.21322211711229894</v>
      </c>
      <c r="C87" s="11">
        <v>0.73432232401034536</v>
      </c>
      <c r="D87" s="11">
        <f t="shared" ref="D87:D88" si="63">C87-B87</f>
        <v>0.52110020689804637</v>
      </c>
      <c r="E87" s="11">
        <v>0.22114185960907279</v>
      </c>
      <c r="F87" s="11">
        <f t="shared" ref="F87:F88" si="64">SUM(D87:E87)</f>
        <v>0.74224206650711921</v>
      </c>
      <c r="G87" s="200">
        <f t="shared" si="52"/>
        <v>4.8579678021940964E-2</v>
      </c>
      <c r="I87" s="11" t="str">
        <f>I76</f>
        <v>Associate professional occupations</v>
      </c>
      <c r="J87" s="11">
        <v>8.8576459979997608</v>
      </c>
      <c r="K87" s="11">
        <v>7.1900324925098147</v>
      </c>
      <c r="L87" s="11">
        <v>-1.6676135054899475</v>
      </c>
      <c r="M87" s="11">
        <v>3.3620664657470836</v>
      </c>
      <c r="N87" s="11">
        <v>1.6944529602571363</v>
      </c>
      <c r="P87" s="11"/>
      <c r="Q87" s="11"/>
      <c r="R87" s="11"/>
      <c r="S87" s="341"/>
      <c r="T87" s="341"/>
      <c r="U87" s="341"/>
    </row>
    <row r="88" spans="1:30" x14ac:dyDescent="0.3">
      <c r="A88" t="str">
        <f t="shared" si="49"/>
        <v>82 Transport and mobile machine drivers and operatives</v>
      </c>
      <c r="B88" s="11">
        <v>0.25152538337715752</v>
      </c>
      <c r="C88" s="11">
        <v>0.72231521648039987</v>
      </c>
      <c r="D88" s="11">
        <f t="shared" si="63"/>
        <v>0.47078983310324235</v>
      </c>
      <c r="E88" s="11">
        <v>0.28709652678562458</v>
      </c>
      <c r="F88" s="11">
        <f t="shared" si="64"/>
        <v>0.75788635988886699</v>
      </c>
      <c r="G88" s="200">
        <f t="shared" si="52"/>
        <v>5.2075272049401544E-2</v>
      </c>
      <c r="I88" s="11" t="str">
        <f>I77</f>
        <v>Administrative and secretarial occupations</v>
      </c>
      <c r="J88" s="11">
        <v>13.434671558811321</v>
      </c>
      <c r="K88" s="11">
        <v>8.1558244679693708</v>
      </c>
      <c r="L88" s="11">
        <v>-5.2788470908419507</v>
      </c>
      <c r="M88" s="11">
        <v>4.9950164484622253</v>
      </c>
      <c r="N88" s="11">
        <v>-0.28383064237972522</v>
      </c>
      <c r="P88" s="11"/>
      <c r="Q88" s="11"/>
      <c r="R88" s="11"/>
      <c r="S88" s="341"/>
      <c r="T88" s="341"/>
      <c r="U88" s="341"/>
    </row>
    <row r="89" spans="1:30" x14ac:dyDescent="0.3">
      <c r="A89" t="str">
        <f t="shared" si="49"/>
        <v>91 Elementary trades and related occupations</v>
      </c>
      <c r="B89" s="11">
        <v>8.2975956300022358E-2</v>
      </c>
      <c r="C89" s="11">
        <v>0.22032654324934614</v>
      </c>
      <c r="D89" s="11">
        <f t="shared" si="50"/>
        <v>0.13735058694932378</v>
      </c>
      <c r="E89" s="11">
        <v>7.7424963588008391E-2</v>
      </c>
      <c r="F89" s="11">
        <f t="shared" si="51"/>
        <v>0.21477555053733216</v>
      </c>
      <c r="G89" s="200">
        <f t="shared" si="52"/>
        <v>4.4921437514513718E-2</v>
      </c>
      <c r="I89" s="11" t="str">
        <f t="shared" ref="I89:I93" si="65">I78</f>
        <v>Skilled trades occupations</v>
      </c>
      <c r="J89" s="11">
        <v>14.10146518892094</v>
      </c>
      <c r="K89" s="11">
        <v>13.251169525208699</v>
      </c>
      <c r="L89" s="11">
        <v>-0.85029566371223919</v>
      </c>
      <c r="M89" s="11">
        <v>6.0848422905158968</v>
      </c>
      <c r="N89" s="11">
        <v>5.2345466268036578</v>
      </c>
      <c r="P89" s="11"/>
      <c r="Q89" s="11"/>
      <c r="R89" s="11"/>
      <c r="S89" s="341"/>
      <c r="T89" s="341"/>
      <c r="U89" s="341"/>
    </row>
    <row r="90" spans="1:30" x14ac:dyDescent="0.3">
      <c r="A90" t="str">
        <f t="shared" si="49"/>
        <v>92 Elementary administration and service occupations</v>
      </c>
      <c r="B90" s="11">
        <v>0.73875913536767424</v>
      </c>
      <c r="C90" s="11">
        <v>2.1684987560177844</v>
      </c>
      <c r="D90" s="11">
        <f t="shared" ref="D90" si="66">C90-B90</f>
        <v>1.4297396206501101</v>
      </c>
      <c r="E90" s="11">
        <v>0.76614218669775624</v>
      </c>
      <c r="F90" s="11">
        <f t="shared" ref="F90" si="67">SUM(D90:E90)</f>
        <v>2.1958818073478663</v>
      </c>
      <c r="G90" s="200">
        <f t="shared" ref="G90:G91" si="68">IF(B90&gt;0,(1+(E90/B90))^(1/($C$6-$B$6))-1,0)</f>
        <v>4.8577039849300618E-2</v>
      </c>
      <c r="I90" s="11" t="str">
        <f t="shared" si="65"/>
        <v>Caring, leisure and other service occupations</v>
      </c>
      <c r="J90" s="11">
        <v>12.428417333907657</v>
      </c>
      <c r="K90" s="11">
        <v>10.775169626082397</v>
      </c>
      <c r="L90" s="11">
        <v>-1.6532477078252583</v>
      </c>
      <c r="M90" s="11">
        <v>6.3307849440042236</v>
      </c>
      <c r="N90" s="11">
        <v>4.6775372361789644</v>
      </c>
      <c r="P90" s="11"/>
      <c r="Q90" s="11"/>
      <c r="R90" s="11"/>
      <c r="S90" s="341"/>
      <c r="T90" s="341"/>
      <c r="U90" s="341"/>
    </row>
    <row r="91" spans="1:30" x14ac:dyDescent="0.3">
      <c r="A91" t="str">
        <f t="shared" si="49"/>
        <v>All occupations</v>
      </c>
      <c r="B91" s="11">
        <f>SUM(B65:B90)</f>
        <v>47.914257000986915</v>
      </c>
      <c r="C91" s="11">
        <f t="shared" ref="C91:F91" si="69">SUM(C65:C90)</f>
        <v>89.255741610817168</v>
      </c>
      <c r="D91" s="11">
        <f t="shared" si="69"/>
        <v>41.341484609830253</v>
      </c>
      <c r="E91" s="11">
        <f t="shared" si="69"/>
        <v>33.653963079789648</v>
      </c>
      <c r="F91" s="11">
        <f t="shared" si="69"/>
        <v>74.995447689619894</v>
      </c>
      <c r="G91" s="200">
        <f t="shared" si="68"/>
        <v>3.6104949883781545E-2</v>
      </c>
      <c r="I91" s="11" t="str">
        <f t="shared" si="65"/>
        <v>Sales and customer service occupations</v>
      </c>
      <c r="J91" s="11">
        <v>9.6761410570732842</v>
      </c>
      <c r="K91" s="11">
        <v>8.3350221961824431</v>
      </c>
      <c r="L91" s="11">
        <v>-1.3411188608908411</v>
      </c>
      <c r="M91" s="11">
        <v>4.4821329538718162</v>
      </c>
      <c r="N91" s="11">
        <v>3.1410140929809751</v>
      </c>
      <c r="P91" s="11"/>
      <c r="Q91" s="11"/>
      <c r="R91" s="11"/>
      <c r="S91" s="341"/>
      <c r="T91" s="341"/>
      <c r="U91" s="34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11.96264288559197</v>
      </c>
      <c r="K92" s="11">
        <v>16.231563451525204</v>
      </c>
      <c r="L92" s="11">
        <v>4.2689205659332359</v>
      </c>
      <c r="M92" s="11">
        <v>7.7720870542802185</v>
      </c>
      <c r="N92" s="11">
        <v>12.041007620213454</v>
      </c>
      <c r="P92" s="11"/>
      <c r="Q92" s="11"/>
      <c r="R92" s="11"/>
      <c r="S92" s="341"/>
      <c r="T92" s="341"/>
      <c r="U92" s="341"/>
    </row>
    <row r="93" spans="1:30" ht="25.5" x14ac:dyDescent="0.3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12.877608557293515</v>
      </c>
      <c r="K93" s="11">
        <v>13.310619971506688</v>
      </c>
      <c r="L93" s="11">
        <v>0.43301141421317269</v>
      </c>
      <c r="M93" s="11">
        <v>6.7683051577401026</v>
      </c>
      <c r="N93" s="11">
        <v>7.2013165719532752</v>
      </c>
      <c r="P93" s="11"/>
      <c r="Q93" s="11"/>
      <c r="R93" s="11"/>
      <c r="S93" s="341"/>
      <c r="T93" s="341"/>
      <c r="U93" s="341"/>
    </row>
    <row r="94" spans="1:30" x14ac:dyDescent="0.3">
      <c r="A94" t="str">
        <f t="shared" ref="A94:A120" si="71">A7</f>
        <v>11 Corporate managers and directors</v>
      </c>
      <c r="B94" s="11">
        <v>9.0617102317223139</v>
      </c>
      <c r="C94" s="11">
        <v>10.15758263099333</v>
      </c>
      <c r="D94" s="11">
        <f>C94-B94</f>
        <v>1.0958723992710162</v>
      </c>
      <c r="E94" s="11">
        <v>5.3924244831118182</v>
      </c>
      <c r="F94" s="11">
        <f>SUM(D94:E94)</f>
        <v>6.4882968823828344</v>
      </c>
      <c r="G94" s="200">
        <f>IF(B94&gt;0,(1+(E94/B94))^(1/($C$6-$B$6))-1,0)</f>
        <v>3.1617724288402149E-2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3">
      <c r="A95" t="str">
        <f t="shared" si="71"/>
        <v>12 Other managers and proprietors</v>
      </c>
      <c r="B95" s="11">
        <v>2.8406548428583043</v>
      </c>
      <c r="C95" s="11">
        <v>4.6313284460184869</v>
      </c>
      <c r="D95" s="11">
        <f t="shared" ref="D95:D118" si="72">C95-B95</f>
        <v>1.7906736031601826</v>
      </c>
      <c r="E95" s="11">
        <v>2.6219471425105327</v>
      </c>
      <c r="F95" s="11">
        <f t="shared" ref="F95:F118" si="73">SUM(D95:E95)</f>
        <v>4.4126207456707149</v>
      </c>
      <c r="G95" s="200">
        <f t="shared" ref="G95:G120" si="74">IF(B95&gt;0,(1+(E95/B95))^(1/($C$6-$B$6))-1,0)</f>
        <v>4.4556829034572587E-2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3">
      <c r="A96" t="str">
        <f t="shared" si="71"/>
        <v>21 Science, research, engineering and technology professionals</v>
      </c>
      <c r="B96" s="11">
        <v>8.2832208886154746</v>
      </c>
      <c r="C96" s="11">
        <v>8.7098446222072248</v>
      </c>
      <c r="D96" s="11">
        <f t="shared" si="72"/>
        <v>0.42662373359175021</v>
      </c>
      <c r="E96" s="11">
        <v>3.3529268920623791</v>
      </c>
      <c r="F96" s="11">
        <f t="shared" si="73"/>
        <v>3.7795506256541294</v>
      </c>
      <c r="G96" s="200">
        <f t="shared" si="74"/>
        <v>2.2917634584636248E-2</v>
      </c>
      <c r="I96" s="11" t="str">
        <f>I85</f>
        <v>Managers, directors and senior officials</v>
      </c>
      <c r="J96" s="11">
        <f t="array" ref="J96:J104">MMULT(aggregation!$B$13:$AA$21,B239:B264)</f>
        <v>5.4074221001729841</v>
      </c>
      <c r="K96" s="11">
        <f t="array" ref="K96:K104">MMULT(aggregation!$B$13:$AA$21,C239:C264)</f>
        <v>3.4524456906479237</v>
      </c>
      <c r="L96" s="11">
        <f t="array" ref="L96:L104">MMULT(aggregation!$B$13:$AA$21,D239:D264)</f>
        <v>-1.9549764095250604</v>
      </c>
      <c r="M96" s="11">
        <f t="array" ref="M96:M104">MMULT(aggregation!$B$13:$AA$21,E239:E264)</f>
        <v>2.0374237365469092</v>
      </c>
      <c r="N96" s="11">
        <f t="array" ref="N96:N104">MMULT(aggregation!$B$13:$AA$21,F239:F264)</f>
        <v>8.244732702184876E-2</v>
      </c>
      <c r="P96" s="11"/>
      <c r="Q96" s="11"/>
      <c r="R96" s="11"/>
      <c r="S96" s="341"/>
      <c r="T96" s="341"/>
      <c r="U96" s="341"/>
    </row>
    <row r="97" spans="1:21" x14ac:dyDescent="0.3">
      <c r="A97" t="str">
        <f t="shared" si="71"/>
        <v>22 Health professionals</v>
      </c>
      <c r="B97" s="11">
        <v>9.8304533361184561</v>
      </c>
      <c r="C97" s="11">
        <v>11.590268736029472</v>
      </c>
      <c r="D97" s="11">
        <f t="shared" si="72"/>
        <v>1.759815399911016</v>
      </c>
      <c r="E97" s="11">
        <v>6.4623446901330999</v>
      </c>
      <c r="F97" s="11">
        <f t="shared" si="73"/>
        <v>8.2221600900441167</v>
      </c>
      <c r="G97" s="200">
        <f t="shared" si="74"/>
        <v>3.4256221045918744E-2</v>
      </c>
      <c r="I97" s="11" t="str">
        <f>I86</f>
        <v>Professional occupations</v>
      </c>
      <c r="J97" s="11">
        <v>4.7425045295664328</v>
      </c>
      <c r="K97" s="11">
        <v>2.6061578489698771</v>
      </c>
      <c r="L97" s="11">
        <v>-2.1363466805965556</v>
      </c>
      <c r="M97" s="11">
        <v>1.4154528498054861</v>
      </c>
      <c r="N97" s="11">
        <v>-0.72089383079106961</v>
      </c>
      <c r="P97" s="11"/>
      <c r="Q97" s="11"/>
      <c r="R97" s="11"/>
      <c r="S97" s="341"/>
      <c r="T97" s="341"/>
      <c r="U97" s="341"/>
    </row>
    <row r="98" spans="1:21" x14ac:dyDescent="0.3">
      <c r="A98" t="str">
        <f t="shared" si="71"/>
        <v>23 Teaching and other educational professionals</v>
      </c>
      <c r="B98" s="11">
        <v>5.6577297443242376</v>
      </c>
      <c r="C98" s="11">
        <v>3.499859928725352</v>
      </c>
      <c r="D98" s="11">
        <f t="shared" ref="D98" si="75">C98-B98</f>
        <v>-2.1578698155988856</v>
      </c>
      <c r="E98" s="11">
        <v>2.4217231484622999</v>
      </c>
      <c r="F98" s="11">
        <f t="shared" ref="F98" si="76">SUM(D98:E98)</f>
        <v>0.26385333286341428</v>
      </c>
      <c r="G98" s="200">
        <f t="shared" si="74"/>
        <v>2.4037789927991993E-2</v>
      </c>
      <c r="I98" s="11" t="str">
        <f>I87</f>
        <v>Associate professional occupations</v>
      </c>
      <c r="J98" s="11">
        <v>5.1295933836581078</v>
      </c>
      <c r="K98" s="11">
        <v>2.5056590112330936</v>
      </c>
      <c r="L98" s="11">
        <v>-2.6239343724250146</v>
      </c>
      <c r="M98" s="11">
        <v>1.3380887847886838</v>
      </c>
      <c r="N98" s="11">
        <v>-1.2858455876363304</v>
      </c>
      <c r="P98" s="11"/>
      <c r="Q98" s="11"/>
      <c r="R98" s="11"/>
      <c r="S98" s="341"/>
      <c r="T98" s="341"/>
      <c r="U98" s="341"/>
    </row>
    <row r="99" spans="1:21" x14ac:dyDescent="0.3">
      <c r="A99" t="str">
        <f t="shared" si="71"/>
        <v>24 Business, media and public service professionals</v>
      </c>
      <c r="B99" s="11">
        <v>9.8367788396884102</v>
      </c>
      <c r="C99" s="11">
        <v>11.888115933687047</v>
      </c>
      <c r="D99" s="11">
        <f t="shared" si="72"/>
        <v>2.0513370939986366</v>
      </c>
      <c r="E99" s="11">
        <v>5.8095198903705443</v>
      </c>
      <c r="F99" s="11">
        <f t="shared" si="73"/>
        <v>7.8608569843691809</v>
      </c>
      <c r="G99" s="200">
        <f t="shared" si="74"/>
        <v>3.1424034845748405E-2</v>
      </c>
      <c r="I99" s="11" t="str">
        <f>I88</f>
        <v>Administrative and secretarial occupations</v>
      </c>
      <c r="J99" s="11">
        <v>6.5948804255245035</v>
      </c>
      <c r="K99" s="11">
        <v>1.467718147222169</v>
      </c>
      <c r="L99" s="11">
        <v>-5.1271622783023343</v>
      </c>
      <c r="M99" s="11">
        <v>1.4746968105434597</v>
      </c>
      <c r="N99" s="11">
        <v>-3.6524654677588746</v>
      </c>
      <c r="P99" s="11"/>
      <c r="Q99" s="11"/>
      <c r="R99" s="11"/>
      <c r="S99" s="341"/>
      <c r="T99" s="341"/>
      <c r="U99" s="341"/>
    </row>
    <row r="100" spans="1:21" x14ac:dyDescent="0.3">
      <c r="A100" t="str">
        <f t="shared" si="71"/>
        <v>31 Science, engineering and technology associate professionals</v>
      </c>
      <c r="B100" s="11">
        <v>1.9576452759019725</v>
      </c>
      <c r="C100" s="11">
        <v>1.8997258456484774</v>
      </c>
      <c r="D100" s="11">
        <f t="shared" si="72"/>
        <v>-5.7919430253495108E-2</v>
      </c>
      <c r="E100" s="11">
        <v>0.8060632654777905</v>
      </c>
      <c r="F100" s="11">
        <f t="shared" si="73"/>
        <v>0.74814383522429539</v>
      </c>
      <c r="G100" s="200">
        <f t="shared" si="74"/>
        <v>2.325501702168653E-2</v>
      </c>
      <c r="I100" s="11" t="str">
        <f t="shared" ref="I100:I104" si="77">I89</f>
        <v>Skilled trades occupations</v>
      </c>
      <c r="J100" s="11">
        <v>7.7819449502567704</v>
      </c>
      <c r="K100" s="11">
        <v>4.5444150144369964</v>
      </c>
      <c r="L100" s="11">
        <v>-3.2375299358197731</v>
      </c>
      <c r="M100" s="11">
        <v>2.3492437385712073</v>
      </c>
      <c r="N100" s="11">
        <v>-0.88828619724856583</v>
      </c>
      <c r="P100" s="11"/>
      <c r="Q100" s="11"/>
      <c r="R100" s="11"/>
      <c r="S100" s="341"/>
      <c r="T100" s="341"/>
      <c r="U100" s="341"/>
    </row>
    <row r="101" spans="1:21" x14ac:dyDescent="0.3">
      <c r="A101" t="str">
        <f t="shared" si="71"/>
        <v>32 Health and social care associate professionals</v>
      </c>
      <c r="B101" s="11">
        <v>3.4818020837896437</v>
      </c>
      <c r="C101" s="11">
        <v>4.6574779754583107</v>
      </c>
      <c r="D101" s="11">
        <f t="shared" si="72"/>
        <v>1.1756758916686669</v>
      </c>
      <c r="E101" s="11">
        <v>2.6441063542114223</v>
      </c>
      <c r="F101" s="11">
        <f t="shared" si="73"/>
        <v>3.8197822458800892</v>
      </c>
      <c r="G101" s="200">
        <f t="shared" si="74"/>
        <v>3.8383458932240488E-2</v>
      </c>
      <c r="I101" s="11" t="str">
        <f t="shared" si="77"/>
        <v>Caring, leisure and other service occupations</v>
      </c>
      <c r="J101" s="11">
        <v>2.9579096042862747</v>
      </c>
      <c r="K101" s="11">
        <v>1.6661580328930059</v>
      </c>
      <c r="L101" s="11">
        <v>-1.291751571393269</v>
      </c>
      <c r="M101" s="11">
        <v>0.85497683595594143</v>
      </c>
      <c r="N101" s="11">
        <v>-0.43677473543732759</v>
      </c>
      <c r="P101" s="11"/>
      <c r="Q101" s="11"/>
      <c r="R101" s="11"/>
      <c r="S101" s="341"/>
      <c r="T101" s="341"/>
      <c r="U101" s="341"/>
    </row>
    <row r="102" spans="1:21" x14ac:dyDescent="0.3">
      <c r="A102" t="str">
        <f t="shared" si="71"/>
        <v>33 Protective service occupations</v>
      </c>
      <c r="B102" s="11">
        <v>1.1289328951745237</v>
      </c>
      <c r="C102" s="11">
        <v>2.1614471761772567</v>
      </c>
      <c r="D102" s="11">
        <f t="shared" si="72"/>
        <v>1.032514281002733</v>
      </c>
      <c r="E102" s="11">
        <v>0.71364849075037617</v>
      </c>
      <c r="F102" s="11">
        <f t="shared" si="73"/>
        <v>1.7461627717531092</v>
      </c>
      <c r="G102" s="200">
        <f t="shared" si="74"/>
        <v>3.3198824630810364E-2</v>
      </c>
      <c r="I102" s="11" t="str">
        <f t="shared" si="77"/>
        <v>Sales and customer service occupations</v>
      </c>
      <c r="J102" s="11">
        <v>5.8269225259418231</v>
      </c>
      <c r="K102" s="11">
        <v>2.4000774494728674</v>
      </c>
      <c r="L102" s="11">
        <v>-3.4268450764689558</v>
      </c>
      <c r="M102" s="11">
        <v>1.4759342367018458</v>
      </c>
      <c r="N102" s="11">
        <v>-1.9509108397671096</v>
      </c>
      <c r="P102" s="11"/>
      <c r="Q102" s="11"/>
      <c r="R102" s="11"/>
      <c r="S102" s="341"/>
      <c r="T102" s="341"/>
      <c r="U102" s="341"/>
    </row>
    <row r="103" spans="1:21" x14ac:dyDescent="0.3">
      <c r="A103" t="str">
        <f t="shared" si="71"/>
        <v>34 Culture, media and sports occupations</v>
      </c>
      <c r="B103" s="11">
        <v>2.774635479959902</v>
      </c>
      <c r="C103" s="11">
        <v>2.8982740740947825</v>
      </c>
      <c r="D103" s="11">
        <f t="shared" ref="D103:D104" si="78">C103-B103</f>
        <v>0.12363859413488054</v>
      </c>
      <c r="E103" s="11">
        <v>1.3368866616279176</v>
      </c>
      <c r="F103" s="11">
        <f t="shared" ref="F103:F104" si="79">SUM(D103:E103)</f>
        <v>1.4605252557627981</v>
      </c>
      <c r="G103" s="200">
        <f t="shared" si="74"/>
        <v>2.6564984197753105E-2</v>
      </c>
      <c r="I103" s="11" t="str">
        <f t="shared" si="77"/>
        <v>Process, plant and machine operatives</v>
      </c>
      <c r="J103" s="11">
        <v>9.6593717958924543</v>
      </c>
      <c r="K103" s="11">
        <v>6.0941830633708536</v>
      </c>
      <c r="L103" s="11">
        <v>-3.5651887325216007</v>
      </c>
      <c r="M103" s="11">
        <v>3.5774212955044007</v>
      </c>
      <c r="N103" s="11">
        <v>1.2232562982799955E-2</v>
      </c>
      <c r="P103" s="11"/>
      <c r="Q103" s="11"/>
      <c r="R103" s="11"/>
      <c r="S103" s="341"/>
      <c r="T103" s="341"/>
      <c r="U103" s="341"/>
    </row>
    <row r="104" spans="1:21" x14ac:dyDescent="0.3">
      <c r="A104" t="str">
        <f t="shared" si="71"/>
        <v>35 Business and public service associate professionals</v>
      </c>
      <c r="B104" s="11">
        <v>7.2140467664421752</v>
      </c>
      <c r="C104" s="11">
        <v>7.3524735526121621</v>
      </c>
      <c r="D104" s="11">
        <f t="shared" si="78"/>
        <v>0.13842678616998683</v>
      </c>
      <c r="E104" s="11">
        <v>3.6731009471998353</v>
      </c>
      <c r="F104" s="11">
        <f t="shared" si="79"/>
        <v>3.8115277333698221</v>
      </c>
      <c r="G104" s="200">
        <f t="shared" si="74"/>
        <v>2.7816718047440014E-2</v>
      </c>
      <c r="I104" s="11" t="str">
        <f t="shared" si="77"/>
        <v>Elementary occupations</v>
      </c>
      <c r="J104" s="11">
        <v>11.924614797938043</v>
      </c>
      <c r="K104" s="11">
        <v>7.1838573878900878</v>
      </c>
      <c r="L104" s="11">
        <v>-4.7407574100479541</v>
      </c>
      <c r="M104" s="11">
        <v>3.9532810756702821</v>
      </c>
      <c r="N104" s="11">
        <v>-0.78747633437767228</v>
      </c>
      <c r="P104" s="11"/>
      <c r="Q104" s="11"/>
      <c r="R104" s="11"/>
      <c r="S104" s="341"/>
      <c r="T104" s="341"/>
      <c r="U104" s="341"/>
    </row>
    <row r="105" spans="1:21" x14ac:dyDescent="0.3">
      <c r="A105" t="str">
        <f t="shared" si="71"/>
        <v>41 Administrative occupations</v>
      </c>
      <c r="B105" s="11">
        <v>9.2235756139023692</v>
      </c>
      <c r="C105" s="11">
        <v>10.785310019255533</v>
      </c>
      <c r="D105" s="11">
        <f t="shared" si="72"/>
        <v>1.5617344053531639</v>
      </c>
      <c r="E105" s="11">
        <v>5.5566193103814214</v>
      </c>
      <c r="F105" s="11">
        <f t="shared" si="73"/>
        <v>7.1183537157345853</v>
      </c>
      <c r="G105" s="200">
        <f t="shared" si="74"/>
        <v>3.1934320444365172E-2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3">
      <c r="A106" t="str">
        <f t="shared" si="71"/>
        <v>42 Secretarial and related occupations</v>
      </c>
      <c r="B106" s="11">
        <v>1.3748722979682471</v>
      </c>
      <c r="C106" s="11">
        <v>2.4167750223889675</v>
      </c>
      <c r="D106" s="11">
        <f t="shared" si="72"/>
        <v>1.0419027244207204</v>
      </c>
      <c r="E106" s="11">
        <v>1.270651672180318</v>
      </c>
      <c r="F106" s="11">
        <f t="shared" si="73"/>
        <v>2.3125543966010387</v>
      </c>
      <c r="G106" s="200">
        <f t="shared" si="74"/>
        <v>4.4599842345132368E-2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3">
      <c r="A107" t="str">
        <f t="shared" si="71"/>
        <v>51 Skilled agricultural and related trades</v>
      </c>
      <c r="B107" s="11">
        <v>0.34400352890645813</v>
      </c>
      <c r="C107" s="11">
        <v>0.54036594837729179</v>
      </c>
      <c r="D107" s="11">
        <f t="shared" si="72"/>
        <v>0.19636241947083366</v>
      </c>
      <c r="E107" s="11">
        <v>0.29745413495967166</v>
      </c>
      <c r="F107" s="11">
        <f t="shared" si="73"/>
        <v>0.49381655443050532</v>
      </c>
      <c r="G107" s="200">
        <f t="shared" si="74"/>
        <v>4.2414250966612554E-2</v>
      </c>
      <c r="I107" s="11" t="str">
        <f>I96</f>
        <v>Managers, directors and senior officials</v>
      </c>
      <c r="J107" s="11">
        <f t="array" ref="J107:J115">MMULT(aggregation!$B$13:$AA$21,B268:B293)</f>
        <v>1.9171709324020381</v>
      </c>
      <c r="K107" s="11">
        <f t="array" ref="K107:K115">MMULT(aggregation!$B$13:$AA$21,C268:C293)</f>
        <v>1.0418357728395018</v>
      </c>
      <c r="L107" s="11">
        <f t="array" ref="L107:L115">MMULT(aggregation!$B$13:$AA$21,D268:D293)</f>
        <v>-0.87533515956253627</v>
      </c>
      <c r="M107" s="11">
        <f t="array" ref="M107:M115">MMULT(aggregation!$B$13:$AA$21,E268:E293)</f>
        <v>0.48533893279524665</v>
      </c>
      <c r="N107" s="11">
        <f t="array" ref="N107:N115">MMULT(aggregation!$B$13:$AA$21,F268:F293)</f>
        <v>-0.38999622676728957</v>
      </c>
      <c r="P107" s="11"/>
      <c r="Q107" s="11"/>
      <c r="R107" s="11"/>
      <c r="S107" s="341"/>
      <c r="T107" s="341"/>
      <c r="U107" s="341"/>
    </row>
    <row r="108" spans="1:21" x14ac:dyDescent="0.3">
      <c r="A108" t="str">
        <f t="shared" si="71"/>
        <v>52 Skilled metal, electrical and electronic trades</v>
      </c>
      <c r="B108" s="11">
        <v>0.96488283806357245</v>
      </c>
      <c r="C108" s="11">
        <v>1.4804012094503056</v>
      </c>
      <c r="D108" s="11">
        <f t="shared" si="72"/>
        <v>0.51551837138673318</v>
      </c>
      <c r="E108" s="11">
        <v>0.62208783099434561</v>
      </c>
      <c r="F108" s="11">
        <f t="shared" si="73"/>
        <v>1.1376062023810789</v>
      </c>
      <c r="G108" s="200">
        <f t="shared" si="74"/>
        <v>3.3728018944410021E-2</v>
      </c>
      <c r="I108" s="11" t="str">
        <f>I97</f>
        <v>Professional occupations</v>
      </c>
      <c r="J108" s="11">
        <v>1.7669389906174242</v>
      </c>
      <c r="K108" s="11">
        <v>1.2200063148343432</v>
      </c>
      <c r="L108" s="11">
        <v>-0.54693267578308125</v>
      </c>
      <c r="M108" s="11">
        <v>0.52501134512443315</v>
      </c>
      <c r="N108" s="11">
        <v>-2.1921330658648056E-2</v>
      </c>
      <c r="P108" s="85"/>
      <c r="Q108" s="74"/>
      <c r="R108" s="74"/>
      <c r="S108" s="342"/>
      <c r="T108" s="342"/>
      <c r="U108" s="342"/>
    </row>
    <row r="109" spans="1:21" x14ac:dyDescent="0.3">
      <c r="A109" t="str">
        <f t="shared" si="71"/>
        <v>53 Skilled construction and building trades</v>
      </c>
      <c r="B109" s="11">
        <v>0.4838400243245799</v>
      </c>
      <c r="C109" s="11">
        <v>0.69135118855651101</v>
      </c>
      <c r="D109" s="11">
        <f t="shared" ref="D109" si="80">C109-B109</f>
        <v>0.20751116423193111</v>
      </c>
      <c r="E109" s="11">
        <v>0.30910550904255019</v>
      </c>
      <c r="F109" s="11">
        <f t="shared" ref="F109" si="81">SUM(D109:E109)</f>
        <v>0.51661667327448124</v>
      </c>
      <c r="G109" s="200">
        <f t="shared" si="74"/>
        <v>3.3481652718265309E-2</v>
      </c>
      <c r="I109" s="11" t="str">
        <f>I98</f>
        <v>Associate professional occupations</v>
      </c>
      <c r="J109" s="11">
        <v>1.8387336800174956</v>
      </c>
      <c r="K109" s="11">
        <v>1.1740686140865146</v>
      </c>
      <c r="L109" s="11">
        <v>-0.66466506593098107</v>
      </c>
      <c r="M109" s="11">
        <v>0.45208468987674844</v>
      </c>
      <c r="N109" s="11">
        <v>-0.21258037605423269</v>
      </c>
      <c r="P109" s="11"/>
      <c r="Q109" s="11"/>
      <c r="R109" s="11"/>
      <c r="S109" s="341"/>
      <c r="T109" s="341"/>
      <c r="U109" s="341"/>
    </row>
    <row r="110" spans="1:21" x14ac:dyDescent="0.3">
      <c r="A110" t="str">
        <f t="shared" si="71"/>
        <v>54 Textiles, printing and other skilled trades</v>
      </c>
      <c r="B110" s="11">
        <v>0.65123166168838897</v>
      </c>
      <c r="C110" s="11">
        <v>0.9708761121511732</v>
      </c>
      <c r="D110" s="11">
        <f t="shared" si="72"/>
        <v>0.31964445046278422</v>
      </c>
      <c r="E110" s="11">
        <v>0.46906166962517787</v>
      </c>
      <c r="F110" s="11">
        <f t="shared" si="73"/>
        <v>0.78870612008796215</v>
      </c>
      <c r="G110" s="200">
        <f t="shared" si="74"/>
        <v>3.6827282001078876E-2</v>
      </c>
      <c r="I110" s="11" t="str">
        <f>I99</f>
        <v>Administrative and secretarial occupations</v>
      </c>
      <c r="J110" s="11">
        <v>2.6935712448198164</v>
      </c>
      <c r="K110" s="11">
        <v>1.423142782582258</v>
      </c>
      <c r="L110" s="11">
        <v>-1.2704284622375583</v>
      </c>
      <c r="M110" s="11">
        <v>0.65117377949856436</v>
      </c>
      <c r="N110" s="11">
        <v>-0.61925468273899409</v>
      </c>
      <c r="P110" s="11"/>
      <c r="Q110" s="11"/>
      <c r="R110" s="11"/>
      <c r="S110" s="341"/>
      <c r="T110" s="341"/>
      <c r="U110" s="341"/>
    </row>
    <row r="111" spans="1:21" x14ac:dyDescent="0.3">
      <c r="A111" t="str">
        <f t="shared" si="71"/>
        <v>61 Caring personal service occupations</v>
      </c>
      <c r="B111" s="11">
        <v>5.1099599572156196</v>
      </c>
      <c r="C111" s="11">
        <v>7.8829291149856688</v>
      </c>
      <c r="D111" s="11">
        <f>C111-B111</f>
        <v>2.7729691577700493</v>
      </c>
      <c r="E111" s="11">
        <v>4.3811360585594281</v>
      </c>
      <c r="F111" s="11">
        <f>SUM(D111:E111)</f>
        <v>7.1541052163294774</v>
      </c>
      <c r="G111" s="200">
        <f t="shared" si="74"/>
        <v>4.2141261678237507E-2</v>
      </c>
      <c r="I111" s="11" t="str">
        <f t="shared" ref="I111:I115" si="82">I100</f>
        <v>Skilled trades occupations</v>
      </c>
      <c r="J111" s="11">
        <v>5.0774117354004931</v>
      </c>
      <c r="K111" s="11">
        <v>1.3674140210729386</v>
      </c>
      <c r="L111" s="11">
        <v>-3.7099977143275549</v>
      </c>
      <c r="M111" s="11">
        <v>0.86489239441874544</v>
      </c>
      <c r="N111" s="11">
        <v>-2.845105319908809</v>
      </c>
      <c r="P111" s="11"/>
      <c r="Q111" s="11"/>
      <c r="R111" s="11"/>
      <c r="S111" s="341"/>
      <c r="T111" s="341"/>
      <c r="U111" s="341"/>
    </row>
    <row r="112" spans="1:21" x14ac:dyDescent="0.3">
      <c r="A112" t="str">
        <f t="shared" si="71"/>
        <v>62 Leisure, travel and related personal service occupations</v>
      </c>
      <c r="B112" s="11">
        <v>0.9316710060589849</v>
      </c>
      <c r="C112" s="11">
        <v>1.6309213811533314</v>
      </c>
      <c r="D112" s="11">
        <f t="shared" ref="D112:D113" si="83">C112-B112</f>
        <v>0.69925037509434651</v>
      </c>
      <c r="E112" s="11">
        <v>0.803993219755882</v>
      </c>
      <c r="F112" s="11">
        <f t="shared" ref="F112:F113" si="84">SUM(D112:E112)</f>
        <v>1.5032435948502285</v>
      </c>
      <c r="G112" s="200">
        <f t="shared" si="74"/>
        <v>4.2349931339163982E-2</v>
      </c>
      <c r="I112" s="11" t="str">
        <f t="shared" si="82"/>
        <v>Caring, leisure and other service occupations</v>
      </c>
      <c r="J112" s="11">
        <v>1.3014376805460386</v>
      </c>
      <c r="K112" s="11">
        <v>0.62388057482401327</v>
      </c>
      <c r="L112" s="11">
        <v>-0.67755710572202532</v>
      </c>
      <c r="M112" s="11">
        <v>0.26519899633189858</v>
      </c>
      <c r="N112" s="11">
        <v>-0.41235810939012674</v>
      </c>
      <c r="P112" s="11"/>
      <c r="Q112" s="11"/>
      <c r="R112" s="11"/>
      <c r="S112" s="341"/>
      <c r="T112" s="341"/>
      <c r="U112" s="341"/>
    </row>
    <row r="113" spans="1:21" x14ac:dyDescent="0.3">
      <c r="A113" t="str">
        <f t="shared" si="71"/>
        <v>63 Community and civil enforcement occupations</v>
      </c>
      <c r="B113" s="11">
        <v>7.0837531244246119E-2</v>
      </c>
      <c r="C113" s="11">
        <v>0.10368394843299539</v>
      </c>
      <c r="D113" s="11">
        <f t="shared" si="83"/>
        <v>3.2846417188749269E-2</v>
      </c>
      <c r="E113" s="11">
        <v>5.8611795888016863E-2</v>
      </c>
      <c r="F113" s="11">
        <f t="shared" si="84"/>
        <v>9.1458213076766132E-2</v>
      </c>
      <c r="G113" s="200">
        <f t="shared" si="74"/>
        <v>4.1012054935150255E-2</v>
      </c>
      <c r="I113" s="11" t="str">
        <f t="shared" si="82"/>
        <v>Sales and customer service occupations</v>
      </c>
      <c r="J113" s="11">
        <v>3.4982745095542915</v>
      </c>
      <c r="K113" s="11">
        <v>1.3524545715298468</v>
      </c>
      <c r="L113" s="11">
        <v>-2.1458199380244447</v>
      </c>
      <c r="M113" s="11">
        <v>0.59275106533754363</v>
      </c>
      <c r="N113" s="11">
        <v>-1.5530688726869009</v>
      </c>
      <c r="P113" s="11"/>
      <c r="Q113" s="11"/>
      <c r="R113" s="11"/>
      <c r="S113" s="341"/>
      <c r="T113" s="341"/>
      <c r="U113" s="341"/>
    </row>
    <row r="114" spans="1:21" x14ac:dyDescent="0.3">
      <c r="A114" t="str">
        <f t="shared" si="71"/>
        <v>71 Sales occupations</v>
      </c>
      <c r="B114" s="11">
        <v>3.9362445054311559</v>
      </c>
      <c r="C114" s="11">
        <v>5.4888592953346471</v>
      </c>
      <c r="D114" s="11">
        <f t="shared" si="72"/>
        <v>1.5526147899034912</v>
      </c>
      <c r="E114" s="11">
        <v>2.4807111340278563</v>
      </c>
      <c r="F114" s="11">
        <f t="shared" si="73"/>
        <v>4.033325923931347</v>
      </c>
      <c r="G114" s="200">
        <f t="shared" si="74"/>
        <v>3.311768993175157E-2</v>
      </c>
      <c r="I114" s="11" t="str">
        <f t="shared" si="82"/>
        <v>Process, plant and machine operatives</v>
      </c>
      <c r="J114" s="11">
        <v>6.152748346438897</v>
      </c>
      <c r="K114" s="11">
        <v>1.4178439815546171</v>
      </c>
      <c r="L114" s="11">
        <v>-4.7349043648842795</v>
      </c>
      <c r="M114" s="11">
        <v>1.0944120449240247</v>
      </c>
      <c r="N114" s="11">
        <v>-3.6404923199602552</v>
      </c>
      <c r="P114" s="11"/>
      <c r="Q114" s="11"/>
      <c r="R114" s="11"/>
      <c r="S114" s="341"/>
      <c r="T114" s="341"/>
      <c r="U114" s="341"/>
    </row>
    <row r="115" spans="1:21" x14ac:dyDescent="0.3">
      <c r="A115" t="str">
        <f t="shared" si="71"/>
        <v>72 Customer service occupations</v>
      </c>
      <c r="B115" s="11">
        <v>1.4235832342864903</v>
      </c>
      <c r="C115" s="11">
        <v>2.6231423389314945</v>
      </c>
      <c r="D115" s="11">
        <f t="shared" si="72"/>
        <v>1.1995591046450043</v>
      </c>
      <c r="E115" s="11">
        <v>1.1172207416025974</v>
      </c>
      <c r="F115" s="11">
        <f t="shared" si="73"/>
        <v>2.3167798462476017</v>
      </c>
      <c r="G115" s="200">
        <f t="shared" si="74"/>
        <v>3.9375685628119328E-2</v>
      </c>
      <c r="I115" s="11" t="str">
        <f t="shared" si="82"/>
        <v>Elementary occupations</v>
      </c>
      <c r="J115" s="11">
        <v>7.543650362653664</v>
      </c>
      <c r="K115" s="11">
        <v>2.5262673479318116</v>
      </c>
      <c r="L115" s="11">
        <v>-5.0173830147218528</v>
      </c>
      <c r="M115" s="11">
        <v>1.2901435922865541</v>
      </c>
      <c r="N115" s="11">
        <v>-3.7272394224352992</v>
      </c>
      <c r="P115" s="11"/>
      <c r="Q115" s="11"/>
      <c r="R115" s="11"/>
      <c r="S115" s="341"/>
      <c r="T115" s="341"/>
      <c r="U115" s="341"/>
    </row>
    <row r="116" spans="1:21" x14ac:dyDescent="0.3">
      <c r="A116" t="str">
        <f t="shared" si="71"/>
        <v>81 Process, plant and machine operatives</v>
      </c>
      <c r="B116" s="11">
        <v>0.5979512304248642</v>
      </c>
      <c r="C116" s="11">
        <v>1.6899397409510812</v>
      </c>
      <c r="D116" s="11">
        <f t="shared" ref="D116:D117" si="85">C116-B116</f>
        <v>1.091988510526217</v>
      </c>
      <c r="E116" s="11">
        <v>0.63855683707043587</v>
      </c>
      <c r="F116" s="11">
        <f t="shared" ref="F116:F117" si="86">SUM(D116:E116)</f>
        <v>1.730545347596653</v>
      </c>
      <c r="G116" s="200">
        <f t="shared" si="74"/>
        <v>4.9628012597785931E-2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3">
      <c r="A117" t="str">
        <f t="shared" si="71"/>
        <v>82 Transport and mobile machine drivers and operatives</v>
      </c>
      <c r="B117" s="11">
        <v>0.91297754270328813</v>
      </c>
      <c r="C117" s="11">
        <v>1.7363209699677766</v>
      </c>
      <c r="D117" s="11">
        <f t="shared" si="85"/>
        <v>0.8233434272644885</v>
      </c>
      <c r="E117" s="11">
        <v>0.88909557144022322</v>
      </c>
      <c r="F117" s="11">
        <f t="shared" si="86"/>
        <v>1.7124389987047117</v>
      </c>
      <c r="G117" s="200">
        <f t="shared" si="74"/>
        <v>4.6375319369476475E-2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3">
      <c r="A118" t="str">
        <f t="shared" si="71"/>
        <v>91 Elementary trades and related occupations</v>
      </c>
      <c r="B118" s="11">
        <v>0.29239727077091932</v>
      </c>
      <c r="C118" s="11">
        <v>0.3660693795648578</v>
      </c>
      <c r="D118" s="11">
        <f t="shared" si="72"/>
        <v>7.3672108793938484E-2</v>
      </c>
      <c r="E118" s="11">
        <v>0.20728988480603786</v>
      </c>
      <c r="F118" s="11">
        <f t="shared" si="73"/>
        <v>0.28096199359997631</v>
      </c>
      <c r="G118" s="200">
        <f t="shared" si="74"/>
        <v>3.637037833013701E-2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3">
      <c r="A119" t="str">
        <f t="shared" si="71"/>
        <v>92 Elementary administration and service occupations</v>
      </c>
      <c r="B119" s="11">
        <v>2.6484143934501088</v>
      </c>
      <c r="C119" s="11">
        <v>4.2367800202575756</v>
      </c>
      <c r="D119" s="11">
        <f t="shared" ref="D119" si="87">C119-B119</f>
        <v>1.5883656268074668</v>
      </c>
      <c r="E119" s="11">
        <v>2.3099379439119638</v>
      </c>
      <c r="F119" s="11">
        <f t="shared" ref="F119" si="88">SUM(D119:E119)</f>
        <v>3.8983035707194307</v>
      </c>
      <c r="G119" s="200">
        <f t="shared" si="74"/>
        <v>4.2693732312615973E-2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3">
      <c r="A120" t="str">
        <f t="shared" si="71"/>
        <v>All occupations</v>
      </c>
      <c r="B120" s="11">
        <f>SUM(B94:B119)</f>
        <v>91.034053021034737</v>
      </c>
      <c r="C120" s="11">
        <f t="shared" ref="C120:F120" si="89">SUM(C94:C119)</f>
        <v>112.09012461141111</v>
      </c>
      <c r="D120" s="11">
        <f t="shared" si="89"/>
        <v>21.056071590376408</v>
      </c>
      <c r="E120" s="11">
        <f t="shared" si="89"/>
        <v>56.646225280163947</v>
      </c>
      <c r="F120" s="11">
        <f t="shared" si="89"/>
        <v>77.702296870540323</v>
      </c>
      <c r="G120" s="200">
        <f t="shared" si="74"/>
        <v>3.2780211841127116E-2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26" x14ac:dyDescent="0.3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3">
      <c r="A123" t="str">
        <f t="shared" ref="A123:A149" si="91">A36</f>
        <v>11 Corporate managers and directors</v>
      </c>
      <c r="B123" s="11">
        <v>1.9011556830275471</v>
      </c>
      <c r="C123" s="11">
        <v>1.9074874702068472</v>
      </c>
      <c r="D123" s="11">
        <f>C123-B123</f>
        <v>6.3317871793000524E-3</v>
      </c>
      <c r="E123" s="11">
        <v>0.97414294973606064</v>
      </c>
      <c r="F123" s="11">
        <f>SUM(D123:E123)</f>
        <v>0.98047473691536069</v>
      </c>
      <c r="G123" s="200">
        <f>IF(B123&gt;0,(1+(E123/B123))^(1/($C$6-$B$6))-1,0)</f>
        <v>2.7963477874388909E-2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3">
      <c r="A124" t="str">
        <f t="shared" si="91"/>
        <v>12 Other managers and proprietors</v>
      </c>
      <c r="B124" s="11">
        <v>0.8485764129150063</v>
      </c>
      <c r="C124" s="11">
        <v>1.2637308976684858</v>
      </c>
      <c r="D124" s="11">
        <f t="shared" ref="D124:D139" si="92">C124-B124</f>
        <v>0.41515448475347949</v>
      </c>
      <c r="E124" s="11">
        <v>0.71415892011888127</v>
      </c>
      <c r="F124" s="11">
        <f t="shared" ref="F124:F131" si="93">SUM(D124:E124)</f>
        <v>1.1293134048723608</v>
      </c>
      <c r="G124" s="200">
        <f t="shared" ref="G124:G147" si="94">IF(B124&gt;0,(1+(E124/B124))^(1/($C$6-$B$6))-1,0)</f>
        <v>4.1548821146931036E-2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3">
      <c r="A125" t="str">
        <f t="shared" si="91"/>
        <v>21 Science, research, engineering and technology professionals</v>
      </c>
      <c r="B125" s="11">
        <v>0.91840753442355216</v>
      </c>
      <c r="C125" s="11">
        <v>0.95290013799956785</v>
      </c>
      <c r="D125" s="11">
        <f t="shared" si="92"/>
        <v>3.449260357601569E-2</v>
      </c>
      <c r="E125" s="11">
        <v>0.35498965780111225</v>
      </c>
      <c r="F125" s="11">
        <f t="shared" si="93"/>
        <v>0.38948226137712794</v>
      </c>
      <c r="G125" s="200">
        <f t="shared" si="94"/>
        <v>2.2025888032380259E-2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3">
      <c r="A126" t="str">
        <f t="shared" si="91"/>
        <v>22 Health professionals</v>
      </c>
      <c r="B126" s="11">
        <v>3.3751206489515146</v>
      </c>
      <c r="C126" s="11">
        <v>0.7438060812436097</v>
      </c>
      <c r="D126" s="11">
        <f t="shared" si="92"/>
        <v>-2.6313145677079048</v>
      </c>
      <c r="E126" s="11">
        <v>0.68900503956306869</v>
      </c>
      <c r="F126" s="11">
        <f t="shared" si="93"/>
        <v>-1.9423095281448362</v>
      </c>
      <c r="G126" s="200">
        <f t="shared" si="94"/>
        <v>1.2461509908842094E-2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3">
      <c r="A127" t="str">
        <f t="shared" si="91"/>
        <v>23 Teaching and other educational professionals</v>
      </c>
      <c r="B127" s="11">
        <v>0.42561969427254731</v>
      </c>
      <c r="C127" s="11">
        <v>0.26224666208830616</v>
      </c>
      <c r="D127" s="11">
        <f t="shared" si="92"/>
        <v>-0.16337303218424115</v>
      </c>
      <c r="E127" s="11">
        <v>8.2475946916987938E-2</v>
      </c>
      <c r="F127" s="11">
        <f t="shared" si="93"/>
        <v>-8.0897085267253213E-2</v>
      </c>
      <c r="G127" s="200">
        <f>IF(B127&gt;0,(1+(E127/B127))^(1/($C$6-$B$6))-1,0)</f>
        <v>1.1878224990818254E-2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3">
      <c r="A128" t="str">
        <f t="shared" si="91"/>
        <v>24 Business, media and public service professionals</v>
      </c>
      <c r="B128" s="11">
        <v>1.0952353304805718</v>
      </c>
      <c r="C128" s="11">
        <v>1.090849988073191</v>
      </c>
      <c r="D128" s="11">
        <f t="shared" si="92"/>
        <v>-4.3853424073807545E-3</v>
      </c>
      <c r="E128" s="11">
        <v>0.41169403306460162</v>
      </c>
      <c r="F128" s="11">
        <f t="shared" si="93"/>
        <v>0.40730869065722086</v>
      </c>
      <c r="G128" s="200">
        <f t="shared" si="94"/>
        <v>2.150155018335087E-2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3">
      <c r="A129" t="str">
        <f t="shared" si="91"/>
        <v>31 Science, engineering and technology associate professionals</v>
      </c>
      <c r="B129" s="11">
        <v>0.39801048005971296</v>
      </c>
      <c r="C129" s="11">
        <v>0.49122456523129587</v>
      </c>
      <c r="D129" s="11">
        <f t="shared" si="92"/>
        <v>9.3214085171582917E-2</v>
      </c>
      <c r="E129" s="11">
        <v>0.19386381718812579</v>
      </c>
      <c r="F129" s="11">
        <f t="shared" si="93"/>
        <v>0.2870779023597087</v>
      </c>
      <c r="G129" s="200">
        <f t="shared" si="94"/>
        <v>2.6807419658879672E-2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3">
      <c r="A130" t="str">
        <f t="shared" si="91"/>
        <v>32 Health and social care associate professionals</v>
      </c>
      <c r="B130" s="11">
        <v>1.8365058932421012</v>
      </c>
      <c r="C130" s="11">
        <v>0.84937382840592879</v>
      </c>
      <c r="D130" s="11">
        <f t="shared" si="92"/>
        <v>-0.98713206483617244</v>
      </c>
      <c r="E130" s="11">
        <v>0.55939113245513017</v>
      </c>
      <c r="F130" s="11">
        <f t="shared" si="93"/>
        <v>-0.42774093238104227</v>
      </c>
      <c r="G130" s="200">
        <f t="shared" si="94"/>
        <v>1.7884235183638797E-2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3">
      <c r="A131" t="str">
        <f t="shared" si="91"/>
        <v>33 Protective service occupations</v>
      </c>
      <c r="B131" s="11">
        <v>0.33305814145364371</v>
      </c>
      <c r="C131" s="11">
        <v>0.60816347896196976</v>
      </c>
      <c r="D131" s="11">
        <f t="shared" si="92"/>
        <v>0.27510533750832605</v>
      </c>
      <c r="E131" s="11">
        <v>0.17824092964710359</v>
      </c>
      <c r="F131" s="11">
        <f t="shared" si="93"/>
        <v>0.45334626715542964</v>
      </c>
      <c r="G131" s="200">
        <f t="shared" si="94"/>
        <v>2.8988047127611827E-2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3">
      <c r="A132" t="str">
        <f t="shared" si="91"/>
        <v>34 Culture, media and sports occupations</v>
      </c>
      <c r="B132" s="11">
        <v>0.40163409740402412</v>
      </c>
      <c r="C132" s="11">
        <v>0.51866105855683475</v>
      </c>
      <c r="D132" s="11">
        <f t="shared" si="92"/>
        <v>0.11702696115281064</v>
      </c>
      <c r="E132" s="11">
        <v>0.22440561712592216</v>
      </c>
      <c r="F132" s="11">
        <f t="shared" ref="F132:F133" si="95">SUM(D132:E132)</f>
        <v>0.3414325782787328</v>
      </c>
      <c r="G132" s="200">
        <f t="shared" si="94"/>
        <v>3.003366840319277E-2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3">
      <c r="A133" t="str">
        <f t="shared" si="91"/>
        <v>35 Business and public service associate professionals</v>
      </c>
      <c r="B133" s="11">
        <v>2.1818504516021529</v>
      </c>
      <c r="C133" s="11">
        <v>2.332756176193481</v>
      </c>
      <c r="D133" s="11">
        <f t="shared" si="92"/>
        <v>0.15090572459132812</v>
      </c>
      <c r="E133" s="11">
        <v>1.0906412648021386</v>
      </c>
      <c r="F133" s="11">
        <f t="shared" si="95"/>
        <v>1.2415469893934667</v>
      </c>
      <c r="G133" s="200">
        <f t="shared" si="94"/>
        <v>2.7393716029921578E-2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3">
      <c r="A134" t="str">
        <f t="shared" si="91"/>
        <v>41 Administrative occupations</v>
      </c>
      <c r="B134" s="11">
        <v>3.4346213323330841</v>
      </c>
      <c r="C134" s="11">
        <v>3.9690039658387128</v>
      </c>
      <c r="D134" s="11">
        <f t="shared" si="92"/>
        <v>0.53438263350562876</v>
      </c>
      <c r="E134" s="11">
        <v>2.1805871555650693</v>
      </c>
      <c r="F134" s="11">
        <f t="shared" ref="F134:F137" si="96">SUM(D134:E134)</f>
        <v>2.7149697890706981</v>
      </c>
      <c r="G134" s="200">
        <f t="shared" si="94"/>
        <v>3.3314367991438054E-2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3">
      <c r="A135" t="str">
        <f t="shared" si="91"/>
        <v>42 Secretarial and related occupations</v>
      </c>
      <c r="B135" s="11">
        <v>0.70683547234435118</v>
      </c>
      <c r="C135" s="11">
        <v>0.92363552789350878</v>
      </c>
      <c r="D135" s="11">
        <f t="shared" si="92"/>
        <v>0.2168000555491576</v>
      </c>
      <c r="E135" s="11">
        <v>0.53822228549575446</v>
      </c>
      <c r="F135" s="11">
        <f t="shared" si="96"/>
        <v>0.75502234104491206</v>
      </c>
      <c r="G135" s="200">
        <f t="shared" si="94"/>
        <v>3.846391678272143E-2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0.13707085366700361</v>
      </c>
      <c r="C136" s="11">
        <v>0.23189201513094712</v>
      </c>
      <c r="D136" s="11">
        <f t="shared" si="92"/>
        <v>9.482116146394351E-2</v>
      </c>
      <c r="E136" s="11">
        <v>0.13107544765806919</v>
      </c>
      <c r="F136" s="11">
        <f t="shared" si="96"/>
        <v>0.2258966091220127</v>
      </c>
      <c r="G136" s="200">
        <f t="shared" si="94"/>
        <v>4.5751379675463388E-2</v>
      </c>
      <c r="I136" s="11"/>
      <c r="J136" s="11"/>
      <c r="K136" s="11"/>
      <c r="L136" s="11"/>
      <c r="M136" s="11"/>
      <c r="N136" s="11"/>
      <c r="O136" s="71"/>
    </row>
    <row r="137" spans="1:21" x14ac:dyDescent="0.3">
      <c r="A137" t="str">
        <f t="shared" si="91"/>
        <v>52 Skilled metal, electrical and electronic trades</v>
      </c>
      <c r="B137" s="11">
        <v>0.37418590687256814</v>
      </c>
      <c r="C137" s="11">
        <v>0.47556892663035999</v>
      </c>
      <c r="D137" s="11">
        <f t="shared" si="92"/>
        <v>0.10138301975779185</v>
      </c>
      <c r="E137" s="11">
        <v>0.18217183318065652</v>
      </c>
      <c r="F137" s="11">
        <f t="shared" si="96"/>
        <v>0.2835548529384484</v>
      </c>
      <c r="G137" s="200">
        <f t="shared" si="94"/>
        <v>2.6796659713700821E-2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0.36878146763466302</v>
      </c>
      <c r="C138" s="11">
        <v>0.51256676591531825</v>
      </c>
      <c r="D138" s="11">
        <f t="shared" si="92"/>
        <v>0.14378529828065523</v>
      </c>
      <c r="E138" s="11">
        <v>0.24150036891415758</v>
      </c>
      <c r="F138" s="11">
        <f t="shared" ref="F138" si="97">SUM(D138:E138)</f>
        <v>0.38528566719481283</v>
      </c>
      <c r="G138" s="200">
        <f t="shared" si="94"/>
        <v>3.4151319484921894E-2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3">
      <c r="A139" t="str">
        <f t="shared" si="91"/>
        <v>54 Textiles, printing and other skilled trades</v>
      </c>
      <c r="B139" s="11">
        <v>0.25938767461664808</v>
      </c>
      <c r="C139" s="11">
        <v>0.30966991302618468</v>
      </c>
      <c r="D139" s="11">
        <f t="shared" si="92"/>
        <v>5.0282238409536606E-2</v>
      </c>
      <c r="E139" s="11">
        <v>0.16483751618271925</v>
      </c>
      <c r="F139" s="11">
        <f t="shared" ref="F139" si="98">SUM(D139:E139)</f>
        <v>0.21511975459225585</v>
      </c>
      <c r="G139" s="200">
        <f t="shared" si="94"/>
        <v>3.3339762511589432E-2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3">
      <c r="A140" t="str">
        <f t="shared" si="91"/>
        <v>61 Caring personal service occupations</v>
      </c>
      <c r="B140" s="11">
        <v>4.2090020440052669</v>
      </c>
      <c r="C140" s="11">
        <v>4.8143725867542901</v>
      </c>
      <c r="D140" s="11">
        <f>C140-B140</f>
        <v>0.60537054274902324</v>
      </c>
      <c r="E140" s="11">
        <v>2.6835728819471512</v>
      </c>
      <c r="F140" s="11">
        <f>SUM(D140:E140)</f>
        <v>3.2889434246961744</v>
      </c>
      <c r="G140" s="200">
        <f t="shared" si="94"/>
        <v>3.342784058620385E-2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3">
      <c r="A141" t="str">
        <f t="shared" si="91"/>
        <v>62 Leisure, travel and related personal service occupations</v>
      </c>
      <c r="B141" s="11">
        <v>0.62365191174702128</v>
      </c>
      <c r="C141" s="11">
        <v>0.96426712745043741</v>
      </c>
      <c r="D141" s="11">
        <f t="shared" ref="D141:D147" si="99">C141-B141</f>
        <v>0.34061521570341613</v>
      </c>
      <c r="E141" s="11">
        <v>0.49777497841418195</v>
      </c>
      <c r="F141" s="11">
        <f t="shared" ref="F141:F142" si="100">SUM(D141:E141)</f>
        <v>0.83839019411759808</v>
      </c>
      <c r="G141" s="200">
        <f t="shared" si="94"/>
        <v>3.9892822167461262E-2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3">
      <c r="A142" t="str">
        <f t="shared" si="91"/>
        <v>63 Community and civil enforcement occupations</v>
      </c>
      <c r="B142" s="11">
        <v>2.1585458754856023E-2</v>
      </c>
      <c r="C142" s="11">
        <v>2.7198627608364018E-2</v>
      </c>
      <c r="D142" s="11">
        <f t="shared" si="99"/>
        <v>5.6131688535079952E-3</v>
      </c>
      <c r="E142" s="11">
        <v>1.3529145539663872E-2</v>
      </c>
      <c r="F142" s="11">
        <f t="shared" si="100"/>
        <v>1.9142314393171867E-2</v>
      </c>
      <c r="G142" s="200">
        <f t="shared" si="94"/>
        <v>3.2971722800466674E-2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3">
      <c r="A143" t="str">
        <f t="shared" si="91"/>
        <v>71 Sales occupations</v>
      </c>
      <c r="B143" s="11">
        <v>1.3081398810024805</v>
      </c>
      <c r="C143" s="11">
        <v>1.6120474299114571</v>
      </c>
      <c r="D143" s="11">
        <f t="shared" si="99"/>
        <v>0.30390754890897664</v>
      </c>
      <c r="E143" s="11">
        <v>0.7598253339034442</v>
      </c>
      <c r="F143" s="11">
        <f t="shared" ref="F143:F144" si="101">SUM(D143:E143)</f>
        <v>1.0637328828124208</v>
      </c>
      <c r="G143" s="200">
        <f t="shared" si="94"/>
        <v>3.1001434490255386E-2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3">
      <c r="A144" t="str">
        <f t="shared" si="91"/>
        <v>72 Customer service occupations</v>
      </c>
      <c r="B144" s="11">
        <v>0.47268273258675764</v>
      </c>
      <c r="C144" s="11">
        <v>0.94825910872191854</v>
      </c>
      <c r="D144" s="11">
        <f t="shared" si="99"/>
        <v>0.47557637613516091</v>
      </c>
      <c r="E144" s="11">
        <v>0.39259202485131051</v>
      </c>
      <c r="F144" s="11">
        <f t="shared" si="101"/>
        <v>0.86816840098647141</v>
      </c>
      <c r="G144" s="200">
        <f t="shared" si="94"/>
        <v>4.1131579809148056E-2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3">
      <c r="A145" t="str">
        <f t="shared" si="91"/>
        <v>81 Process, plant and machine operatives</v>
      </c>
      <c r="B145" s="11">
        <v>0.27492450327367379</v>
      </c>
      <c r="C145" s="11">
        <v>0.54017056060212221</v>
      </c>
      <c r="D145" s="11">
        <f t="shared" si="99"/>
        <v>0.26524605732844841</v>
      </c>
      <c r="E145" s="11">
        <v>0.20414686093467799</v>
      </c>
      <c r="F145" s="11">
        <f t="shared" ref="F145:F146" si="102">SUM(D145:E145)</f>
        <v>0.4693929182631264</v>
      </c>
      <c r="G145" s="200">
        <f t="shared" si="94"/>
        <v>3.7717444663517341E-2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3">
      <c r="A146" t="str">
        <f t="shared" si="91"/>
        <v>82 Transport and mobile machine drivers and operatives</v>
      </c>
      <c r="B146" s="11">
        <v>0.46068278291115511</v>
      </c>
      <c r="C146" s="11">
        <v>0.76610251786684269</v>
      </c>
      <c r="D146" s="11">
        <f t="shared" si="99"/>
        <v>0.30541973495568758</v>
      </c>
      <c r="E146" s="11">
        <v>0.40104307966806718</v>
      </c>
      <c r="F146" s="11">
        <f t="shared" si="102"/>
        <v>0.70646281462375482</v>
      </c>
      <c r="G146" s="200">
        <f t="shared" si="94"/>
        <v>4.2632223461633201E-2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3">
      <c r="A147" t="str">
        <f t="shared" si="91"/>
        <v>91 Elementary trades and related occupations</v>
      </c>
      <c r="B147" s="11">
        <v>0.20591726824313186</v>
      </c>
      <c r="C147" s="11">
        <v>0.27441541910013473</v>
      </c>
      <c r="D147" s="11">
        <f t="shared" si="99"/>
        <v>6.8498150857002865E-2</v>
      </c>
      <c r="E147" s="11">
        <v>0.14842291246299189</v>
      </c>
      <c r="F147" s="11">
        <f t="shared" ref="F147" si="103">SUM(D147:E147)</f>
        <v>0.21692106331999475</v>
      </c>
      <c r="G147" s="200">
        <f t="shared" si="94"/>
        <v>3.6848194159582182E-2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3">
      <c r="A148" t="str">
        <f t="shared" si="91"/>
        <v>92 Elementary administration and service occupations</v>
      </c>
      <c r="B148" s="11">
        <v>1.25475634936867</v>
      </c>
      <c r="C148" s="11">
        <v>2.0692062545969976</v>
      </c>
      <c r="D148" s="11">
        <f t="shared" ref="D148" si="104">C148-B148</f>
        <v>0.81444990522832761</v>
      </c>
      <c r="E148" s="11">
        <v>1.0228050702504794</v>
      </c>
      <c r="F148" s="11">
        <f t="shared" ref="F148" si="105">SUM(D148:E148)</f>
        <v>1.837254975478807</v>
      </c>
      <c r="G148" s="200">
        <f t="shared" ref="G148:G149" si="106">IF(B148&gt;0,(1+(E148/B148))^(1/($C$6-$B$6))-1,0)</f>
        <v>4.0544631831845868E-2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3">
      <c r="A149" t="str">
        <f t="shared" si="91"/>
        <v>All occupations</v>
      </c>
      <c r="B149" s="11">
        <f>SUM(B123:B148)</f>
        <v>27.827400007193702</v>
      </c>
      <c r="C149" s="11">
        <f t="shared" ref="C149:F149" si="107">SUM(C123:C148)</f>
        <v>29.459577091677101</v>
      </c>
      <c r="D149" s="11">
        <f t="shared" si="107"/>
        <v>1.6321770844834091</v>
      </c>
      <c r="E149" s="11">
        <f t="shared" si="107"/>
        <v>15.035116203387531</v>
      </c>
      <c r="F149" s="11">
        <f t="shared" si="107"/>
        <v>16.667293287870937</v>
      </c>
      <c r="G149" s="200">
        <f t="shared" si="106"/>
        <v>2.9217121058479067E-2</v>
      </c>
      <c r="P149" s="11"/>
      <c r="Q149" s="11"/>
      <c r="R149" s="11"/>
      <c r="S149" s="341"/>
      <c r="T149" s="341"/>
      <c r="U149" s="34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25.5" x14ac:dyDescent="0.3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3">
      <c r="A152" t="str">
        <f t="shared" ref="A152:A178" si="109">A65</f>
        <v>11 Corporate managers and directors</v>
      </c>
      <c r="B152" s="11">
        <v>2.6516372773475458</v>
      </c>
      <c r="C152" s="11">
        <v>2.5445200187385559</v>
      </c>
      <c r="D152" s="11">
        <f>C152-B152</f>
        <v>-0.10711725860898991</v>
      </c>
      <c r="E152" s="11">
        <v>1.3132823170291312</v>
      </c>
      <c r="F152" s="11">
        <f>SUM(D152:E152)</f>
        <v>1.2061650584201413</v>
      </c>
      <c r="G152" s="200">
        <f>IF(B152&gt;0,(1+(E152/B152))^(1/($C$6-$B$6))-1,0)</f>
        <v>2.7183460638819934E-2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3">
      <c r="A153" t="str">
        <f t="shared" si="109"/>
        <v>12 Other managers and proprietors</v>
      </c>
      <c r="B153" s="11">
        <v>0.93932857918245216</v>
      </c>
      <c r="C153" s="11">
        <v>1.4025176963714088</v>
      </c>
      <c r="D153" s="11">
        <f t="shared" ref="D153:D168" si="110">C153-B153</f>
        <v>0.46318911718895661</v>
      </c>
      <c r="E153" s="11">
        <v>0.75050990860633071</v>
      </c>
      <c r="F153" s="11">
        <f t="shared" ref="F153:F160" si="111">SUM(D153:E153)</f>
        <v>1.2136990257952873</v>
      </c>
      <c r="G153" s="200">
        <f t="shared" ref="G153:G155" si="112">IF(B153&gt;0,(1+(E153/B153))^(1/($C$6-$B$6))-1,0)</f>
        <v>3.9924581526641134E-2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3">
      <c r="A154" t="str">
        <f t="shared" si="109"/>
        <v>21 Science, research, engineering and technology professionals</v>
      </c>
      <c r="B154" s="11">
        <v>2.5907536934591509</v>
      </c>
      <c r="C154" s="11">
        <v>2.3157116278181031</v>
      </c>
      <c r="D154" s="11">
        <f t="shared" si="110"/>
        <v>-0.27504206564104772</v>
      </c>
      <c r="E154" s="11">
        <v>0.83904156181526246</v>
      </c>
      <c r="F154" s="11">
        <f t="shared" si="111"/>
        <v>0.56399949617421474</v>
      </c>
      <c r="G154" s="200">
        <f t="shared" si="112"/>
        <v>1.8879453910043864E-2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3">
      <c r="A155" t="str">
        <f t="shared" si="109"/>
        <v>22 Health professionals</v>
      </c>
      <c r="B155" s="11">
        <v>0.63448614872768261</v>
      </c>
      <c r="C155" s="11">
        <v>0.71418122473502288</v>
      </c>
      <c r="D155" s="11">
        <f t="shared" si="110"/>
        <v>7.9695076007340271E-2</v>
      </c>
      <c r="E155" s="11">
        <v>0.34701060487674151</v>
      </c>
      <c r="F155" s="11">
        <f t="shared" si="111"/>
        <v>0.42670568088408178</v>
      </c>
      <c r="G155" s="200">
        <f t="shared" si="112"/>
        <v>2.9511292794296429E-2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3">
      <c r="A156" t="str">
        <f t="shared" si="109"/>
        <v>23 Teaching and other educational professionals</v>
      </c>
      <c r="B156" s="11">
        <v>0.19311574085151217</v>
      </c>
      <c r="C156" s="11">
        <v>0.12648440630287461</v>
      </c>
      <c r="D156" s="11">
        <f t="shared" si="110"/>
        <v>-6.6631334548637566E-2</v>
      </c>
      <c r="E156" s="11">
        <v>7.3269913662671007E-2</v>
      </c>
      <c r="F156" s="11">
        <f t="shared" si="111"/>
        <v>6.638579114033441E-3</v>
      </c>
      <c r="G156" s="200">
        <f>IF(B156&gt;0,(1+(E156/B156))^(1/($C$6-$B$6))-1,0)</f>
        <v>2.1675260574738564E-2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3">
      <c r="A157" t="str">
        <f t="shared" si="109"/>
        <v>24 Business, media and public service professionals</v>
      </c>
      <c r="B157" s="11">
        <v>1.6226013707608027</v>
      </c>
      <c r="C157" s="11">
        <v>1.9107559096988442</v>
      </c>
      <c r="D157" s="11">
        <f t="shared" si="110"/>
        <v>0.28815453893804155</v>
      </c>
      <c r="E157" s="11">
        <v>0.8686677147840185</v>
      </c>
      <c r="F157" s="11">
        <f t="shared" si="111"/>
        <v>1.15682225372206</v>
      </c>
      <c r="G157" s="200">
        <f t="shared" ref="G157:G178" si="113">IF(B157&gt;0,(1+(E157/B157))^(1/($C$6-$B$6))-1,0)</f>
        <v>2.899655319857386E-2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3">
      <c r="A158" t="str">
        <f t="shared" si="109"/>
        <v>31 Science, engineering and technology associate professionals</v>
      </c>
      <c r="B158" s="11">
        <v>0.92835823606294898</v>
      </c>
      <c r="C158" s="11">
        <v>0.72097853915068633</v>
      </c>
      <c r="D158" s="11">
        <f t="shared" si="110"/>
        <v>-0.20737969691226266</v>
      </c>
      <c r="E158" s="11">
        <v>0.28178984218717623</v>
      </c>
      <c r="F158" s="11">
        <f t="shared" si="111"/>
        <v>7.4410145274913575E-2</v>
      </c>
      <c r="G158" s="200">
        <f t="shared" si="113"/>
        <v>1.7829095497541747E-2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3">
      <c r="A159" t="str">
        <f t="shared" si="109"/>
        <v>32 Health and social care associate professionals</v>
      </c>
      <c r="B159" s="11">
        <v>0.48835617092457639</v>
      </c>
      <c r="C159" s="11">
        <v>0.51372123078230758</v>
      </c>
      <c r="D159" s="11">
        <f t="shared" si="110"/>
        <v>2.5365059857731187E-2</v>
      </c>
      <c r="E159" s="11">
        <v>0.27575484482653978</v>
      </c>
      <c r="F159" s="11">
        <f t="shared" si="111"/>
        <v>0.30111990468427097</v>
      </c>
      <c r="G159" s="200">
        <f t="shared" si="113"/>
        <v>3.0294351194053215E-2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3">
      <c r="A160" t="str">
        <f t="shared" si="109"/>
        <v>33 Protective service occupations</v>
      </c>
      <c r="B160" s="11">
        <v>0.26848027271093161</v>
      </c>
      <c r="C160" s="11">
        <v>0.36849650328159156</v>
      </c>
      <c r="D160" s="11">
        <f t="shared" si="110"/>
        <v>0.10001623057065995</v>
      </c>
      <c r="E160" s="11">
        <v>0.12667332233765655</v>
      </c>
      <c r="F160" s="11">
        <f t="shared" si="111"/>
        <v>0.22668955290831649</v>
      </c>
      <c r="G160" s="200">
        <f t="shared" si="113"/>
        <v>2.6101298374128001E-2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3">
      <c r="A161" t="str">
        <f t="shared" si="109"/>
        <v>34 Culture, media and sports occupations</v>
      </c>
      <c r="B161" s="11">
        <v>0.44719092658619553</v>
      </c>
      <c r="C161" s="11">
        <v>0.40469367182838628</v>
      </c>
      <c r="D161" s="11">
        <f t="shared" si="110"/>
        <v>-4.2497254757809244E-2</v>
      </c>
      <c r="E161" s="11">
        <v>0.19034400619973374</v>
      </c>
      <c r="F161" s="11">
        <f t="shared" ref="F161:F162" si="114">SUM(D161:E161)</f>
        <v>0.1478467514419245</v>
      </c>
      <c r="G161" s="200">
        <f t="shared" si="113"/>
        <v>2.3923239778729455E-2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3">
      <c r="A162" t="str">
        <f t="shared" si="109"/>
        <v>35 Business and public service associate professionals</v>
      </c>
      <c r="B162" s="11">
        <v>1.9044679197285828</v>
      </c>
      <c r="C162" s="11">
        <v>1.9773139639349566</v>
      </c>
      <c r="D162" s="11">
        <f t="shared" si="110"/>
        <v>7.2846044206373861E-2</v>
      </c>
      <c r="E162" s="11">
        <v>0.90494204996837024</v>
      </c>
      <c r="F162" s="11">
        <f t="shared" si="114"/>
        <v>0.9777880941747441</v>
      </c>
      <c r="G162" s="200">
        <f t="shared" si="113"/>
        <v>2.6256916742880998E-2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3">
      <c r="A163" t="str">
        <f t="shared" si="109"/>
        <v>41 Administrative occupations</v>
      </c>
      <c r="B163" s="11">
        <v>3.1969532295214331</v>
      </c>
      <c r="C163" s="11">
        <v>3.4939386333101408</v>
      </c>
      <c r="D163" s="11">
        <f t="shared" si="110"/>
        <v>0.29698540378870764</v>
      </c>
      <c r="E163" s="11">
        <v>1.7954298744258137</v>
      </c>
      <c r="F163" s="11">
        <f t="shared" ref="F163:F166" si="115">SUM(D163:E163)</f>
        <v>2.0924152782145216</v>
      </c>
      <c r="G163" s="200">
        <f t="shared" si="113"/>
        <v>3.016021849488526E-2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3">
      <c r="A164" t="str">
        <f t="shared" si="109"/>
        <v>42 Secretarial and related occupations</v>
      </c>
      <c r="B164" s="11">
        <v>0.55514762100387227</v>
      </c>
      <c r="C164" s="11">
        <v>0.68538317561614681</v>
      </c>
      <c r="D164" s="11">
        <f t="shared" si="110"/>
        <v>0.13023555461227454</v>
      </c>
      <c r="E164" s="11">
        <v>0.37641645375183885</v>
      </c>
      <c r="F164" s="11">
        <f t="shared" si="115"/>
        <v>0.50665200836411339</v>
      </c>
      <c r="G164" s="200">
        <f t="shared" si="113"/>
        <v>3.5111062244112645E-2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3">
      <c r="A165" t="str">
        <f t="shared" si="109"/>
        <v>51 Skilled agricultural and related trades</v>
      </c>
      <c r="B165" s="11">
        <v>0.27327002686508384</v>
      </c>
      <c r="C165" s="11">
        <v>0.49228651633740289</v>
      </c>
      <c r="D165" s="11">
        <f t="shared" si="110"/>
        <v>0.21901648947231905</v>
      </c>
      <c r="E165" s="11">
        <v>0.23181881477128743</v>
      </c>
      <c r="F165" s="11">
        <f t="shared" si="115"/>
        <v>0.45083530424360652</v>
      </c>
      <c r="G165" s="200">
        <f t="shared" si="113"/>
        <v>4.180167571346094E-2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3">
      <c r="A166" t="str">
        <f t="shared" si="109"/>
        <v>52 Skilled metal, electrical and electronic trades</v>
      </c>
      <c r="B166" s="11">
        <v>1.796186480932439</v>
      </c>
      <c r="C166" s="11">
        <v>2.0771988346486974</v>
      </c>
      <c r="D166" s="11">
        <f t="shared" si="110"/>
        <v>0.28101235371625832</v>
      </c>
      <c r="E166" s="11">
        <v>0.83353321533271141</v>
      </c>
      <c r="F166" s="11">
        <f t="shared" si="115"/>
        <v>1.1145455690489698</v>
      </c>
      <c r="G166" s="200">
        <f t="shared" si="113"/>
        <v>2.5739789071758112E-2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3">
      <c r="A167" t="str">
        <f t="shared" si="109"/>
        <v>53 Skilled construction and building trades</v>
      </c>
      <c r="B167" s="11">
        <v>0.53110023725598698</v>
      </c>
      <c r="C167" s="11">
        <v>0.69616157516260357</v>
      </c>
      <c r="D167" s="11">
        <f t="shared" si="110"/>
        <v>0.16506133790661659</v>
      </c>
      <c r="E167" s="11">
        <v>0.33085859523827987</v>
      </c>
      <c r="F167" s="11">
        <f t="shared" ref="F167" si="116">SUM(D167:E167)</f>
        <v>0.49591993314489646</v>
      </c>
      <c r="G167" s="200">
        <f t="shared" si="113"/>
        <v>3.2810557265851248E-2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3">
      <c r="A168" t="str">
        <f t="shared" si="109"/>
        <v>54 Textiles, printing and other skilled trades</v>
      </c>
      <c r="B168" s="11">
        <v>0.29159308430417796</v>
      </c>
      <c r="C168" s="11">
        <v>0.37278259129695479</v>
      </c>
      <c r="D168" s="11">
        <f t="shared" si="110"/>
        <v>8.1189506992776828E-2</v>
      </c>
      <c r="E168" s="11">
        <v>0.18071971136266321</v>
      </c>
      <c r="F168" s="11">
        <f t="shared" ref="F168" si="117">SUM(D168:E168)</f>
        <v>0.26190921835544001</v>
      </c>
      <c r="G168" s="200">
        <f t="shared" si="113"/>
        <v>3.2674610341344446E-2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3">
      <c r="A169" t="str">
        <f t="shared" si="109"/>
        <v>61 Caring personal service occupations</v>
      </c>
      <c r="B169" s="11">
        <v>2.3443051289833976</v>
      </c>
      <c r="C169" s="11">
        <v>2.8801056077219327</v>
      </c>
      <c r="D169" s="11">
        <f>C169-B169</f>
        <v>0.53580047873853509</v>
      </c>
      <c r="E169" s="11">
        <v>1.5770842145455217</v>
      </c>
      <c r="F169" s="11">
        <f>SUM(D169:E169)</f>
        <v>2.112884693284057</v>
      </c>
      <c r="G169" s="200">
        <f t="shared" si="113"/>
        <v>3.4892060434607464E-2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3">
      <c r="A170" t="str">
        <f t="shared" si="109"/>
        <v>62 Leisure, travel and related personal service occupations</v>
      </c>
      <c r="B170" s="11">
        <v>0.72244168194773084</v>
      </c>
      <c r="C170" s="11">
        <v>1.1885144089151742</v>
      </c>
      <c r="D170" s="11">
        <f t="shared" ref="D170:D176" si="118">C170-B170</f>
        <v>0.4660727269674434</v>
      </c>
      <c r="E170" s="11">
        <v>0.60144362244318761</v>
      </c>
      <c r="F170" s="11">
        <f t="shared" ref="F170:F171" si="119">SUM(D170:E170)</f>
        <v>1.067516349410631</v>
      </c>
      <c r="G170" s="200">
        <f t="shared" si="113"/>
        <v>4.1205621999945707E-2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3">
      <c r="A171" t="str">
        <f t="shared" si="109"/>
        <v>63 Community and civil enforcement occupations</v>
      </c>
      <c r="B171" s="11">
        <v>2.1172693385943318E-2</v>
      </c>
      <c r="C171" s="11">
        <v>1.970581087698399E-2</v>
      </c>
      <c r="D171" s="11">
        <f t="shared" si="118"/>
        <v>-1.4668825089593288E-3</v>
      </c>
      <c r="E171" s="11">
        <v>1.2131022949392958E-2</v>
      </c>
      <c r="F171" s="11">
        <f t="shared" si="119"/>
        <v>1.066414044043363E-2</v>
      </c>
      <c r="G171" s="200">
        <f t="shared" si="113"/>
        <v>3.0657669533335596E-2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3">
      <c r="A172" t="str">
        <f t="shared" si="109"/>
        <v>71 Sales occupations</v>
      </c>
      <c r="B172" s="11">
        <v>1.083501631583806</v>
      </c>
      <c r="C172" s="11">
        <v>1.2406916613324663</v>
      </c>
      <c r="D172" s="11">
        <f t="shared" si="118"/>
        <v>0.15719002974866036</v>
      </c>
      <c r="E172" s="11">
        <v>0.52589197945505761</v>
      </c>
      <c r="F172" s="11">
        <f t="shared" ref="F172:F173" si="120">SUM(D172:E172)</f>
        <v>0.68308200920371798</v>
      </c>
      <c r="G172" s="200">
        <f t="shared" si="113"/>
        <v>2.6728254574767352E-2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3">
      <c r="A173" t="str">
        <f t="shared" si="109"/>
        <v>72 Customer service occupations</v>
      </c>
      <c r="B173" s="11">
        <v>0.69930501334202588</v>
      </c>
      <c r="C173" s="11">
        <v>1.1283618002333411</v>
      </c>
      <c r="D173" s="11">
        <f t="shared" si="118"/>
        <v>0.42905678689131521</v>
      </c>
      <c r="E173" s="11">
        <v>0.45798440942393159</v>
      </c>
      <c r="F173" s="11">
        <f t="shared" si="120"/>
        <v>0.8870411963152468</v>
      </c>
      <c r="G173" s="200">
        <f t="shared" si="113"/>
        <v>3.4153539730223503E-2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3">
      <c r="A174" t="str">
        <f t="shared" si="109"/>
        <v>81 Process, plant and machine operatives</v>
      </c>
      <c r="B174" s="11">
        <v>0.62529404343205619</v>
      </c>
      <c r="C174" s="11">
        <v>1.2289745439310515</v>
      </c>
      <c r="D174" s="11">
        <f t="shared" si="118"/>
        <v>0.60368050049899535</v>
      </c>
      <c r="E174" s="11">
        <v>0.47192014348309819</v>
      </c>
      <c r="F174" s="11">
        <f t="shared" ref="F174:F175" si="121">SUM(D174:E174)</f>
        <v>1.0756006439820935</v>
      </c>
      <c r="G174" s="200">
        <f t="shared" si="113"/>
        <v>3.8198685939460963E-2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3">
      <c r="A175" t="str">
        <f t="shared" si="109"/>
        <v>82 Transport and mobile machine drivers and operatives</v>
      </c>
      <c r="B175" s="11">
        <v>0.71538105372924443</v>
      </c>
      <c r="C175" s="11">
        <v>1.1252273367708299</v>
      </c>
      <c r="D175" s="11">
        <f t="shared" si="118"/>
        <v>0.40984628304158544</v>
      </c>
      <c r="E175" s="11">
        <v>0.61330464780391469</v>
      </c>
      <c r="F175" s="11">
        <f t="shared" si="121"/>
        <v>1.0231509308455</v>
      </c>
      <c r="G175" s="200">
        <f t="shared" si="113"/>
        <v>4.2139015220333143E-2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3">
      <c r="A176" t="str">
        <f t="shared" si="109"/>
        <v>91 Elementary trades and related occupations</v>
      </c>
      <c r="B176" s="11">
        <v>0.24036778627544578</v>
      </c>
      <c r="C176" s="11">
        <v>0.29526838259896959</v>
      </c>
      <c r="D176" s="11">
        <f t="shared" si="118"/>
        <v>5.4900596323523815E-2</v>
      </c>
      <c r="E176" s="11">
        <v>0.15157311541623281</v>
      </c>
      <c r="F176" s="11">
        <f t="shared" ref="F176" si="122">SUM(D176:E176)</f>
        <v>0.20647371173975662</v>
      </c>
      <c r="G176" s="200">
        <f t="shared" si="113"/>
        <v>3.3133129373918768E-2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3">
      <c r="A177" t="str">
        <f t="shared" si="109"/>
        <v>92 Elementary administration and service occupations</v>
      </c>
      <c r="B177" s="11">
        <v>1.1954639126222888</v>
      </c>
      <c r="C177" s="11">
        <v>1.919481821162637</v>
      </c>
      <c r="D177" s="11">
        <f t="shared" ref="D177" si="123">C177-B177</f>
        <v>0.7240179085403482</v>
      </c>
      <c r="E177" s="11">
        <v>0.98382198173143731</v>
      </c>
      <c r="F177" s="11">
        <f t="shared" ref="F177" si="124">SUM(D177:E177)</f>
        <v>1.7078398902717855</v>
      </c>
      <c r="G177" s="200">
        <f t="shared" si="113"/>
        <v>4.0842896210439683E-2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3">
      <c r="A178" t="str">
        <f t="shared" si="109"/>
        <v>All occupations</v>
      </c>
      <c r="B178" s="11">
        <f>SUM(B152:B177)</f>
        <v>26.960259961527317</v>
      </c>
      <c r="C178" s="11">
        <f t="shared" ref="C178:F178" si="125">SUM(C152:C177)</f>
        <v>31.84345749255807</v>
      </c>
      <c r="D178" s="11">
        <f t="shared" si="125"/>
        <v>4.8831975310307563</v>
      </c>
      <c r="E178" s="11">
        <f t="shared" si="125"/>
        <v>15.115217888427999</v>
      </c>
      <c r="F178" s="11">
        <f t="shared" si="125"/>
        <v>19.998415419458755</v>
      </c>
      <c r="G178" s="200">
        <f t="shared" si="113"/>
        <v>3.0118054034971253E-2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25.5" x14ac:dyDescent="0.3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3">
      <c r="A181" t="str">
        <f t="shared" ref="A181:A207" si="127">A94</f>
        <v>11 Corporate managers and directors</v>
      </c>
      <c r="B181" s="11">
        <v>6.5904534497367191</v>
      </c>
      <c r="C181" s="11">
        <v>6.5121191168320323</v>
      </c>
      <c r="D181" s="11">
        <f>C181-B181</f>
        <v>-7.8334332904686832E-2</v>
      </c>
      <c r="E181" s="11">
        <v>2.7719367363590091</v>
      </c>
      <c r="F181" s="11">
        <f>SUM(D181:E181)</f>
        <v>2.6936024034543222</v>
      </c>
      <c r="G181" s="200">
        <f>IF(B181&gt;0,(1+(E181/B181))^(1/($C$6-$B$6))-1,0)</f>
        <v>2.3681282880599008E-2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3">
      <c r="A182" t="str">
        <f t="shared" si="127"/>
        <v>12 Other managers and proprietors</v>
      </c>
      <c r="B182" s="11">
        <v>2.2843568184125962</v>
      </c>
      <c r="C182" s="11">
        <v>2.9931448914244059</v>
      </c>
      <c r="D182" s="11">
        <f t="shared" ref="D182:D197" si="128">C182-B182</f>
        <v>0.70878807301180968</v>
      </c>
      <c r="E182" s="11">
        <v>1.3040905879418367</v>
      </c>
      <c r="F182" s="11">
        <f t="shared" ref="F182:F189" si="129">SUM(D182:E182)</f>
        <v>2.0128786609536462</v>
      </c>
      <c r="G182" s="200">
        <f t="shared" ref="G182:G184" si="130">IF(B182&gt;0,(1+(E182/B182))^(1/($C$6-$B$6))-1,0)</f>
        <v>3.05668683310798E-2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4.1244978391238991</v>
      </c>
      <c r="C183" s="11">
        <v>4.0556175337647149</v>
      </c>
      <c r="D183" s="11">
        <f t="shared" si="128"/>
        <v>-6.8880305359184213E-2</v>
      </c>
      <c r="E183" s="11">
        <v>1.2115480991549159</v>
      </c>
      <c r="F183" s="11">
        <f t="shared" si="129"/>
        <v>1.1426677937957317</v>
      </c>
      <c r="G183" s="200">
        <f t="shared" si="130"/>
        <v>1.7317617009901864E-2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2.791747767193117</v>
      </c>
      <c r="C184" s="11">
        <v>2.9557989792061425</v>
      </c>
      <c r="D184" s="11">
        <f t="shared" si="128"/>
        <v>0.16405121201302553</v>
      </c>
      <c r="E184" s="11">
        <v>1.7203471575192832</v>
      </c>
      <c r="F184" s="11">
        <f t="shared" si="129"/>
        <v>1.8843983695323088</v>
      </c>
      <c r="G184" s="200">
        <f t="shared" si="130"/>
        <v>3.2523955991944575E-2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0.8929047094704996</v>
      </c>
      <c r="C185" s="11">
        <v>0.90518082476026718</v>
      </c>
      <c r="D185" s="11">
        <f t="shared" si="128"/>
        <v>1.2276115289767575E-2</v>
      </c>
      <c r="E185" s="11">
        <v>0.39747805720828883</v>
      </c>
      <c r="F185" s="11">
        <f t="shared" si="129"/>
        <v>0.4097541724980564</v>
      </c>
      <c r="G185" s="200">
        <f>IF(B185&gt;0,(1+(E185/B185))^(1/($C$6-$B$6))-1,0)</f>
        <v>2.4851393698980706E-2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4.2077584234590555</v>
      </c>
      <c r="C186" s="11">
        <v>5.1173798094819887</v>
      </c>
      <c r="D186" s="11">
        <f t="shared" si="128"/>
        <v>0.90962138602293319</v>
      </c>
      <c r="E186" s="11">
        <v>2.0336089000181783</v>
      </c>
      <c r="F186" s="11">
        <f t="shared" si="129"/>
        <v>2.9432302860411115</v>
      </c>
      <c r="G186" s="200">
        <f t="shared" ref="G186:G205" si="131">IF(B186&gt;0,(1+(E186/B186))^(1/($C$6-$B$6))-1,0)</f>
        <v>2.6633101447595564E-2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1.6831931149646644</v>
      </c>
      <c r="C187" s="11">
        <v>1.128409689770814</v>
      </c>
      <c r="D187" s="11">
        <f t="shared" si="128"/>
        <v>-0.55478342519385038</v>
      </c>
      <c r="E187" s="11">
        <v>0.44209562273838054</v>
      </c>
      <c r="F187" s="11">
        <f t="shared" si="129"/>
        <v>-0.11268780245546983</v>
      </c>
      <c r="G187" s="200">
        <f t="shared" si="131"/>
        <v>1.5669161592015035E-2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1.9783046826406447</v>
      </c>
      <c r="C188" s="11">
        <v>2.1319502154555372</v>
      </c>
      <c r="D188" s="11">
        <f t="shared" si="128"/>
        <v>0.15364553281489246</v>
      </c>
      <c r="E188" s="11">
        <v>1.1915231449270074</v>
      </c>
      <c r="F188" s="11">
        <f t="shared" si="129"/>
        <v>1.3451686777418999</v>
      </c>
      <c r="G188" s="200">
        <f t="shared" si="131"/>
        <v>3.1928244810355277E-2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0.8830557130197928</v>
      </c>
      <c r="C189" s="11">
        <v>1.1081402230370567</v>
      </c>
      <c r="D189" s="11">
        <f t="shared" si="128"/>
        <v>0.22508451001726393</v>
      </c>
      <c r="E189" s="11">
        <v>0.27100341130694028</v>
      </c>
      <c r="F189" s="11">
        <f t="shared" si="129"/>
        <v>0.49608792132420421</v>
      </c>
      <c r="G189" s="200">
        <f t="shared" si="131"/>
        <v>1.8003638631441499E-2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1.3358395018838547</v>
      </c>
      <c r="C190" s="11">
        <v>1.407884374639099</v>
      </c>
      <c r="D190" s="11">
        <f t="shared" si="128"/>
        <v>7.2044872755244294E-2</v>
      </c>
      <c r="E190" s="11">
        <v>0.52265067433821477</v>
      </c>
      <c r="F190" s="11">
        <f t="shared" ref="F190:F191" si="132">SUM(D190:E190)</f>
        <v>0.59469554709345906</v>
      </c>
      <c r="G190" s="200">
        <f t="shared" si="131"/>
        <v>2.2257720494639255E-2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5.6343764426471505</v>
      </c>
      <c r="C191" s="11">
        <v>5.080619845731273</v>
      </c>
      <c r="D191" s="11">
        <f t="shared" si="128"/>
        <v>-0.55375659691587753</v>
      </c>
      <c r="E191" s="11">
        <v>2.1879637658176847</v>
      </c>
      <c r="F191" s="11">
        <f t="shared" si="132"/>
        <v>1.6342071689018072</v>
      </c>
      <c r="G191" s="200">
        <f t="shared" si="131"/>
        <v>2.2114123505071914E-2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9.9112151775198516</v>
      </c>
      <c r="C192" s="11">
        <v>7.8742772648958068</v>
      </c>
      <c r="D192" s="11">
        <f t="shared" si="128"/>
        <v>-2.0369379126240448</v>
      </c>
      <c r="E192" s="11">
        <v>4.0255025903586343</v>
      </c>
      <c r="F192" s="11">
        <f t="shared" ref="F192:F195" si="133">SUM(D192:E192)</f>
        <v>1.9885646777345896</v>
      </c>
      <c r="G192" s="200">
        <f t="shared" si="131"/>
        <v>2.2984154306701532E-2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1.7795463417217814</v>
      </c>
      <c r="C193" s="11">
        <v>0.68443801443482111</v>
      </c>
      <c r="D193" s="11">
        <f t="shared" si="128"/>
        <v>-1.0951083272869604</v>
      </c>
      <c r="E193" s="11">
        <v>0.73101462619321322</v>
      </c>
      <c r="F193" s="11">
        <f t="shared" si="133"/>
        <v>-0.36409370109374717</v>
      </c>
      <c r="G193" s="200">
        <f t="shared" si="131"/>
        <v>2.3208402860494193E-2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0.42666535905657843</v>
      </c>
      <c r="C194" s="11">
        <v>0.49268541335930094</v>
      </c>
      <c r="D194" s="11">
        <f t="shared" si="128"/>
        <v>6.6020054302722508E-2</v>
      </c>
      <c r="E194" s="11">
        <v>0.24030875630046547</v>
      </c>
      <c r="F194" s="11">
        <f t="shared" si="133"/>
        <v>0.30632881060318795</v>
      </c>
      <c r="G194" s="200">
        <f t="shared" si="131"/>
        <v>3.0231377748463073E-2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9.8620255021604315</v>
      </c>
      <c r="C195" s="11">
        <v>9.3752267748879579</v>
      </c>
      <c r="D195" s="11">
        <f t="shared" si="128"/>
        <v>-0.48679872727247364</v>
      </c>
      <c r="E195" s="11">
        <v>3.3827636346561105</v>
      </c>
      <c r="F195" s="11">
        <f t="shared" si="133"/>
        <v>2.8959649073836369</v>
      </c>
      <c r="G195" s="200">
        <f t="shared" si="131"/>
        <v>1.9855389160712056E-2</v>
      </c>
      <c r="I195" s="82"/>
      <c r="J195" s="73"/>
    </row>
    <row r="196" spans="1:14" x14ac:dyDescent="0.3">
      <c r="A196" t="str">
        <f t="shared" si="127"/>
        <v>53 Skilled construction and building trades</v>
      </c>
      <c r="B196" s="11">
        <v>5.6663392976927263</v>
      </c>
      <c r="C196" s="11">
        <v>5.2849316992930149</v>
      </c>
      <c r="D196" s="11">
        <f t="shared" si="128"/>
        <v>-0.38140759839971139</v>
      </c>
      <c r="E196" s="11">
        <v>2.1674821892004887</v>
      </c>
      <c r="F196" s="11">
        <f t="shared" ref="F196" si="134">SUM(D196:E196)</f>
        <v>1.7860745908007774</v>
      </c>
      <c r="G196" s="200">
        <f t="shared" si="131"/>
        <v>2.1828644628102634E-2</v>
      </c>
    </row>
    <row r="197" spans="1:14" x14ac:dyDescent="0.3">
      <c r="A197" t="str">
        <f t="shared" si="127"/>
        <v>54 Textiles, printing and other skilled trades</v>
      </c>
      <c r="B197" s="11">
        <v>2.0179638448785147</v>
      </c>
      <c r="C197" s="11">
        <v>2.1982206874186168</v>
      </c>
      <c r="D197" s="11">
        <f t="shared" si="128"/>
        <v>0.1802568425401021</v>
      </c>
      <c r="E197" s="11">
        <v>0.87375186731105892</v>
      </c>
      <c r="F197" s="11">
        <f t="shared" ref="F197" si="135">SUM(D197:E197)</f>
        <v>1.054008709851161</v>
      </c>
      <c r="G197" s="200">
        <f t="shared" si="131"/>
        <v>2.427399715296974E-2</v>
      </c>
    </row>
    <row r="198" spans="1:14" x14ac:dyDescent="0.3">
      <c r="A198" t="str">
        <f t="shared" si="127"/>
        <v>61 Caring personal service occupations</v>
      </c>
      <c r="B198" s="11">
        <v>14.460474639671544</v>
      </c>
      <c r="C198" s="11">
        <v>17.741942391267614</v>
      </c>
      <c r="D198" s="11">
        <f>C198-B198</f>
        <v>3.28146775159607</v>
      </c>
      <c r="E198" s="11">
        <v>9.2843677634169417</v>
      </c>
      <c r="F198" s="11">
        <f>SUM(D198:E198)</f>
        <v>12.565835515013012</v>
      </c>
      <c r="G198" s="200">
        <f t="shared" si="131"/>
        <v>3.3615744860321817E-2</v>
      </c>
    </row>
    <row r="199" spans="1:14" x14ac:dyDescent="0.3">
      <c r="A199" t="str">
        <f t="shared" si="127"/>
        <v>62 Leisure, travel and related personal service occupations</v>
      </c>
      <c r="B199" s="11">
        <v>2.1838987244933259</v>
      </c>
      <c r="C199" s="11">
        <v>2.0245427211055582</v>
      </c>
      <c r="D199" s="11">
        <f t="shared" ref="D199:D205" si="136">C199-B199</f>
        <v>-0.15935600338776768</v>
      </c>
      <c r="E199" s="11">
        <v>0.95534766673138516</v>
      </c>
      <c r="F199" s="11">
        <f t="shared" ref="F199:F200" si="137">SUM(D199:E199)</f>
        <v>0.79599166334361748</v>
      </c>
      <c r="G199" s="200">
        <f t="shared" si="131"/>
        <v>2.4486391494974891E-2</v>
      </c>
    </row>
    <row r="200" spans="1:14" x14ac:dyDescent="0.3">
      <c r="A200" t="str">
        <f t="shared" si="127"/>
        <v>63 Community and civil enforcement occupations</v>
      </c>
      <c r="B200" s="11">
        <v>7.2364790208030216E-2</v>
      </c>
      <c r="C200" s="11">
        <v>5.9921066290220086E-2</v>
      </c>
      <c r="D200" s="11">
        <f t="shared" si="136"/>
        <v>-1.244372391781013E-2</v>
      </c>
      <c r="E200" s="11">
        <v>2.0706248194531131E-2</v>
      </c>
      <c r="F200" s="11">
        <f t="shared" si="137"/>
        <v>8.2625242767210005E-3</v>
      </c>
      <c r="G200" s="200">
        <f t="shared" si="131"/>
        <v>1.6917724052159189E-2</v>
      </c>
    </row>
    <row r="201" spans="1:14" x14ac:dyDescent="0.3">
      <c r="A201" t="str">
        <f t="shared" si="127"/>
        <v>71 Sales occupations</v>
      </c>
      <c r="B201" s="11">
        <v>7.7432089335941949</v>
      </c>
      <c r="C201" s="11">
        <v>7.6039825602351527</v>
      </c>
      <c r="D201" s="11">
        <f t="shared" si="136"/>
        <v>-0.1392263733590422</v>
      </c>
      <c r="E201" s="11">
        <v>3.3593448309647274</v>
      </c>
      <c r="F201" s="11">
        <f t="shared" ref="F201:F202" si="138">SUM(D201:E201)</f>
        <v>3.2201184576056852</v>
      </c>
      <c r="G201" s="200">
        <f t="shared" si="131"/>
        <v>2.4314830007716282E-2</v>
      </c>
    </row>
    <row r="202" spans="1:14" x14ac:dyDescent="0.3">
      <c r="A202" t="str">
        <f t="shared" si="127"/>
        <v>72 Customer service occupations</v>
      </c>
      <c r="B202" s="11">
        <v>2.2175479361852179</v>
      </c>
      <c r="C202" s="11">
        <v>3.2176767790093974</v>
      </c>
      <c r="D202" s="11">
        <f t="shared" si="136"/>
        <v>1.0001288428241795</v>
      </c>
      <c r="E202" s="11">
        <v>1.2312166055265648</v>
      </c>
      <c r="F202" s="11">
        <f t="shared" si="138"/>
        <v>2.2313454483507442</v>
      </c>
      <c r="G202" s="200">
        <f t="shared" si="131"/>
        <v>2.987860292546296E-2</v>
      </c>
    </row>
    <row r="203" spans="1:14" x14ac:dyDescent="0.3">
      <c r="A203" t="str">
        <f t="shared" si="127"/>
        <v>81 Process, plant and machine operatives</v>
      </c>
      <c r="B203" s="11">
        <v>4.3104308458548575</v>
      </c>
      <c r="C203" s="11">
        <v>6.9257902293673537</v>
      </c>
      <c r="D203" s="11">
        <f t="shared" si="136"/>
        <v>2.6153593835124962</v>
      </c>
      <c r="E203" s="11">
        <v>2.2903148807652971</v>
      </c>
      <c r="F203" s="11">
        <f t="shared" ref="F203:F204" si="139">SUM(D203:E203)</f>
        <v>4.9056742642777937</v>
      </c>
      <c r="G203" s="200">
        <f t="shared" si="131"/>
        <v>2.8817054261158992E-2</v>
      </c>
    </row>
    <row r="204" spans="1:14" x14ac:dyDescent="0.3">
      <c r="A204" t="str">
        <f t="shared" si="127"/>
        <v>82 Transport and mobile machine drivers and operatives</v>
      </c>
      <c r="B204" s="11">
        <v>4.0544522946228883</v>
      </c>
      <c r="C204" s="11">
        <v>5.9865708174475811</v>
      </c>
      <c r="D204" s="11">
        <f t="shared" si="136"/>
        <v>1.9321185228246929</v>
      </c>
      <c r="E204" s="11">
        <v>2.6714139449547423</v>
      </c>
      <c r="F204" s="11">
        <f t="shared" si="139"/>
        <v>4.6035324677794351</v>
      </c>
      <c r="G204" s="200">
        <f t="shared" si="131"/>
        <v>3.4318760698398565E-2</v>
      </c>
    </row>
    <row r="205" spans="1:14" x14ac:dyDescent="0.3">
      <c r="A205" t="str">
        <f t="shared" si="127"/>
        <v>91 Elementary trades and related occupations</v>
      </c>
      <c r="B205" s="11">
        <v>1.1432327594319696</v>
      </c>
      <c r="C205" s="11">
        <v>1.403770377266927</v>
      </c>
      <c r="D205" s="11">
        <f t="shared" si="136"/>
        <v>0.26053761783495744</v>
      </c>
      <c r="E205" s="11">
        <v>0.43625822992947322</v>
      </c>
      <c r="F205" s="11">
        <f t="shared" ref="F205" si="140">SUM(D205:E205)</f>
        <v>0.69679584776443071</v>
      </c>
      <c r="G205" s="200">
        <f t="shared" si="131"/>
        <v>2.1783376447528813E-2</v>
      </c>
    </row>
    <row r="206" spans="1:14" x14ac:dyDescent="0.3">
      <c r="A206" t="str">
        <f t="shared" si="127"/>
        <v>92 Elementary administration and service occupations</v>
      </c>
      <c r="B206" s="11">
        <v>6.1980080672476934</v>
      </c>
      <c r="C206" s="11">
        <v>6.0618347736317171</v>
      </c>
      <c r="D206" s="11">
        <f t="shared" ref="D206" si="141">C206-B206</f>
        <v>-0.1361732936159763</v>
      </c>
      <c r="E206" s="11">
        <v>3.0683826641236145</v>
      </c>
      <c r="F206" s="11">
        <f t="shared" ref="F206" si="142">SUM(D206:E206)</f>
        <v>2.9322093705076382</v>
      </c>
      <c r="G206" s="200">
        <f t="shared" ref="G206:G207" si="143">IF(B206&gt;0,(1+(E206/B206))^(1/($C$6-$B$6))-1,0)</f>
        <v>2.7173716626039734E-2</v>
      </c>
    </row>
    <row r="207" spans="1:14" x14ac:dyDescent="0.3">
      <c r="A207" t="str">
        <f t="shared" si="127"/>
        <v>All occupations</v>
      </c>
      <c r="B207" s="11">
        <f>SUM(B181:B206)</f>
        <v>104.45386297689159</v>
      </c>
      <c r="C207" s="11">
        <f t="shared" ref="C207:F207" si="144">SUM(C181:C206)</f>
        <v>110.33205707401437</v>
      </c>
      <c r="D207" s="11">
        <f t="shared" si="144"/>
        <v>5.8781940971227717</v>
      </c>
      <c r="E207" s="11">
        <f t="shared" si="144"/>
        <v>48.792422655956983</v>
      </c>
      <c r="F207" s="11">
        <f t="shared" si="144"/>
        <v>54.670616753079756</v>
      </c>
      <c r="G207" s="200">
        <f t="shared" si="143"/>
        <v>2.5882677772982587E-2</v>
      </c>
    </row>
    <row r="209" spans="1:7" ht="25.5" x14ac:dyDescent="0.3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5.0708515929233204</v>
      </c>
      <c r="C210" s="11">
        <v>4.0010076369637568</v>
      </c>
      <c r="D210" s="11">
        <f>C210-B210</f>
        <v>-1.0698439559595636</v>
      </c>
      <c r="E210" s="11">
        <v>2.1566676184579943</v>
      </c>
      <c r="F210" s="11">
        <f>SUM(D210:E210)</f>
        <v>1.0868236624984307</v>
      </c>
      <c r="G210" s="200">
        <f>IF(B210&gt;0,(1+(E210/B210))^(1/($C$6-$B$6))-1,0)</f>
        <v>2.3907105786632021E-2</v>
      </c>
    </row>
    <row r="211" spans="1:7" x14ac:dyDescent="0.3">
      <c r="A211" t="str">
        <f t="shared" si="146"/>
        <v>12 Other managers and proprietors</v>
      </c>
      <c r="B211" s="11">
        <v>2.5186952239648499</v>
      </c>
      <c r="C211" s="11">
        <v>3.0735866225709478</v>
      </c>
      <c r="D211" s="11">
        <f t="shared" ref="D211:D226" si="147">C211-B211</f>
        <v>0.55489139860609793</v>
      </c>
      <c r="E211" s="11">
        <v>1.8032913793125935</v>
      </c>
      <c r="F211" s="11">
        <f t="shared" ref="F211:F218" si="148">SUM(D211:E211)</f>
        <v>2.3581827779186915</v>
      </c>
      <c r="G211" s="200">
        <f t="shared" ref="G211:G213" si="149">IF(B211&gt;0,(1+(E211/B211))^(1/($C$6-$B$6))-1,0)</f>
        <v>3.6654060628475094E-2</v>
      </c>
    </row>
    <row r="212" spans="1:7" x14ac:dyDescent="0.3">
      <c r="A212" t="str">
        <f t="shared" si="146"/>
        <v>21 Science, research, engineering and technology professionals</v>
      </c>
      <c r="B212" s="11">
        <v>2.8178686666048871</v>
      </c>
      <c r="C212" s="11">
        <v>2.4220071185685641</v>
      </c>
      <c r="D212" s="11">
        <f t="shared" si="147"/>
        <v>-0.39586154803632301</v>
      </c>
      <c r="E212" s="11">
        <v>0.92634366403316037</v>
      </c>
      <c r="F212" s="11">
        <f t="shared" si="148"/>
        <v>0.53048211599683737</v>
      </c>
      <c r="G212" s="200">
        <f t="shared" si="149"/>
        <v>1.9129363360761431E-2</v>
      </c>
    </row>
    <row r="213" spans="1:7" x14ac:dyDescent="0.3">
      <c r="A213" t="str">
        <f t="shared" si="146"/>
        <v>22 Health professionals</v>
      </c>
      <c r="B213" s="11">
        <v>2.0069135379067085</v>
      </c>
      <c r="C213" s="11">
        <v>1.7742197364447445</v>
      </c>
      <c r="D213" s="11">
        <f t="shared" si="147"/>
        <v>-0.23269380146196394</v>
      </c>
      <c r="E213" s="11">
        <v>1.0824934998231457</v>
      </c>
      <c r="F213" s="11">
        <f t="shared" si="148"/>
        <v>0.84979969836118174</v>
      </c>
      <c r="G213" s="200">
        <f t="shared" si="149"/>
        <v>2.9176271403222209E-2</v>
      </c>
    </row>
    <row r="214" spans="1:7" x14ac:dyDescent="0.3">
      <c r="A214" t="str">
        <f t="shared" si="146"/>
        <v>23 Teaching and other educational professionals</v>
      </c>
      <c r="B214" s="11">
        <v>0.69471857059087339</v>
      </c>
      <c r="C214" s="11">
        <v>0.53007122987866384</v>
      </c>
      <c r="D214" s="11">
        <f t="shared" si="147"/>
        <v>-0.16464734071220954</v>
      </c>
      <c r="E214" s="11">
        <v>0.33320699390189285</v>
      </c>
      <c r="F214" s="11">
        <f t="shared" si="148"/>
        <v>0.1685596531896833</v>
      </c>
      <c r="G214" s="200">
        <f>IF(B214&gt;0,(1+(E214/B214))^(1/($C$6-$B$6))-1,0)</f>
        <v>2.6463515006464267E-2</v>
      </c>
    </row>
    <row r="215" spans="1:7" x14ac:dyDescent="0.3">
      <c r="A215" t="str">
        <f t="shared" si="146"/>
        <v>24 Business, media and public service professionals</v>
      </c>
      <c r="B215" s="11">
        <v>2.6501166859957737</v>
      </c>
      <c r="C215" s="11">
        <v>2.3609562777271003</v>
      </c>
      <c r="D215" s="11">
        <f t="shared" si="147"/>
        <v>-0.2891604082686734</v>
      </c>
      <c r="E215" s="11">
        <v>1.1385525432333676</v>
      </c>
      <c r="F215" s="11">
        <f t="shared" si="148"/>
        <v>0.84939213496469423</v>
      </c>
      <c r="G215" s="200">
        <f t="shared" ref="G215:G234" si="150">IF(B215&gt;0,(1+(E215/B215))^(1/($C$6-$B$6))-1,0)</f>
        <v>2.4113551500666519E-2</v>
      </c>
    </row>
    <row r="216" spans="1:7" x14ac:dyDescent="0.3">
      <c r="A216" t="str">
        <f t="shared" si="146"/>
        <v>31 Science, engineering and technology associate professionals</v>
      </c>
      <c r="B216" s="11">
        <v>1.3714863979673269</v>
      </c>
      <c r="C216" s="11">
        <v>1.0998394315701208</v>
      </c>
      <c r="D216" s="11">
        <f t="shared" si="147"/>
        <v>-0.27164696639720609</v>
      </c>
      <c r="E216" s="11">
        <v>0.45152892902472408</v>
      </c>
      <c r="F216" s="11">
        <f t="shared" si="148"/>
        <v>0.17988196262751799</v>
      </c>
      <c r="G216" s="200">
        <f t="shared" si="150"/>
        <v>1.9154252670341876E-2</v>
      </c>
    </row>
    <row r="217" spans="1:7" x14ac:dyDescent="0.3">
      <c r="A217" t="str">
        <f t="shared" si="146"/>
        <v>32 Health and social care associate professionals</v>
      </c>
      <c r="B217" s="11">
        <v>1.3982287088146053</v>
      </c>
      <c r="C217" s="11">
        <v>1.1184581442456263</v>
      </c>
      <c r="D217" s="11">
        <f t="shared" si="147"/>
        <v>-0.27977056456897897</v>
      </c>
      <c r="E217" s="11">
        <v>0.71968924056584638</v>
      </c>
      <c r="F217" s="11">
        <f t="shared" si="148"/>
        <v>0.4399186759968674</v>
      </c>
      <c r="G217" s="200">
        <f t="shared" si="150"/>
        <v>2.8068520106649064E-2</v>
      </c>
    </row>
    <row r="218" spans="1:7" x14ac:dyDescent="0.3">
      <c r="A218" t="str">
        <f t="shared" si="146"/>
        <v>33 Protective service occupations</v>
      </c>
      <c r="B218" s="11">
        <v>1.0816361819894651</v>
      </c>
      <c r="C218" s="11">
        <v>1.1964280891169117</v>
      </c>
      <c r="D218" s="11">
        <f t="shared" si="147"/>
        <v>0.11479190712744658</v>
      </c>
      <c r="E218" s="11">
        <v>0.38715389307299092</v>
      </c>
      <c r="F218" s="11">
        <f t="shared" si="148"/>
        <v>0.50194580020043755</v>
      </c>
      <c r="G218" s="200">
        <f t="shared" si="150"/>
        <v>2.0607059918829274E-2</v>
      </c>
    </row>
    <row r="219" spans="1:7" x14ac:dyDescent="0.3">
      <c r="A219" t="str">
        <f t="shared" si="146"/>
        <v>34 Culture, media and sports occupations</v>
      </c>
      <c r="B219" s="11">
        <v>0.56955219620906328</v>
      </c>
      <c r="C219" s="11">
        <v>0.34329359563636797</v>
      </c>
      <c r="D219" s="11">
        <f t="shared" si="147"/>
        <v>-0.22625860057269531</v>
      </c>
      <c r="E219" s="11">
        <v>0.16885768348001801</v>
      </c>
      <c r="F219" s="11">
        <f t="shared" ref="F219:F220" si="151">SUM(D219:E219)</f>
        <v>-5.7400917092677306E-2</v>
      </c>
      <c r="G219" s="200">
        <f t="shared" si="150"/>
        <v>1.7460593433055172E-2</v>
      </c>
    </row>
    <row r="220" spans="1:7" x14ac:dyDescent="0.3">
      <c r="A220" t="str">
        <f t="shared" si="146"/>
        <v>35 Business and public service associate professionals</v>
      </c>
      <c r="B220" s="11">
        <v>4.4367425130193014</v>
      </c>
      <c r="C220" s="11">
        <v>3.4320132319407879</v>
      </c>
      <c r="D220" s="11">
        <f t="shared" si="147"/>
        <v>-1.0047292810785136</v>
      </c>
      <c r="E220" s="11">
        <v>1.6348367196035041</v>
      </c>
      <c r="F220" s="11">
        <f t="shared" si="151"/>
        <v>0.63010743852499052</v>
      </c>
      <c r="G220" s="200">
        <f t="shared" si="150"/>
        <v>2.1133433997344353E-2</v>
      </c>
    </row>
    <row r="221" spans="1:7" x14ac:dyDescent="0.3">
      <c r="A221" t="str">
        <f t="shared" si="146"/>
        <v>41 Administrative occupations</v>
      </c>
      <c r="B221" s="11">
        <v>11.401931318881392</v>
      </c>
      <c r="C221" s="11">
        <v>7.6736150087425194</v>
      </c>
      <c r="D221" s="11">
        <f t="shared" si="147"/>
        <v>-3.7283163101388723</v>
      </c>
      <c r="E221" s="11">
        <v>4.3686181525236059</v>
      </c>
      <c r="F221" s="11">
        <f t="shared" ref="F221:F224" si="152">SUM(D221:E221)</f>
        <v>0.64030184238473353</v>
      </c>
      <c r="G221" s="200">
        <f t="shared" si="150"/>
        <v>2.1859594441421715E-2</v>
      </c>
    </row>
    <row r="222" spans="1:7" x14ac:dyDescent="0.3">
      <c r="A222" t="str">
        <f t="shared" si="146"/>
        <v>42 Secretarial and related occupations</v>
      </c>
      <c r="B222" s="11">
        <v>2.0327402399299297</v>
      </c>
      <c r="C222" s="11">
        <v>0.4822094592268516</v>
      </c>
      <c r="D222" s="11">
        <f t="shared" si="147"/>
        <v>-1.5505307807030781</v>
      </c>
      <c r="E222" s="11">
        <v>0.6263982959386194</v>
      </c>
      <c r="F222" s="11">
        <f t="shared" si="152"/>
        <v>-0.92413248476445875</v>
      </c>
      <c r="G222" s="200">
        <f t="shared" si="150"/>
        <v>1.8069137105427791E-2</v>
      </c>
    </row>
    <row r="223" spans="1:7" x14ac:dyDescent="0.3">
      <c r="A223" t="str">
        <f t="shared" si="146"/>
        <v>51 Skilled agricultural and related trades</v>
      </c>
      <c r="B223" s="11">
        <v>0.76172764556322814</v>
      </c>
      <c r="C223" s="11">
        <v>0.73981035517954241</v>
      </c>
      <c r="D223" s="11">
        <f t="shared" si="147"/>
        <v>-2.1917290383685728E-2</v>
      </c>
      <c r="E223" s="11">
        <v>0.43291206883796352</v>
      </c>
      <c r="F223" s="11">
        <f t="shared" si="152"/>
        <v>0.41099477845427779</v>
      </c>
      <c r="G223" s="200">
        <f t="shared" si="150"/>
        <v>3.045527954989069E-2</v>
      </c>
    </row>
    <row r="224" spans="1:7" x14ac:dyDescent="0.3">
      <c r="A224" t="str">
        <f t="shared" si="146"/>
        <v>52 Skilled metal, electrical and electronic trades</v>
      </c>
      <c r="B224" s="11">
        <v>5.7055909426220586</v>
      </c>
      <c r="C224" s="11">
        <v>4.7298831009288369</v>
      </c>
      <c r="D224" s="11">
        <f t="shared" si="147"/>
        <v>-0.97570784169322167</v>
      </c>
      <c r="E224" s="11">
        <v>2.0152677374302042</v>
      </c>
      <c r="F224" s="11">
        <f t="shared" si="152"/>
        <v>1.0395598957369825</v>
      </c>
      <c r="G224" s="200">
        <f t="shared" si="150"/>
        <v>2.0369960908549256E-2</v>
      </c>
    </row>
    <row r="225" spans="1:7" x14ac:dyDescent="0.3">
      <c r="A225" t="str">
        <f t="shared" si="146"/>
        <v>53 Skilled construction and building trades</v>
      </c>
      <c r="B225" s="11">
        <v>5.5840886683597173</v>
      </c>
      <c r="C225" s="11">
        <v>6.0292212017400342</v>
      </c>
      <c r="D225" s="11">
        <f t="shared" si="147"/>
        <v>0.44513253338031689</v>
      </c>
      <c r="E225" s="11">
        <v>2.8566857518852351</v>
      </c>
      <c r="F225" s="11">
        <f t="shared" ref="F225" si="153">SUM(D225:E225)</f>
        <v>3.301818285265552</v>
      </c>
      <c r="G225" s="200">
        <f t="shared" si="150"/>
        <v>2.7926350585934401E-2</v>
      </c>
    </row>
    <row r="226" spans="1:7" x14ac:dyDescent="0.3">
      <c r="A226" t="str">
        <f t="shared" si="146"/>
        <v>54 Textiles, printing and other skilled trades</v>
      </c>
      <c r="B226" s="11">
        <v>2.0500579323759345</v>
      </c>
      <c r="C226" s="11">
        <v>1.7522548673602858</v>
      </c>
      <c r="D226" s="11">
        <f t="shared" si="147"/>
        <v>-0.29780306501564868</v>
      </c>
      <c r="E226" s="11">
        <v>0.77997673236249487</v>
      </c>
      <c r="F226" s="11">
        <f t="shared" ref="F226" si="154">SUM(D226:E226)</f>
        <v>0.48217366734684619</v>
      </c>
      <c r="G226" s="200">
        <f t="shared" si="150"/>
        <v>2.1727402969670795E-2</v>
      </c>
    </row>
    <row r="227" spans="1:7" x14ac:dyDescent="0.3">
      <c r="A227" t="str">
        <f t="shared" si="146"/>
        <v>61 Caring personal service occupations</v>
      </c>
      <c r="B227" s="11">
        <v>9.9932385526142564</v>
      </c>
      <c r="C227" s="11">
        <v>8.7775091807280514</v>
      </c>
      <c r="D227" s="11">
        <f>C227-B227</f>
        <v>-1.215729371886205</v>
      </c>
      <c r="E227" s="11">
        <v>5.2110966385991473</v>
      </c>
      <c r="F227" s="11">
        <f>SUM(D227:E227)</f>
        <v>3.9953672667129423</v>
      </c>
      <c r="G227" s="200">
        <f t="shared" si="150"/>
        <v>2.837318868802674E-2</v>
      </c>
    </row>
    <row r="228" spans="1:7" x14ac:dyDescent="0.3">
      <c r="A228" t="str">
        <f t="shared" si="146"/>
        <v>62 Leisure, travel and related personal service occupations</v>
      </c>
      <c r="B228" s="11">
        <v>2.3202267500962215</v>
      </c>
      <c r="C228" s="11">
        <v>1.895700523068389</v>
      </c>
      <c r="D228" s="11">
        <f t="shared" ref="D228:D234" si="155">C228-B228</f>
        <v>-0.42452622702783249</v>
      </c>
      <c r="E228" s="11">
        <v>1.0743708375655978</v>
      </c>
      <c r="F228" s="11">
        <f t="shared" ref="F228:F229" si="156">SUM(D228:E228)</f>
        <v>0.64984461053776532</v>
      </c>
      <c r="G228" s="200">
        <f t="shared" si="150"/>
        <v>2.5692526785505931E-2</v>
      </c>
    </row>
    <row r="229" spans="1:7" x14ac:dyDescent="0.3">
      <c r="A229" t="str">
        <f t="shared" si="146"/>
        <v>63 Community and civil enforcement occupations</v>
      </c>
      <c r="B229" s="11">
        <v>0.11495203119717823</v>
      </c>
      <c r="C229" s="11">
        <v>0.10195992228595738</v>
      </c>
      <c r="D229" s="11">
        <f t="shared" si="155"/>
        <v>-1.2992108911220851E-2</v>
      </c>
      <c r="E229" s="11">
        <v>4.5317467839477765E-2</v>
      </c>
      <c r="F229" s="11">
        <f t="shared" si="156"/>
        <v>3.2325358928256914E-2</v>
      </c>
      <c r="G229" s="200">
        <f t="shared" si="150"/>
        <v>2.2403392759426044E-2</v>
      </c>
    </row>
    <row r="230" spans="1:7" x14ac:dyDescent="0.3">
      <c r="A230" t="str">
        <f t="shared" si="146"/>
        <v>71 Sales occupations</v>
      </c>
      <c r="B230" s="11">
        <v>7.458609023369581</v>
      </c>
      <c r="C230" s="11">
        <v>5.5503529925703097</v>
      </c>
      <c r="D230" s="11">
        <f t="shared" si="155"/>
        <v>-1.9082560307992713</v>
      </c>
      <c r="E230" s="11">
        <v>3.1315507913997083</v>
      </c>
      <c r="F230" s="11">
        <f t="shared" ref="F230:F231" si="157">SUM(D230:E230)</f>
        <v>1.223294760600437</v>
      </c>
      <c r="G230" s="200">
        <f t="shared" si="150"/>
        <v>2.3645648952011156E-2</v>
      </c>
    </row>
    <row r="231" spans="1:7" x14ac:dyDescent="0.3">
      <c r="A231" t="str">
        <f t="shared" si="146"/>
        <v>72 Customer service occupations</v>
      </c>
      <c r="B231" s="11">
        <v>2.2175320337037028</v>
      </c>
      <c r="C231" s="11">
        <v>2.784669203612133</v>
      </c>
      <c r="D231" s="11">
        <f t="shared" si="155"/>
        <v>0.56713716990843022</v>
      </c>
      <c r="E231" s="11">
        <v>1.3505821624721082</v>
      </c>
      <c r="F231" s="11">
        <f t="shared" si="157"/>
        <v>1.9177193323805384</v>
      </c>
      <c r="G231" s="200">
        <f t="shared" si="150"/>
        <v>3.2217591446718874E-2</v>
      </c>
    </row>
    <row r="232" spans="1:7" x14ac:dyDescent="0.3">
      <c r="A232" t="str">
        <f t="shared" si="146"/>
        <v>81 Process, plant and machine operatives</v>
      </c>
      <c r="B232" s="11">
        <v>5.425332899218791</v>
      </c>
      <c r="C232" s="11">
        <v>7.3973384178338009</v>
      </c>
      <c r="D232" s="11">
        <f t="shared" si="155"/>
        <v>1.9720055186150098</v>
      </c>
      <c r="E232" s="11">
        <v>3.0448039656334642</v>
      </c>
      <c r="F232" s="11">
        <f t="shared" ref="F232:F233" si="158">SUM(D232:E232)</f>
        <v>5.0168094842484745</v>
      </c>
      <c r="G232" s="200">
        <f t="shared" si="150"/>
        <v>3.0143205514357563E-2</v>
      </c>
    </row>
    <row r="233" spans="1:7" x14ac:dyDescent="0.3">
      <c r="A233" t="str">
        <f t="shared" si="146"/>
        <v>82 Transport and mobile machine drivers and operatives</v>
      </c>
      <c r="B233" s="11">
        <v>6.5373099863731792</v>
      </c>
      <c r="C233" s="11">
        <v>8.8342250336914052</v>
      </c>
      <c r="D233" s="11">
        <f t="shared" si="155"/>
        <v>2.296915047318226</v>
      </c>
      <c r="E233" s="11">
        <v>4.7272830886467538</v>
      </c>
      <c r="F233" s="11">
        <f t="shared" si="158"/>
        <v>7.0241981359649799</v>
      </c>
      <c r="G233" s="200">
        <f t="shared" si="150"/>
        <v>3.6941912190759485E-2</v>
      </c>
    </row>
    <row r="234" spans="1:7" x14ac:dyDescent="0.3">
      <c r="A234" t="str">
        <f t="shared" si="146"/>
        <v>91 Elementary trades and related occupations</v>
      </c>
      <c r="B234" s="11">
        <v>2.0691974214400166</v>
      </c>
      <c r="C234" s="11">
        <v>2.0242156902037078</v>
      </c>
      <c r="D234" s="11">
        <f t="shared" si="155"/>
        <v>-4.4981731236308775E-2</v>
      </c>
      <c r="E234" s="11">
        <v>0.79075953794800313</v>
      </c>
      <c r="F234" s="11">
        <f t="shared" ref="F234" si="159">SUM(D234:E234)</f>
        <v>0.74577780671169436</v>
      </c>
      <c r="G234" s="200">
        <f t="shared" si="150"/>
        <v>2.1810837530630067E-2</v>
      </c>
    </row>
    <row r="235" spans="1:7" x14ac:dyDescent="0.3">
      <c r="A235" t="str">
        <f t="shared" si="146"/>
        <v>92 Elementary administration and service occupations</v>
      </c>
      <c r="B235" s="11">
        <v>10.808411135853499</v>
      </c>
      <c r="C235" s="11">
        <v>11.28640428130298</v>
      </c>
      <c r="D235" s="11">
        <f t="shared" ref="D235" si="160">C235-B235</f>
        <v>0.47799314544948146</v>
      </c>
      <c r="E235" s="11">
        <v>5.9775456197920995</v>
      </c>
      <c r="F235" s="11">
        <f t="shared" ref="F235" si="161">SUM(D235:E235)</f>
        <v>6.455538765241581</v>
      </c>
      <c r="G235" s="200">
        <f t="shared" ref="G235:G236" si="162">IF(B235&gt;0,(1+(E235/B235))^(1/($C$6-$B$6))-1,0)</f>
        <v>2.9782758553201116E-2</v>
      </c>
    </row>
    <row r="236" spans="1:7" x14ac:dyDescent="0.3">
      <c r="A236" t="str">
        <f t="shared" si="146"/>
        <v>All occupations</v>
      </c>
      <c r="B236" s="11">
        <f>SUM(B210:B235)</f>
        <v>99.097756857584869</v>
      </c>
      <c r="C236" s="11">
        <f t="shared" ref="C236:F236" si="163">SUM(C210:C235)</f>
        <v>91.411250353138399</v>
      </c>
      <c r="D236" s="11">
        <f t="shared" si="163"/>
        <v>-7.6865065044464629</v>
      </c>
      <c r="E236" s="11">
        <f t="shared" si="163"/>
        <v>47.235791013383718</v>
      </c>
      <c r="F236" s="11">
        <f t="shared" si="163"/>
        <v>39.549284508937262</v>
      </c>
      <c r="G236" s="200">
        <f t="shared" si="162"/>
        <v>2.6326017685611713E-2</v>
      </c>
    </row>
    <row r="238" spans="1:7" ht="26" x14ac:dyDescent="0.3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3.8149208320877004</v>
      </c>
      <c r="C239" s="11">
        <v>2.2642948379315904</v>
      </c>
      <c r="D239" s="11">
        <f>C239-B239</f>
        <v>-1.55062599415611</v>
      </c>
      <c r="E239" s="11">
        <v>1.3028035697507563</v>
      </c>
      <c r="F239" s="11">
        <f>SUM(D239:E239)</f>
        <v>-0.24782242440535374</v>
      </c>
      <c r="G239" s="200">
        <f>IF(B239&gt;0,(1+(E239/B239))^(1/($C$6-$B$6))-1,0)</f>
        <v>1.9779062369945866E-2</v>
      </c>
    </row>
    <row r="240" spans="1:7" x14ac:dyDescent="0.3">
      <c r="A240" t="str">
        <f t="shared" si="165"/>
        <v>12 Other managers and proprietors</v>
      </c>
      <c r="B240" s="11">
        <v>1.5925012680852835</v>
      </c>
      <c r="C240" s="11">
        <v>1.1881508527163331</v>
      </c>
      <c r="D240" s="11">
        <f t="shared" ref="D240:D255" si="166">C240-B240</f>
        <v>-0.40435041536895033</v>
      </c>
      <c r="E240" s="11">
        <v>0.73462016679615283</v>
      </c>
      <c r="F240" s="11">
        <f t="shared" ref="F240:F247" si="167">SUM(D240:E240)</f>
        <v>0.3302697514272025</v>
      </c>
      <c r="G240" s="200">
        <f t="shared" ref="G240:G242" si="168">IF(B240&gt;0,(1+(E240/B240))^(1/($C$6-$B$6))-1,0)</f>
        <v>2.5610875219957085E-2</v>
      </c>
    </row>
    <row r="241" spans="1:7" x14ac:dyDescent="0.3">
      <c r="A241" t="str">
        <f t="shared" si="165"/>
        <v>21 Science, research, engineering and technology professionals</v>
      </c>
      <c r="B241" s="11">
        <v>1.6519689597028775</v>
      </c>
      <c r="C241" s="11">
        <v>0.9791838126276553</v>
      </c>
      <c r="D241" s="11">
        <f t="shared" si="166"/>
        <v>-0.67278514707522219</v>
      </c>
      <c r="E241" s="11">
        <v>0.40460567788324303</v>
      </c>
      <c r="F241" s="11">
        <f t="shared" si="167"/>
        <v>-0.26817946919197916</v>
      </c>
      <c r="G241" s="200">
        <f t="shared" si="168"/>
        <v>1.4712100815561957E-2</v>
      </c>
    </row>
    <row r="242" spans="1:7" x14ac:dyDescent="0.3">
      <c r="A242" t="str">
        <f t="shared" si="165"/>
        <v>22 Health professionals</v>
      </c>
      <c r="B242" s="11">
        <v>0.93874080174198105</v>
      </c>
      <c r="C242" s="11">
        <v>0.40717000694408517</v>
      </c>
      <c r="D242" s="11">
        <f t="shared" si="166"/>
        <v>-0.53157079479789582</v>
      </c>
      <c r="E242" s="11">
        <v>0.3029269560947781</v>
      </c>
      <c r="F242" s="11">
        <f t="shared" si="167"/>
        <v>-0.22864383870311772</v>
      </c>
      <c r="G242" s="200">
        <f t="shared" si="168"/>
        <v>1.8819653145344617E-2</v>
      </c>
    </row>
    <row r="243" spans="1:7" x14ac:dyDescent="0.3">
      <c r="A243" t="str">
        <f t="shared" si="165"/>
        <v>23 Teaching and other educational professionals</v>
      </c>
      <c r="B243" s="11">
        <v>0.46897455808995336</v>
      </c>
      <c r="C243" s="11">
        <v>0.23673994359572539</v>
      </c>
      <c r="D243" s="11">
        <f t="shared" si="166"/>
        <v>-0.23223461449422797</v>
      </c>
      <c r="E243" s="11">
        <v>0.16745070043577051</v>
      </c>
      <c r="F243" s="11">
        <f t="shared" si="167"/>
        <v>-6.4783914058457459E-2</v>
      </c>
      <c r="G243" s="200">
        <f>IF(B243&gt;0,(1+(E243/B243))^(1/($C$6-$B$6))-1,0)</f>
        <v>2.0563131207165242E-2</v>
      </c>
    </row>
    <row r="244" spans="1:7" x14ac:dyDescent="0.3">
      <c r="A244" t="str">
        <f t="shared" si="165"/>
        <v>24 Business, media and public service professionals</v>
      </c>
      <c r="B244" s="11">
        <v>1.682820210031621</v>
      </c>
      <c r="C244" s="11">
        <v>0.98306408580241111</v>
      </c>
      <c r="D244" s="11">
        <f t="shared" si="166"/>
        <v>-0.69975612422920985</v>
      </c>
      <c r="E244" s="11">
        <v>0.54046951539169463</v>
      </c>
      <c r="F244" s="11">
        <f t="shared" si="167"/>
        <v>-0.15928660883751522</v>
      </c>
      <c r="G244" s="200">
        <f t="shared" ref="G244:G263" si="169">IF(B244&gt;0,(1+(E244/B244))^(1/($C$6-$B$6))-1,0)</f>
        <v>1.8741244987993344E-2</v>
      </c>
    </row>
    <row r="245" spans="1:7" x14ac:dyDescent="0.3">
      <c r="A245" t="str">
        <f t="shared" si="165"/>
        <v>31 Science, engineering and technology associate professionals</v>
      </c>
      <c r="B245" s="11">
        <v>1.0625642589367763</v>
      </c>
      <c r="C245" s="11">
        <v>0.57920490330175967</v>
      </c>
      <c r="D245" s="11">
        <f t="shared" si="166"/>
        <v>-0.48335935563501664</v>
      </c>
      <c r="E245" s="11">
        <v>0.26179275777269334</v>
      </c>
      <c r="F245" s="11">
        <f t="shared" si="167"/>
        <v>-0.2215665978623233</v>
      </c>
      <c r="G245" s="200">
        <f>IF(B245&gt;0,(1+(E245/B245))^(1/($C$6-$B$6))-1,0)</f>
        <v>1.4791119937863195E-2</v>
      </c>
    </row>
    <row r="246" spans="1:7" x14ac:dyDescent="0.3">
      <c r="A246" t="str">
        <f t="shared" si="165"/>
        <v>32 Health and social care associate professionals</v>
      </c>
      <c r="B246" s="11">
        <v>0.44315824607727017</v>
      </c>
      <c r="C246" s="11">
        <v>0.19251775317974096</v>
      </c>
      <c r="D246" s="11">
        <f t="shared" si="166"/>
        <v>-0.25064049289752921</v>
      </c>
      <c r="E246" s="11">
        <v>0.1343341687746703</v>
      </c>
      <c r="F246" s="11">
        <f t="shared" si="167"/>
        <v>-0.11630632412285891</v>
      </c>
      <c r="G246" s="200">
        <f t="shared" si="169"/>
        <v>1.780792932966957E-2</v>
      </c>
    </row>
    <row r="247" spans="1:7" x14ac:dyDescent="0.3">
      <c r="A247" t="str">
        <f t="shared" si="165"/>
        <v>33 Protective service occupations</v>
      </c>
      <c r="B247" s="11">
        <v>0.58565034146724004</v>
      </c>
      <c r="C247" s="11">
        <v>0.3877414841681609</v>
      </c>
      <c r="D247" s="11">
        <f t="shared" si="166"/>
        <v>-0.19790885729907914</v>
      </c>
      <c r="E247" s="11">
        <v>0.18484243318008786</v>
      </c>
      <c r="F247" s="11">
        <f t="shared" si="167"/>
        <v>-1.3066424118991282E-2</v>
      </c>
      <c r="G247" s="200">
        <f t="shared" si="169"/>
        <v>1.8455390839033026E-2</v>
      </c>
    </row>
    <row r="248" spans="1:7" x14ac:dyDescent="0.3">
      <c r="A248" t="str">
        <f t="shared" si="165"/>
        <v>34 Culture, media and sports occupations</v>
      </c>
      <c r="B248" s="11">
        <v>0.44079325699994654</v>
      </c>
      <c r="C248" s="11">
        <v>0.16957311080927318</v>
      </c>
      <c r="D248" s="11">
        <f t="shared" si="166"/>
        <v>-0.27122014619067336</v>
      </c>
      <c r="E248" s="11">
        <v>0.10058137099258195</v>
      </c>
      <c r="F248" s="11">
        <f t="shared" ref="F248:F249" si="170">SUM(D248:E248)</f>
        <v>-0.1706387751980914</v>
      </c>
      <c r="G248" s="200">
        <f t="shared" si="169"/>
        <v>1.3796677850781203E-2</v>
      </c>
    </row>
    <row r="249" spans="1:7" x14ac:dyDescent="0.3">
      <c r="A249" t="str">
        <f t="shared" si="165"/>
        <v>35 Business and public service associate professionals</v>
      </c>
      <c r="B249" s="11">
        <v>2.5974272801768752</v>
      </c>
      <c r="C249" s="11">
        <v>1.1766217597741591</v>
      </c>
      <c r="D249" s="11">
        <f t="shared" si="166"/>
        <v>-1.4208055204027161</v>
      </c>
      <c r="E249" s="11">
        <v>0.65653805406865051</v>
      </c>
      <c r="F249" s="11">
        <f t="shared" si="170"/>
        <v>-0.76426746633406561</v>
      </c>
      <c r="G249" s="200">
        <f t="shared" si="169"/>
        <v>1.5136947661279265E-2</v>
      </c>
    </row>
    <row r="250" spans="1:7" x14ac:dyDescent="0.3">
      <c r="A250" t="str">
        <f t="shared" si="165"/>
        <v>41 Administrative occupations</v>
      </c>
      <c r="B250" s="11">
        <v>4.9099988529902703</v>
      </c>
      <c r="C250" s="11">
        <v>1.2185045057924364</v>
      </c>
      <c r="D250" s="11">
        <f t="shared" si="166"/>
        <v>-3.6914943471978336</v>
      </c>
      <c r="E250" s="11">
        <v>1.0606634422611847</v>
      </c>
      <c r="F250" s="11">
        <f t="shared" ref="F250:F253" si="171">SUM(D250:E250)</f>
        <v>-2.6308309049366487</v>
      </c>
      <c r="G250" s="200">
        <f t="shared" si="169"/>
        <v>1.3124321048625598E-2</v>
      </c>
    </row>
    <row r="251" spans="1:7" x14ac:dyDescent="0.3">
      <c r="A251" t="str">
        <f t="shared" si="165"/>
        <v>42 Secretarial and related occupations</v>
      </c>
      <c r="B251" s="11">
        <v>1.6848815725342332</v>
      </c>
      <c r="C251" s="11">
        <v>0.24921364142973262</v>
      </c>
      <c r="D251" s="11">
        <f t="shared" si="166"/>
        <v>-1.4356679311045006</v>
      </c>
      <c r="E251" s="11">
        <v>0.41403336828227499</v>
      </c>
      <c r="F251" s="11">
        <f t="shared" si="171"/>
        <v>-1.0216345628222256</v>
      </c>
      <c r="G251" s="200">
        <f t="shared" si="169"/>
        <v>1.475616207606989E-2</v>
      </c>
    </row>
    <row r="252" spans="1:7" x14ac:dyDescent="0.3">
      <c r="A252" t="str">
        <f t="shared" si="165"/>
        <v>51 Skilled agricultural and related trades</v>
      </c>
      <c r="B252" s="11">
        <v>0.7156809434132323</v>
      </c>
      <c r="C252" s="11">
        <v>0.86961889453615648</v>
      </c>
      <c r="D252" s="11">
        <f t="shared" si="166"/>
        <v>0.15393795112292419</v>
      </c>
      <c r="E252" s="11">
        <v>0.3589812114421837</v>
      </c>
      <c r="F252" s="11">
        <f t="shared" si="171"/>
        <v>0.51291916256510794</v>
      </c>
      <c r="G252" s="200">
        <f t="shared" si="169"/>
        <v>2.7472405001791822E-2</v>
      </c>
    </row>
    <row r="253" spans="1:7" x14ac:dyDescent="0.3">
      <c r="A253" t="str">
        <f t="shared" si="165"/>
        <v>52 Skilled metal, electrical and electronic trades</v>
      </c>
      <c r="B253" s="11">
        <v>2.8156825579285996</v>
      </c>
      <c r="C253" s="11">
        <v>1.2039884726382997</v>
      </c>
      <c r="D253" s="11">
        <f t="shared" si="166"/>
        <v>-1.6116940852902999</v>
      </c>
      <c r="E253" s="11">
        <v>0.6977689570859793</v>
      </c>
      <c r="F253" s="11">
        <f t="shared" si="171"/>
        <v>-0.91392512820432059</v>
      </c>
      <c r="G253" s="200">
        <f t="shared" si="169"/>
        <v>1.4869073484834461E-2</v>
      </c>
    </row>
    <row r="254" spans="1:7" x14ac:dyDescent="0.3">
      <c r="A254" t="str">
        <f t="shared" si="165"/>
        <v>53 Skilled construction and building trades</v>
      </c>
      <c r="B254" s="11">
        <v>2.6687277158338927</v>
      </c>
      <c r="C254" s="11">
        <v>1.6485381009165818</v>
      </c>
      <c r="D254" s="11">
        <f t="shared" si="166"/>
        <v>-1.0201896149173109</v>
      </c>
      <c r="E254" s="11">
        <v>0.85113236036193218</v>
      </c>
      <c r="F254" s="11">
        <f t="shared" ref="F254" si="172">SUM(D254:E254)</f>
        <v>-0.16905725455537868</v>
      </c>
      <c r="G254" s="200">
        <f t="shared" si="169"/>
        <v>1.8625964974095632E-2</v>
      </c>
    </row>
    <row r="255" spans="1:7" x14ac:dyDescent="0.3">
      <c r="A255" t="str">
        <f t="shared" si="165"/>
        <v>54 Textiles, printing and other skilled trades</v>
      </c>
      <c r="B255" s="11">
        <v>1.5818537330810452</v>
      </c>
      <c r="C255" s="11">
        <v>0.82226954634595861</v>
      </c>
      <c r="D255" s="11">
        <f t="shared" si="166"/>
        <v>-0.75958418673508654</v>
      </c>
      <c r="E255" s="11">
        <v>0.44136120968111203</v>
      </c>
      <c r="F255" s="11">
        <f t="shared" ref="F255" si="173">SUM(D255:E255)</f>
        <v>-0.31822297705397451</v>
      </c>
      <c r="G255" s="200">
        <f t="shared" si="169"/>
        <v>1.6541344108584655E-2</v>
      </c>
    </row>
    <row r="256" spans="1:7" x14ac:dyDescent="0.3">
      <c r="A256" t="str">
        <f t="shared" si="165"/>
        <v>61 Caring personal service occupations</v>
      </c>
      <c r="B256" s="11">
        <v>1.4750451668680997</v>
      </c>
      <c r="C256" s="11">
        <v>0.75613536444823259</v>
      </c>
      <c r="D256" s="11">
        <f>C256-B256</f>
        <v>-0.71890980241986713</v>
      </c>
      <c r="E256" s="11">
        <v>0.33244109857612053</v>
      </c>
      <c r="F256" s="11">
        <f>SUM(D256:E256)</f>
        <v>-0.3864687038437466</v>
      </c>
      <c r="G256" s="200">
        <f t="shared" si="169"/>
        <v>1.3642113594778627E-2</v>
      </c>
    </row>
    <row r="257" spans="1:7" x14ac:dyDescent="0.3">
      <c r="A257" t="str">
        <f t="shared" si="165"/>
        <v>62 Leisure, travel and related personal service occupations</v>
      </c>
      <c r="B257" s="11">
        <v>1.3866278045761966</v>
      </c>
      <c r="C257" s="11">
        <v>0.84984581292879036</v>
      </c>
      <c r="D257" s="11">
        <f t="shared" ref="D257:D263" si="174">C257-B257</f>
        <v>-0.53678199164740625</v>
      </c>
      <c r="E257" s="11">
        <v>0.49348237361635905</v>
      </c>
      <c r="F257" s="11">
        <f t="shared" ref="F257:F258" si="175">SUM(D257:E257)</f>
        <v>-4.3299618031047205E-2</v>
      </c>
      <c r="G257" s="200">
        <f t="shared" si="169"/>
        <v>2.050442706537825E-2</v>
      </c>
    </row>
    <row r="258" spans="1:7" x14ac:dyDescent="0.3">
      <c r="A258" t="str">
        <f t="shared" si="165"/>
        <v>63 Community and civil enforcement occupations</v>
      </c>
      <c r="B258" s="11">
        <v>9.623663284197867E-2</v>
      </c>
      <c r="C258" s="11">
        <v>6.0176855515982966E-2</v>
      </c>
      <c r="D258" s="11">
        <f t="shared" si="174"/>
        <v>-3.6059777325995704E-2</v>
      </c>
      <c r="E258" s="11">
        <v>2.9053363763461897E-2</v>
      </c>
      <c r="F258" s="11">
        <f t="shared" si="175"/>
        <v>-7.0064135625338073E-3</v>
      </c>
      <c r="G258" s="200">
        <f t="shared" si="169"/>
        <v>1.7743643369806161E-2</v>
      </c>
    </row>
    <row r="259" spans="1:7" x14ac:dyDescent="0.3">
      <c r="A259" t="str">
        <f t="shared" si="165"/>
        <v>71 Sales occupations</v>
      </c>
      <c r="B259" s="11">
        <v>4.7380605103744386</v>
      </c>
      <c r="C259" s="11">
        <v>1.4497161004318619</v>
      </c>
      <c r="D259" s="11">
        <f t="shared" si="174"/>
        <v>-3.2883444099425767</v>
      </c>
      <c r="E259" s="11">
        <v>1.1075764774206196</v>
      </c>
      <c r="F259" s="11">
        <f t="shared" ref="F259:F260" si="176">SUM(D259:E259)</f>
        <v>-2.1807679325219569</v>
      </c>
      <c r="G259" s="200">
        <f t="shared" si="169"/>
        <v>1.4103035371561656E-2</v>
      </c>
    </row>
    <row r="260" spans="1:7" x14ac:dyDescent="0.3">
      <c r="A260" t="str">
        <f t="shared" si="165"/>
        <v>72 Customer service occupations</v>
      </c>
      <c r="B260" s="11">
        <v>1.0888620155673843</v>
      </c>
      <c r="C260" s="11">
        <v>0.95036134904100544</v>
      </c>
      <c r="D260" s="11">
        <f t="shared" si="174"/>
        <v>-0.13850066652637882</v>
      </c>
      <c r="E260" s="11">
        <v>0.36835775928122616</v>
      </c>
      <c r="F260" s="11">
        <f t="shared" si="176"/>
        <v>0.22985709275484734</v>
      </c>
      <c r="G260" s="200">
        <f t="shared" si="169"/>
        <v>1.9616403813643268E-2</v>
      </c>
    </row>
    <row r="261" spans="1:7" x14ac:dyDescent="0.3">
      <c r="A261" t="str">
        <f t="shared" si="165"/>
        <v>81 Process, plant and machine operatives</v>
      </c>
      <c r="B261" s="11">
        <v>4.341014383742654</v>
      </c>
      <c r="C261" s="11">
        <v>2.2809323811158375</v>
      </c>
      <c r="D261" s="11">
        <f t="shared" si="174"/>
        <v>-2.0600820026268165</v>
      </c>
      <c r="E261" s="11">
        <v>1.4245190512296837</v>
      </c>
      <c r="F261" s="11">
        <f t="shared" ref="F261:F262" si="177">SUM(D261:E261)</f>
        <v>-0.63556295139713281</v>
      </c>
      <c r="G261" s="200">
        <f t="shared" si="169"/>
        <v>1.9099412780818836E-2</v>
      </c>
    </row>
    <row r="262" spans="1:7" x14ac:dyDescent="0.3">
      <c r="A262" t="str">
        <f t="shared" si="165"/>
        <v>82 Transport and mobile machine drivers and operatives</v>
      </c>
      <c r="B262" s="11">
        <v>5.3183574121498003</v>
      </c>
      <c r="C262" s="11">
        <v>3.8132506822550161</v>
      </c>
      <c r="D262" s="11">
        <f t="shared" si="174"/>
        <v>-1.5051067298947842</v>
      </c>
      <c r="E262" s="11">
        <v>2.152902244274717</v>
      </c>
      <c r="F262" s="11">
        <f t="shared" si="177"/>
        <v>0.64779551437993277</v>
      </c>
      <c r="G262" s="200">
        <f t="shared" si="169"/>
        <v>2.2918627714427098E-2</v>
      </c>
    </row>
    <row r="263" spans="1:7" x14ac:dyDescent="0.3">
      <c r="A263" t="str">
        <f t="shared" si="165"/>
        <v>91 Elementary trades and related occupations</v>
      </c>
      <c r="B263" s="11">
        <v>2.6808622868053251</v>
      </c>
      <c r="C263" s="11">
        <v>1.5969021171056785</v>
      </c>
      <c r="D263" s="11">
        <f t="shared" si="174"/>
        <v>-1.0839601696996466</v>
      </c>
      <c r="E263" s="11">
        <v>0.80119072295755855</v>
      </c>
      <c r="F263" s="11">
        <f t="shared" ref="F263" si="178">SUM(D263:E263)</f>
        <v>-0.28276944674208804</v>
      </c>
      <c r="G263" s="200">
        <f t="shared" si="169"/>
        <v>1.7585066458813303E-2</v>
      </c>
    </row>
    <row r="264" spans="1:7" x14ac:dyDescent="0.3">
      <c r="A264" t="str">
        <f t="shared" si="165"/>
        <v>92 Elementary administration and service occupations</v>
      </c>
      <c r="B264" s="11">
        <v>9.2437525111327172</v>
      </c>
      <c r="C264" s="11">
        <v>5.5869552707844097</v>
      </c>
      <c r="D264" s="11">
        <f t="shared" ref="D264" si="179">C264-B264</f>
        <v>-3.6567972403483076</v>
      </c>
      <c r="E264" s="11">
        <v>3.1520903527127233</v>
      </c>
      <c r="F264" s="11">
        <f>SUM(D264:E264)</f>
        <v>-0.50470688763558424</v>
      </c>
      <c r="G264" s="200">
        <f t="shared" ref="G264:G265" si="180">IF(B264&gt;0,(1+(E264/B264))^(1/($C$6-$B$6))-1,0)</f>
        <v>1.97534505759418E-2</v>
      </c>
    </row>
    <row r="265" spans="1:7" x14ac:dyDescent="0.3">
      <c r="A265" t="str">
        <f t="shared" si="165"/>
        <v>All occupations</v>
      </c>
      <c r="B265" s="11">
        <f>SUM(B239:B264)</f>
        <v>60.025164113237395</v>
      </c>
      <c r="C265" s="11">
        <f t="shared" ref="C265:F265" si="181">SUM(C239:C264)</f>
        <v>31.920671646136874</v>
      </c>
      <c r="D265" s="11">
        <f t="shared" si="181"/>
        <v>-28.104492467100521</v>
      </c>
      <c r="E265" s="11">
        <f t="shared" si="181"/>
        <v>18.476519364088215</v>
      </c>
      <c r="F265" s="11">
        <f t="shared" si="181"/>
        <v>-9.6279731030123017</v>
      </c>
      <c r="G265" s="200">
        <f t="shared" si="180"/>
        <v>1.8051405005553134E-2</v>
      </c>
    </row>
    <row r="267" spans="1:7" ht="25.5" x14ac:dyDescent="0.3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1.1712916050525883</v>
      </c>
      <c r="C268" s="11">
        <v>0.57090519925070382</v>
      </c>
      <c r="D268" s="11">
        <f>C268-B268</f>
        <v>-0.60038640580188452</v>
      </c>
      <c r="E268" s="11">
        <v>0.24764563632211165</v>
      </c>
      <c r="F268" s="11">
        <f>SUM(D268:E268)</f>
        <v>-0.35274076947977284</v>
      </c>
      <c r="G268" s="200">
        <f>IF(B268&gt;0,(1+(E268/B268))^(1/($C$6-$B$6))-1,0)</f>
        <v>1.2868839510051355E-2</v>
      </c>
    </row>
    <row r="269" spans="1:7" x14ac:dyDescent="0.3">
      <c r="A269" t="str">
        <f t="shared" si="183"/>
        <v>12 Other managers and proprietors</v>
      </c>
      <c r="B269" s="11">
        <v>0.74587932734944973</v>
      </c>
      <c r="C269" s="11">
        <v>0.47093057358879803</v>
      </c>
      <c r="D269" s="11">
        <f t="shared" ref="D269:D284" si="184">C269-B269</f>
        <v>-0.2749487537606517</v>
      </c>
      <c r="E269" s="11">
        <v>0.23769329647313497</v>
      </c>
      <c r="F269" s="11">
        <f t="shared" ref="F269:F276" si="185">SUM(D269:E269)</f>
        <v>-3.7255457287516724E-2</v>
      </c>
      <c r="G269" s="200">
        <f t="shared" ref="G269:G271" si="186">IF(B269&gt;0,(1+(E269/B269))^(1/($C$6-$B$6))-1,0)</f>
        <v>1.8612944299107426E-2</v>
      </c>
    </row>
    <row r="270" spans="1:7" x14ac:dyDescent="0.3">
      <c r="A270" t="str">
        <f t="shared" si="183"/>
        <v>21 Science, research, engineering and technology professionals</v>
      </c>
      <c r="B270" s="11">
        <v>0.60219636547158029</v>
      </c>
      <c r="C270" s="11">
        <v>0.37881685741852178</v>
      </c>
      <c r="D270" s="11">
        <f t="shared" si="184"/>
        <v>-0.22337950805305851</v>
      </c>
      <c r="E270" s="11">
        <v>0.14428575031050936</v>
      </c>
      <c r="F270" s="11">
        <f t="shared" si="185"/>
        <v>-7.9093757742549148E-2</v>
      </c>
      <c r="G270" s="200">
        <f t="shared" si="186"/>
        <v>1.4422216153940903E-2</v>
      </c>
    </row>
    <row r="271" spans="1:7" x14ac:dyDescent="0.3">
      <c r="A271" t="str">
        <f t="shared" si="183"/>
        <v>22 Health professionals</v>
      </c>
      <c r="B271" s="11">
        <v>0.30889333010236442</v>
      </c>
      <c r="C271" s="11">
        <v>0.34081838167318823</v>
      </c>
      <c r="D271" s="11">
        <f t="shared" si="184"/>
        <v>3.1925051570823815E-2</v>
      </c>
      <c r="E271" s="11">
        <v>0.13911640679078691</v>
      </c>
      <c r="F271" s="11">
        <f t="shared" si="185"/>
        <v>0.17104145836161072</v>
      </c>
      <c r="G271" s="200">
        <f t="shared" si="186"/>
        <v>2.5097705619147037E-2</v>
      </c>
    </row>
    <row r="272" spans="1:7" x14ac:dyDescent="0.3">
      <c r="A272" t="str">
        <f t="shared" si="183"/>
        <v>23 Teaching and other educational professionals</v>
      </c>
      <c r="B272" s="11">
        <v>0.21135450634508687</v>
      </c>
      <c r="C272" s="11">
        <v>0.12996690798533128</v>
      </c>
      <c r="D272" s="11">
        <f t="shared" si="184"/>
        <v>-8.1387598359755592E-2</v>
      </c>
      <c r="E272" s="11">
        <v>7.0895439802644525E-2</v>
      </c>
      <c r="F272" s="11">
        <f t="shared" si="185"/>
        <v>-1.0492158557111067E-2</v>
      </c>
      <c r="G272" s="200">
        <f>IF(B272&gt;0,(1+(E272/B272))^(1/($C$6-$B$6))-1,0)</f>
        <v>1.9470876579992913E-2</v>
      </c>
    </row>
    <row r="273" spans="1:7" x14ac:dyDescent="0.3">
      <c r="A273" t="str">
        <f t="shared" si="183"/>
        <v>24 Business, media and public service professionals</v>
      </c>
      <c r="B273" s="11">
        <v>0.64449478869839283</v>
      </c>
      <c r="C273" s="11">
        <v>0.37040416775730184</v>
      </c>
      <c r="D273" s="11">
        <f t="shared" si="184"/>
        <v>-0.27409062094109099</v>
      </c>
      <c r="E273" s="11">
        <v>0.17071374822049243</v>
      </c>
      <c r="F273" s="11">
        <f t="shared" si="185"/>
        <v>-0.10337687272059856</v>
      </c>
      <c r="G273" s="200">
        <f t="shared" ref="G273" si="187">IF(B273&gt;0,(1+(E273/B273))^(1/($C$6-$B$6))-1,0)</f>
        <v>1.5788489474335421E-2</v>
      </c>
    </row>
    <row r="274" spans="1:7" x14ac:dyDescent="0.3">
      <c r="A274" t="str">
        <f t="shared" si="183"/>
        <v>31 Science, engineering and technology associate professionals</v>
      </c>
      <c r="B274" s="11">
        <v>0.32609836183695945</v>
      </c>
      <c r="C274" s="11">
        <v>0.28496086771275586</v>
      </c>
      <c r="D274" s="11">
        <f t="shared" si="184"/>
        <v>-4.1137494124203589E-2</v>
      </c>
      <c r="E274" s="11">
        <v>0.10588573748690286</v>
      </c>
      <c r="F274" s="11">
        <f t="shared" si="185"/>
        <v>6.474824336269927E-2</v>
      </c>
      <c r="G274" s="200">
        <f>IF(B274&gt;0,(1+(E274/B274))^(1/($C$6-$B$6))-1,0)</f>
        <v>1.8922790411706192E-2</v>
      </c>
    </row>
    <row r="275" spans="1:7" x14ac:dyDescent="0.3">
      <c r="A275" t="str">
        <f t="shared" si="183"/>
        <v>32 Health and social care associate professionals</v>
      </c>
      <c r="B275" s="11">
        <v>0.12215277790263956</v>
      </c>
      <c r="C275" s="11">
        <v>8.9414926008015413E-2</v>
      </c>
      <c r="D275" s="11">
        <f t="shared" si="184"/>
        <v>-3.2737851894624151E-2</v>
      </c>
      <c r="E275" s="11">
        <v>3.9328916604637013E-2</v>
      </c>
      <c r="F275" s="11">
        <f t="shared" si="185"/>
        <v>6.5910647100128616E-3</v>
      </c>
      <c r="G275" s="200">
        <f t="shared" ref="G275:G292" si="188">IF(B275&gt;0,(1+(E275/B275))^(1/($C$6-$B$6))-1,0)</f>
        <v>1.8782156791790072E-2</v>
      </c>
    </row>
    <row r="276" spans="1:7" x14ac:dyDescent="0.3">
      <c r="A276" t="str">
        <f t="shared" si="183"/>
        <v>33 Protective service occupations</v>
      </c>
      <c r="B276" s="11">
        <v>0.13269501519398252</v>
      </c>
      <c r="C276" s="11">
        <v>8.4338292437729084E-2</v>
      </c>
      <c r="D276" s="11">
        <f t="shared" si="184"/>
        <v>-4.835672275625344E-2</v>
      </c>
      <c r="E276" s="11">
        <v>2.4158205659939688E-2</v>
      </c>
      <c r="F276" s="11">
        <f t="shared" si="185"/>
        <v>-2.4198517096313751E-2</v>
      </c>
      <c r="G276" s="200">
        <f t="shared" si="188"/>
        <v>1.1212871088869036E-2</v>
      </c>
    </row>
    <row r="277" spans="1:7" x14ac:dyDescent="0.3">
      <c r="A277" t="str">
        <f t="shared" si="183"/>
        <v>34 Culture, media and sports occupations</v>
      </c>
      <c r="B277" s="11">
        <v>0.28665070173064033</v>
      </c>
      <c r="C277" s="11">
        <v>0.14521933489937153</v>
      </c>
      <c r="D277" s="11">
        <f t="shared" si="184"/>
        <v>-0.14143136683126881</v>
      </c>
      <c r="E277" s="11">
        <v>6.6599725741200183E-2</v>
      </c>
      <c r="F277" s="11">
        <f t="shared" ref="F277:F278" si="189">SUM(D277:E277)</f>
        <v>-7.4831641090068624E-2</v>
      </c>
      <c r="G277" s="200">
        <f t="shared" si="188"/>
        <v>1.4024961387467894E-2</v>
      </c>
    </row>
    <row r="278" spans="1:7" x14ac:dyDescent="0.3">
      <c r="A278" t="str">
        <f t="shared" si="183"/>
        <v>35 Business and public service associate professionals</v>
      </c>
      <c r="B278" s="11">
        <v>0.97113682335327389</v>
      </c>
      <c r="C278" s="11">
        <v>0.57013519302864279</v>
      </c>
      <c r="D278" s="11">
        <f t="shared" si="184"/>
        <v>-0.4010016303246311</v>
      </c>
      <c r="E278" s="11">
        <v>0.21611210438406864</v>
      </c>
      <c r="F278" s="11">
        <f t="shared" si="189"/>
        <v>-0.18488952594056246</v>
      </c>
      <c r="G278" s="200">
        <f t="shared" si="188"/>
        <v>1.3485230881010946E-2</v>
      </c>
    </row>
    <row r="279" spans="1:7" x14ac:dyDescent="0.3">
      <c r="A279" t="str">
        <f t="shared" si="183"/>
        <v>41 Administrative occupations</v>
      </c>
      <c r="B279" s="11">
        <v>2.033247315039465</v>
      </c>
      <c r="C279" s="11">
        <v>0.94049894170465032</v>
      </c>
      <c r="D279" s="11">
        <f t="shared" si="184"/>
        <v>-1.0927483733348147</v>
      </c>
      <c r="E279" s="11">
        <v>0.4177727523435445</v>
      </c>
      <c r="F279" s="11">
        <f t="shared" ref="F279:F282" si="190">SUM(D279:E279)</f>
        <v>-0.67497562099127018</v>
      </c>
      <c r="G279" s="200">
        <f t="shared" si="188"/>
        <v>1.2535931861151317E-2</v>
      </c>
    </row>
    <row r="280" spans="1:7" x14ac:dyDescent="0.3">
      <c r="A280" t="str">
        <f t="shared" si="183"/>
        <v>42 Secretarial and related occupations</v>
      </c>
      <c r="B280" s="11">
        <v>0.66032392978035137</v>
      </c>
      <c r="C280" s="11">
        <v>0.48264384087760764</v>
      </c>
      <c r="D280" s="11">
        <f t="shared" si="184"/>
        <v>-0.17768008890274373</v>
      </c>
      <c r="E280" s="11">
        <v>0.23340102715501984</v>
      </c>
      <c r="F280" s="11">
        <f t="shared" si="190"/>
        <v>5.5720938252276114E-2</v>
      </c>
      <c r="G280" s="200">
        <f t="shared" si="188"/>
        <v>2.0382785779992307E-2</v>
      </c>
    </row>
    <row r="281" spans="1:7" x14ac:dyDescent="0.3">
      <c r="A281" t="str">
        <f t="shared" si="183"/>
        <v>51 Skilled agricultural and related trades</v>
      </c>
      <c r="B281" s="11">
        <v>0.47001644394319703</v>
      </c>
      <c r="C281" s="11">
        <v>0.24753592205885008</v>
      </c>
      <c r="D281" s="11">
        <f t="shared" si="184"/>
        <v>-0.22248052188434694</v>
      </c>
      <c r="E281" s="11">
        <v>0.13654118636206877</v>
      </c>
      <c r="F281" s="11">
        <f t="shared" si="190"/>
        <v>-8.5939335522278171E-2</v>
      </c>
      <c r="G281" s="200">
        <f t="shared" si="188"/>
        <v>1.7147496562352593E-2</v>
      </c>
    </row>
    <row r="282" spans="1:7" x14ac:dyDescent="0.3">
      <c r="A282" t="str">
        <f t="shared" si="183"/>
        <v>52 Skilled metal, electrical and electronic trades</v>
      </c>
      <c r="B282" s="11">
        <v>1.4538823398802427</v>
      </c>
      <c r="C282" s="11">
        <v>0.50545583117534265</v>
      </c>
      <c r="D282" s="11">
        <f t="shared" si="184"/>
        <v>-0.94842650870490008</v>
      </c>
      <c r="E282" s="11">
        <v>0.28169425025133688</v>
      </c>
      <c r="F282" s="11">
        <f t="shared" si="190"/>
        <v>-0.66673225845356321</v>
      </c>
      <c r="G282" s="200">
        <f t="shared" si="188"/>
        <v>1.1876791080408955E-2</v>
      </c>
    </row>
    <row r="283" spans="1:7" x14ac:dyDescent="0.3">
      <c r="A283" t="str">
        <f t="shared" si="183"/>
        <v>53 Skilled construction and building trades</v>
      </c>
      <c r="B283" s="11">
        <v>1.9872453518954258</v>
      </c>
      <c r="C283" s="11">
        <v>0.19653028291229421</v>
      </c>
      <c r="D283" s="11">
        <f t="shared" si="184"/>
        <v>-1.7907150689831317</v>
      </c>
      <c r="E283" s="11">
        <v>0.24685475335747425</v>
      </c>
      <c r="F283" s="11">
        <f t="shared" ref="F283" si="191">SUM(D283:E283)</f>
        <v>-1.5438603156256574</v>
      </c>
      <c r="G283" s="200">
        <f t="shared" si="188"/>
        <v>7.8364840983193851E-3</v>
      </c>
    </row>
    <row r="284" spans="1:7" x14ac:dyDescent="0.3">
      <c r="A284" t="str">
        <f t="shared" si="183"/>
        <v>54 Textiles, printing and other skilled trades</v>
      </c>
      <c r="B284" s="11">
        <v>1.1662675996816274</v>
      </c>
      <c r="C284" s="11">
        <v>0.41789198492645169</v>
      </c>
      <c r="D284" s="11">
        <f t="shared" si="184"/>
        <v>-0.74837561475517567</v>
      </c>
      <c r="E284" s="11">
        <v>0.19980220444786551</v>
      </c>
      <c r="F284" s="11">
        <f t="shared" ref="F284" si="192">SUM(D284:E284)</f>
        <v>-0.54857341030731011</v>
      </c>
      <c r="G284" s="200">
        <f t="shared" si="188"/>
        <v>1.0597715300832089E-2</v>
      </c>
    </row>
    <row r="285" spans="1:7" x14ac:dyDescent="0.3">
      <c r="A285" t="str">
        <f t="shared" si="183"/>
        <v>61 Caring personal service occupations</v>
      </c>
      <c r="B285" s="11">
        <v>0.52786891399297475</v>
      </c>
      <c r="C285" s="11">
        <v>0.31900997176620138</v>
      </c>
      <c r="D285" s="11">
        <f>C285-B285</f>
        <v>-0.20885894222677337</v>
      </c>
      <c r="E285" s="11">
        <v>0.12090217896294245</v>
      </c>
      <c r="F285" s="11">
        <f>SUM(D285:E285)</f>
        <v>-8.7956763263830923E-2</v>
      </c>
      <c r="G285" s="200">
        <f t="shared" si="188"/>
        <v>1.384374691445811E-2</v>
      </c>
    </row>
    <row r="286" spans="1:7" x14ac:dyDescent="0.3">
      <c r="A286" t="str">
        <f t="shared" si="183"/>
        <v>62 Leisure, travel and related personal service occupations</v>
      </c>
      <c r="B286" s="11">
        <v>0.73060391387328727</v>
      </c>
      <c r="C286" s="11">
        <v>0.29509170096022452</v>
      </c>
      <c r="D286" s="11">
        <f t="shared" ref="D286:D292" si="193">C286-B286</f>
        <v>-0.43551221291306275</v>
      </c>
      <c r="E286" s="11">
        <v>0.13961432952028571</v>
      </c>
      <c r="F286" s="11">
        <f t="shared" ref="F286:F287" si="194">SUM(D286:E286)</f>
        <v>-0.29589788339277701</v>
      </c>
      <c r="G286" s="200">
        <f t="shared" si="188"/>
        <v>1.172639221179872E-2</v>
      </c>
    </row>
    <row r="287" spans="1:7" x14ac:dyDescent="0.3">
      <c r="A287" t="str">
        <f t="shared" si="183"/>
        <v>63 Community and civil enforcement occupations</v>
      </c>
      <c r="B287" s="11">
        <v>4.2964852679776608E-2</v>
      </c>
      <c r="C287" s="11">
        <v>9.7789020975874146E-3</v>
      </c>
      <c r="D287" s="11">
        <f t="shared" si="193"/>
        <v>-3.3185950582189191E-2</v>
      </c>
      <c r="E287" s="11">
        <v>4.6824878486704143E-3</v>
      </c>
      <c r="F287" s="11">
        <f t="shared" si="194"/>
        <v>-2.8503462733518777E-2</v>
      </c>
      <c r="G287" s="200">
        <f t="shared" si="188"/>
        <v>6.92012846178236E-3</v>
      </c>
    </row>
    <row r="288" spans="1:7" x14ac:dyDescent="0.3">
      <c r="A288" t="str">
        <f t="shared" si="183"/>
        <v>71 Sales occupations</v>
      </c>
      <c r="B288" s="11">
        <v>2.8923757794811418</v>
      </c>
      <c r="C288" s="11">
        <v>0.7604249448678333</v>
      </c>
      <c r="D288" s="11">
        <f t="shared" si="193"/>
        <v>-2.1319508346133085</v>
      </c>
      <c r="E288" s="11">
        <v>0.38245188480646541</v>
      </c>
      <c r="F288" s="11">
        <f t="shared" ref="F288:F289" si="195">SUM(D288:E288)</f>
        <v>-1.749498949806843</v>
      </c>
      <c r="G288" s="200">
        <f t="shared" si="188"/>
        <v>8.3135009867600917E-3</v>
      </c>
    </row>
    <row r="289" spans="1:7" x14ac:dyDescent="0.3">
      <c r="A289" t="str">
        <f t="shared" si="183"/>
        <v>72 Customer service occupations</v>
      </c>
      <c r="B289" s="11">
        <v>0.60589873007314954</v>
      </c>
      <c r="C289" s="11">
        <v>0.59202962666201342</v>
      </c>
      <c r="D289" s="11">
        <f t="shared" si="193"/>
        <v>-1.3869103411136119E-2</v>
      </c>
      <c r="E289" s="11">
        <v>0.21029918053107824</v>
      </c>
      <c r="F289" s="11">
        <f t="shared" si="195"/>
        <v>0.19643007711994212</v>
      </c>
      <c r="G289" s="200">
        <f t="shared" si="188"/>
        <v>2.0061514219974264E-2</v>
      </c>
    </row>
    <row r="290" spans="1:7" x14ac:dyDescent="0.3">
      <c r="A290" t="str">
        <f t="shared" si="183"/>
        <v>81 Process, plant and machine operatives</v>
      </c>
      <c r="B290" s="11">
        <v>2.4968711080308728</v>
      </c>
      <c r="C290" s="11">
        <v>0.39779202893789245</v>
      </c>
      <c r="D290" s="11">
        <f t="shared" si="193"/>
        <v>-2.0990790790929803</v>
      </c>
      <c r="E290" s="11">
        <v>0.25367809604829716</v>
      </c>
      <c r="F290" s="11">
        <f t="shared" ref="F290:F291" si="196">SUM(D290:E290)</f>
        <v>-1.8454009830446831</v>
      </c>
      <c r="G290" s="200">
        <f t="shared" si="188"/>
        <v>6.4716653848302386E-3</v>
      </c>
    </row>
    <row r="291" spans="1:7" x14ac:dyDescent="0.3">
      <c r="A291" t="str">
        <f t="shared" si="183"/>
        <v>82 Transport and mobile machine drivers and operatives</v>
      </c>
      <c r="B291" s="11">
        <v>3.6558772384080243</v>
      </c>
      <c r="C291" s="11">
        <v>1.0200519526167247</v>
      </c>
      <c r="D291" s="11">
        <f t="shared" si="193"/>
        <v>-2.6358252857912996</v>
      </c>
      <c r="E291" s="11">
        <v>0.84073394887572761</v>
      </c>
      <c r="F291" s="11">
        <f t="shared" si="196"/>
        <v>-1.7950913369155721</v>
      </c>
      <c r="G291" s="200">
        <f t="shared" si="188"/>
        <v>1.3894846293587504E-2</v>
      </c>
    </row>
    <row r="292" spans="1:7" x14ac:dyDescent="0.3">
      <c r="A292" t="str">
        <f t="shared" si="183"/>
        <v>91 Elementary trades and related occupations</v>
      </c>
      <c r="B292" s="11">
        <v>1.9276439381035202</v>
      </c>
      <c r="C292" s="11">
        <v>0.68318252274155722</v>
      </c>
      <c r="D292" s="11">
        <f t="shared" si="193"/>
        <v>-1.2444614153619629</v>
      </c>
      <c r="E292" s="11">
        <v>0.34452878704175238</v>
      </c>
      <c r="F292" s="11">
        <f t="shared" ref="F292" si="197">SUM(D292:E292)</f>
        <v>-0.89993262832021048</v>
      </c>
      <c r="G292" s="200">
        <f t="shared" si="188"/>
        <v>1.1022843537483729E-2</v>
      </c>
    </row>
    <row r="293" spans="1:7" x14ac:dyDescent="0.3">
      <c r="A293" t="str">
        <f t="shared" si="183"/>
        <v>92 Elementary administration and service occupations</v>
      </c>
      <c r="B293" s="11">
        <v>5.616006424550144</v>
      </c>
      <c r="C293" s="11">
        <v>1.8430848251902543</v>
      </c>
      <c r="D293" s="11">
        <f t="shared" ref="D293" si="198">C293-B293</f>
        <v>-3.7729215993598899</v>
      </c>
      <c r="E293" s="11">
        <v>0.94561480524480168</v>
      </c>
      <c r="F293" s="11">
        <f t="shared" ref="F293" si="199">SUM(D293:E293)</f>
        <v>-2.8273067941150885</v>
      </c>
      <c r="G293" s="200">
        <f t="shared" ref="G293:G294" si="200">IF(B293&gt;0,(1+(E293/B293))^(1/($C$6-$B$6))-1,0)</f>
        <v>1.0428461321297933E-2</v>
      </c>
    </row>
    <row r="294" spans="1:7" x14ac:dyDescent="0.3">
      <c r="A294" s="24" t="str">
        <f t="shared" si="183"/>
        <v>All occupations</v>
      </c>
      <c r="B294" s="34">
        <f>SUM(B268:B293)</f>
        <v>31.78993748245016</v>
      </c>
      <c r="C294" s="34">
        <f t="shared" ref="C294:F294" si="201">SUM(C268:C293)</f>
        <v>12.146913981255844</v>
      </c>
      <c r="D294" s="34">
        <f t="shared" si="201"/>
        <v>-19.643023501194314</v>
      </c>
      <c r="E294" s="34">
        <f t="shared" si="201"/>
        <v>6.2210068405937573</v>
      </c>
      <c r="F294" s="34">
        <f t="shared" si="201"/>
        <v>-13.422016660600555</v>
      </c>
      <c r="G294" s="234">
        <f t="shared" si="200"/>
        <v>1.198622039418451E-2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81"/>
    <col min="15" max="15" width="44.1796875" customWidth="1"/>
    <col min="16" max="17" width="16.81640625" customWidth="1"/>
  </cols>
  <sheetData>
    <row r="1" spans="1:17" ht="15.5" x14ac:dyDescent="0.35">
      <c r="A1" s="80" t="str">
        <f>CONCATENATE("Replacement Demand Figure 1  Replacement Demand by Occupation Group (SOC 2020), ",P4,", ",Info!B5)</f>
        <v>Replacement Demand Figure 1  Replacement Demand by Occupation Group (SOC 2020), 2020-2035, Black Country</v>
      </c>
    </row>
    <row r="2" spans="1:17" ht="13" x14ac:dyDescent="0.3">
      <c r="A2" s="364" t="s">
        <v>523</v>
      </c>
    </row>
    <row r="3" spans="1:17" ht="13" x14ac:dyDescent="0.3">
      <c r="O3" s="46" t="s">
        <v>415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-4.2620326355647435</v>
      </c>
      <c r="Q7" s="11">
        <f>'Occ T1'!J16</f>
        <v>16.950742080179992</v>
      </c>
    </row>
    <row r="8" spans="1:17" x14ac:dyDescent="0.25">
      <c r="O8" t="str">
        <f>name!E11</f>
        <v>Process, plant and machine operatives</v>
      </c>
      <c r="P8" s="11">
        <f>'Occ T1'!H15</f>
        <v>5.1991655761567301</v>
      </c>
      <c r="Q8" s="11">
        <f>'Occ T1'!J15</f>
        <v>26.427418828368687</v>
      </c>
    </row>
    <row r="9" spans="1:17" x14ac:dyDescent="0.25">
      <c r="O9" t="str">
        <f>name!E10</f>
        <v>Sales and customer service occupations</v>
      </c>
      <c r="P9" s="11">
        <f>'Occ T1'!H14</f>
        <v>0.10124417113887318</v>
      </c>
      <c r="Q9" s="11">
        <f>'Occ T1'!J14</f>
        <v>18.058824286039108</v>
      </c>
    </row>
    <row r="10" spans="1:17" x14ac:dyDescent="0.25">
      <c r="O10" t="str">
        <f>name!E9</f>
        <v>Caring, leisure and other service occupations</v>
      </c>
      <c r="P10" s="11">
        <f>'Occ T1'!H13</f>
        <v>8.2524866617211003</v>
      </c>
      <c r="Q10" s="11">
        <f>'Occ T1'!J13</f>
        <v>38.500513671188209</v>
      </c>
    </row>
    <row r="11" spans="1:17" x14ac:dyDescent="0.25">
      <c r="O11" t="str">
        <f>name!E8</f>
        <v>Skilled trades occupations</v>
      </c>
      <c r="P11" s="11">
        <f>'Occ T1'!H12</f>
        <v>-4.9048959538335097</v>
      </c>
      <c r="Q11" s="11">
        <f>'Occ T1'!J12</f>
        <v>15.776648479170397</v>
      </c>
    </row>
    <row r="12" spans="1:17" x14ac:dyDescent="0.25">
      <c r="O12" t="str">
        <f>name!E7</f>
        <v>Administrative and secretarial occupations</v>
      </c>
      <c r="P12" s="11">
        <f>'Occ T1'!H11</f>
        <v>-8.4570852099066016</v>
      </c>
      <c r="Q12" s="11">
        <f>'Occ T1'!J11</f>
        <v>17.698297551304321</v>
      </c>
    </row>
    <row r="13" spans="1:17" x14ac:dyDescent="0.25">
      <c r="O13" t="str">
        <f>name!E6</f>
        <v>Associate professional occupations</v>
      </c>
      <c r="P13" s="11">
        <f>'Occ T1'!H10</f>
        <v>2.8433099168421592</v>
      </c>
      <c r="Q13" s="11">
        <f>'Occ T1'!J10</f>
        <v>30.929081920618014</v>
      </c>
    </row>
    <row r="14" spans="1:17" x14ac:dyDescent="0.25">
      <c r="O14" t="str">
        <f>name!E5</f>
        <v>Professional occupations</v>
      </c>
      <c r="P14" s="11">
        <f>'Occ T1'!H9</f>
        <v>20.300150445724185</v>
      </c>
      <c r="Q14" s="11">
        <f>'Occ T1'!J9</f>
        <v>73.929202963365498</v>
      </c>
    </row>
    <row r="15" spans="1:17" x14ac:dyDescent="0.25">
      <c r="O15" t="str">
        <f>name!E4</f>
        <v>Managers, directors and senior officials</v>
      </c>
      <c r="P15" s="11">
        <f>'Occ T1'!H8</f>
        <v>6.677657027721466</v>
      </c>
      <c r="Q15" s="11">
        <f>'Occ T1'!J8</f>
        <v>33.479402914313752</v>
      </c>
    </row>
    <row r="34" spans="1:17" ht="15.5" x14ac:dyDescent="0.35">
      <c r="A34" s="80" t="str">
        <f>CONCATENATE("Replacement Demand Figure 1.1  Replacement Demand by Occupation (SOC 2020), ",P35,", ",Info!B5)</f>
        <v>Replacement Demand Figure 1.1  Replacement Demand by Occupation (SOC 2020), 2020-2035, Black Country</v>
      </c>
      <c r="O34" s="46" t="s">
        <v>415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0.94986798175329312</v>
      </c>
      <c r="Q37" s="11">
        <f>'Occ T2'!J8</f>
        <v>17.998040628132959</v>
      </c>
    </row>
    <row r="38" spans="1:17" x14ac:dyDescent="0.25">
      <c r="O38" s="10" t="str">
        <f>name!D5</f>
        <v>12 Other managers and proprietors</v>
      </c>
      <c r="P38" s="11">
        <f>'Occ T2'!H9</f>
        <v>5.7277890459681693</v>
      </c>
      <c r="Q38" s="11">
        <f>'Occ T2'!J9</f>
        <v>15.48136228618079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3.589502176478117</v>
      </c>
      <c r="Q39" s="11">
        <f>'Occ T2'!J10</f>
        <v>13.902806907330673</v>
      </c>
    </row>
    <row r="40" spans="1:17" x14ac:dyDescent="0.25">
      <c r="O40" s="10" t="str">
        <f>name!D7</f>
        <v>22 Health professionals</v>
      </c>
      <c r="P40" s="11">
        <f>'Occ T2'!H11</f>
        <v>5.3230041975837139</v>
      </c>
      <c r="Q40" s="11">
        <f>'Occ T2'!J11</f>
        <v>21.199713498866281</v>
      </c>
    </row>
    <row r="41" spans="1:17" x14ac:dyDescent="0.25">
      <c r="O41" s="10" t="str">
        <f>name!D8</f>
        <v>23 Teaching and other educational professionals</v>
      </c>
      <c r="P41" s="11">
        <f>'Occ T2'!H12</f>
        <v>4.06580526507366</v>
      </c>
      <c r="Q41" s="11">
        <f>'Occ T2'!J12</f>
        <v>16.28072330008942</v>
      </c>
    </row>
    <row r="42" spans="1:17" x14ac:dyDescent="0.25">
      <c r="O42" s="10" t="str">
        <f>name!D9</f>
        <v>24 Business, media and public service professionals</v>
      </c>
      <c r="P42" s="11">
        <f>'Occ T2'!H13</f>
        <v>7.321838806588687</v>
      </c>
      <c r="Q42" s="11">
        <f>'Occ T2'!J13</f>
        <v>22.545959257079112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-0.9654004292887679</v>
      </c>
      <c r="Q43" s="11">
        <f>'Occ T2'!J14</f>
        <v>2.0999341177220607</v>
      </c>
    </row>
    <row r="44" spans="1:17" x14ac:dyDescent="0.25">
      <c r="O44" s="10" t="str">
        <f>name!D11</f>
        <v>32 Health and social care associate professionals</v>
      </c>
      <c r="P44" s="11">
        <f>'Occ T2'!H15</f>
        <v>1.5546339542473007</v>
      </c>
      <c r="Q44" s="11">
        <f>'Occ T2'!J15</f>
        <v>8.2483034969417162</v>
      </c>
    </row>
    <row r="45" spans="1:17" x14ac:dyDescent="0.25">
      <c r="O45" s="10" t="str">
        <f>name!D12</f>
        <v>33 Protective service occupations</v>
      </c>
      <c r="P45" s="11">
        <f>'Occ T2'!H16</f>
        <v>2.0055450900176526</v>
      </c>
      <c r="Q45" s="11">
        <f>'Occ T2'!J16</f>
        <v>4.0697794471068622</v>
      </c>
    </row>
    <row r="46" spans="1:17" x14ac:dyDescent="0.25">
      <c r="O46" s="10" t="str">
        <f>name!D13</f>
        <v>34 Culture, media and sports occupations</v>
      </c>
      <c r="P46" s="11">
        <f>'Occ T2'!H17</f>
        <v>0.35926196910627883</v>
      </c>
      <c r="Q46" s="11">
        <f>'Occ T2'!J17</f>
        <v>3.8256491643573334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-0.11073066724030411</v>
      </c>
      <c r="Q47" s="11">
        <f>'Occ T2'!J18</f>
        <v>12.685415694490043</v>
      </c>
    </row>
    <row r="48" spans="1:17" x14ac:dyDescent="0.25">
      <c r="O48" s="10" t="str">
        <f>name!D15</f>
        <v>41 Administrative occupations</v>
      </c>
      <c r="P48" s="11">
        <f>'Occ T2'!H19</f>
        <v>-5.7088674878368266</v>
      </c>
      <c r="Q48" s="11">
        <f>'Occ T2'!J19</f>
        <v>15.904024334447428</v>
      </c>
    </row>
    <row r="49" spans="15:17" x14ac:dyDescent="0.25">
      <c r="O49" s="10" t="str">
        <f>name!D16</f>
        <v>42 Secretarial and related occupations</v>
      </c>
      <c r="P49" s="11">
        <f>'Occ T2'!H20</f>
        <v>-2.748217722069775</v>
      </c>
      <c r="Q49" s="11">
        <f>'Occ T2'!J20</f>
        <v>1.794273216856892</v>
      </c>
    </row>
    <row r="50" spans="15:17" x14ac:dyDescent="0.25">
      <c r="O50" s="10" t="str">
        <f>name!D17</f>
        <v>51 Skilled agricultural and related trades</v>
      </c>
      <c r="P50" s="11">
        <f>'Occ T2'!H21</f>
        <v>0.52804888144205409</v>
      </c>
      <c r="Q50" s="11">
        <f>'Occ T2'!J21</f>
        <v>2.3995255571961343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-2.4920967712845616</v>
      </c>
      <c r="Q51" s="11">
        <f>'Occ T2'!J22</f>
        <v>5.8461600924197263</v>
      </c>
    </row>
    <row r="52" spans="15:17" x14ac:dyDescent="0.25">
      <c r="O52" s="10" t="str">
        <f>name!D19</f>
        <v>53 Skilled construction and building trades</v>
      </c>
      <c r="P52" s="11">
        <f>'Occ T2'!H23</f>
        <v>-2.0757801583428694</v>
      </c>
      <c r="Q52" s="11">
        <f>'Occ T2'!J23</f>
        <v>5.0303074199613933</v>
      </c>
    </row>
    <row r="53" spans="15:17" x14ac:dyDescent="0.25">
      <c r="O53" s="10" t="str">
        <f>name!D20</f>
        <v>54 Textiles, printing and other skilled trades</v>
      </c>
      <c r="P53" s="11">
        <f>'Occ T2'!H24</f>
        <v>-0.86506790564814295</v>
      </c>
      <c r="Q53" s="11">
        <f>'Occ T2'!J24</f>
        <v>2.5006554095931324</v>
      </c>
    </row>
    <row r="54" spans="15:17" x14ac:dyDescent="0.25">
      <c r="O54" s="10" t="str">
        <f>name!D21</f>
        <v>61 Caring personal service occupations</v>
      </c>
      <c r="P54" s="11">
        <f>'Occ T2'!H25</f>
        <v>8.0006797686798805</v>
      </c>
      <c r="Q54" s="11">
        <f>'Occ T2'!J25</f>
        <v>33.271697062473777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0.29107967908543664</v>
      </c>
      <c r="Q55" s="11">
        <f>'Occ T2'!J26</f>
        <v>5.07020991425735</v>
      </c>
    </row>
    <row r="56" spans="15:17" x14ac:dyDescent="0.25">
      <c r="O56" s="10" t="str">
        <f>name!D23</f>
        <v>63 Community and civil enforcement occupations</v>
      </c>
      <c r="P56" s="11">
        <f>'Occ T2'!H27</f>
        <v>-3.927278604421669E-2</v>
      </c>
      <c r="Q56" s="11">
        <f>'Occ T2'!J27</f>
        <v>0.15860669445707831</v>
      </c>
    </row>
    <row r="57" spans="15:17" x14ac:dyDescent="0.25">
      <c r="O57" s="10" t="str">
        <f>name!D24</f>
        <v>71 Sales occupations</v>
      </c>
      <c r="P57" s="11">
        <f>'Occ T2'!H28</f>
        <v>-4.2219020336524835</v>
      </c>
      <c r="Q57" s="11">
        <f>'Occ T2'!J28</f>
        <v>8.2425872392716784</v>
      </c>
    </row>
    <row r="58" spans="15:17" x14ac:dyDescent="0.25">
      <c r="O58" s="10" t="str">
        <f>name!D25</f>
        <v>72 Customer service occupations</v>
      </c>
      <c r="P58" s="11">
        <f>'Occ T2'!H29</f>
        <v>4.3231462047913514</v>
      </c>
      <c r="Q58" s="11">
        <f>'Occ T2'!J29</f>
        <v>9.8162370467674229</v>
      </c>
    </row>
    <row r="59" spans="15:17" x14ac:dyDescent="0.25">
      <c r="O59" s="10" t="str">
        <f>name!D26</f>
        <v>81 Process, plant and machine operatives</v>
      </c>
      <c r="P59" s="11">
        <f>'Occ T2'!H30</f>
        <v>2.9967665001403248</v>
      </c>
      <c r="Q59" s="11">
        <f>'Occ T2'!J30</f>
        <v>11.58368922969432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2.2023990760164018</v>
      </c>
      <c r="Q60" s="11">
        <f>'Occ T2'!J31</f>
        <v>14.843729598674365</v>
      </c>
    </row>
    <row r="61" spans="15:17" x14ac:dyDescent="0.25">
      <c r="O61" s="10" t="str">
        <f>name!D28</f>
        <v>91 Elementary trades and related occupations</v>
      </c>
      <c r="P61" s="11">
        <f>'Occ T2'!H32</f>
        <v>-1.7781444306629366</v>
      </c>
      <c r="Q61" s="11">
        <f>'Occ T2'!J32</f>
        <v>1.179547576538365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-2.4838882049018096</v>
      </c>
      <c r="Q62" s="11">
        <f>'Occ T2'!J33</f>
        <v>15.771194503641624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25.749999999999545</v>
      </c>
      <c r="Q64" s="11">
        <f>'Occ T2'!J35</f>
        <v>271.75013269454791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topLeftCell="A77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9" t="str">
        <f>CONCATENATE("Basic Table 1  Employment by Industry Sector, Occupation Group and Qualification, ",B$5,"-",D$5,", ",Info!B5)</f>
        <v>Basic Table 1  Employment by Industry Sector, Occupation Group and Qualification, 2020-2035, Black Country</v>
      </c>
    </row>
    <row r="2" spans="1:40" ht="12.75" customHeight="1" x14ac:dyDescent="0.3">
      <c r="A2" s="182" t="s">
        <v>527</v>
      </c>
    </row>
    <row r="3" spans="1:40" ht="12.75" customHeight="1" x14ac:dyDescent="0.35">
      <c r="A3" s="19"/>
      <c r="AN3" s="38" t="s">
        <v>36</v>
      </c>
    </row>
    <row r="4" spans="1:40" ht="24.75" customHeight="1" x14ac:dyDescent="0.25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ht="13" x14ac:dyDescent="0.3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ht="13" x14ac:dyDescent="0.3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5">
      <c r="A8" s="13" t="str">
        <f>name!E3</f>
        <v>All occupations</v>
      </c>
      <c r="B8" s="305">
        <f>SUM(B9:B17)</f>
        <v>496.19400000000013</v>
      </c>
      <c r="C8" s="305">
        <f>SUM(C9:C17)</f>
        <v>508.12799999999993</v>
      </c>
      <c r="D8" s="305">
        <f>SUM(D9:D17)</f>
        <v>521.94399999999985</v>
      </c>
      <c r="E8" s="304"/>
      <c r="F8" s="305">
        <f>SUM(F9:F17)</f>
        <v>7.0913085790934502</v>
      </c>
      <c r="G8" s="305">
        <f>SUM(G9:G17)</f>
        <v>9.1761754867629808</v>
      </c>
      <c r="H8" s="305">
        <f>SUM(H9:H17)</f>
        <v>13.484206138990876</v>
      </c>
      <c r="I8" s="304"/>
      <c r="J8" s="305">
        <f>SUM(J9:J17)</f>
        <v>47.914257000986922</v>
      </c>
      <c r="K8" s="305">
        <f>SUM(K9:K17)</f>
        <v>60.815722937880473</v>
      </c>
      <c r="L8" s="305">
        <f>SUM(L9:L17)</f>
        <v>89.255741610817168</v>
      </c>
      <c r="M8" s="304"/>
      <c r="N8" s="305">
        <f>SUM(N9:N17)</f>
        <v>91.034053021034708</v>
      </c>
      <c r="O8" s="305">
        <f>SUM(O9:O17)</f>
        <v>97.47831372544367</v>
      </c>
      <c r="P8" s="305">
        <f>SUM(P9:P17)</f>
        <v>112.0901246114111</v>
      </c>
      <c r="Q8" s="306"/>
      <c r="R8" s="305">
        <f>SUM(R9:R17)</f>
        <v>27.827400007193699</v>
      </c>
      <c r="S8" s="305">
        <f>SUM(S9:S17)</f>
        <v>27.122890296340064</v>
      </c>
      <c r="T8" s="305">
        <f>SUM(T9:T17)</f>
        <v>29.459577091677112</v>
      </c>
      <c r="U8" s="306"/>
      <c r="V8" s="305">
        <f>SUM(V9:V17)</f>
        <v>26.960259961527314</v>
      </c>
      <c r="W8" s="305">
        <f>SUM(W9:W17)</f>
        <v>27.963964144204827</v>
      </c>
      <c r="X8" s="305">
        <f>SUM(X9:X17)</f>
        <v>31.843457492558073</v>
      </c>
      <c r="Y8" s="306"/>
      <c r="Z8" s="305">
        <f>SUM(Z9:Z17)</f>
        <v>104.4538629768916</v>
      </c>
      <c r="AA8" s="305">
        <f>SUM(AA9:AA17)</f>
        <v>109.28122941218517</v>
      </c>
      <c r="AB8" s="305">
        <f>SUM(AB9:AB17)</f>
        <v>110.33205707401437</v>
      </c>
      <c r="AC8" s="306"/>
      <c r="AD8" s="305">
        <f>SUM(AD9:AD17)</f>
        <v>99.097756857584869</v>
      </c>
      <c r="AE8" s="305">
        <f>SUM(AE9:AE17)</f>
        <v>104.59823075509432</v>
      </c>
      <c r="AF8" s="305">
        <f>SUM(AF9:AF17)</f>
        <v>91.411250353138385</v>
      </c>
      <c r="AG8" s="306"/>
      <c r="AH8" s="305">
        <f>SUM(AH9:AH17)</f>
        <v>60.025164113237388</v>
      </c>
      <c r="AI8" s="305">
        <f>SUM(AI9:AI17)</f>
        <v>51.779979696468416</v>
      </c>
      <c r="AJ8" s="305">
        <f>SUM(AJ9:AJ17)</f>
        <v>31.920671646136878</v>
      </c>
      <c r="AK8" s="306"/>
      <c r="AL8" s="305">
        <f>SUM(AL9:AL17)</f>
        <v>31.789937482450156</v>
      </c>
      <c r="AM8" s="305">
        <f>SUM(AM9:AM17)</f>
        <v>19.911493545619933</v>
      </c>
      <c r="AN8" s="305">
        <f>SUM(AN9:AN17)</f>
        <v>12.146913981255846</v>
      </c>
    </row>
    <row r="9" spans="1:40" x14ac:dyDescent="0.25">
      <c r="A9" s="13" t="str">
        <f>name!E4</f>
        <v>Managers, directors and senior officials</v>
      </c>
      <c r="B9" s="304">
        <f>SUM(B21,B33,B51,B63,B75,B93)</f>
        <v>47.662233271684357</v>
      </c>
      <c r="C9" s="304">
        <f t="shared" ref="B9:D17" si="0">SUM(C21,C33,C51,C63,C75,C93)</f>
        <v>48.624847367414674</v>
      </c>
      <c r="D9" s="304">
        <f t="shared" si="0"/>
        <v>54.339890299405795</v>
      </c>
      <c r="E9" s="304"/>
      <c r="F9" s="304">
        <f t="shared" ref="F9:H17" si="1">SUM(F21,F33,F51,F63,F75,F93)</f>
        <v>0.53260946093572969</v>
      </c>
      <c r="G9" s="304">
        <f t="shared" si="1"/>
        <v>0.69076575598846701</v>
      </c>
      <c r="H9" s="304">
        <f t="shared" si="1"/>
        <v>1.1036888467925681</v>
      </c>
      <c r="I9" s="304"/>
      <c r="J9" s="304">
        <f t="shared" ref="J9:L17" si="2">SUM(J21,J33,J51,J63,J75,J93)</f>
        <v>5.0976106660829448</v>
      </c>
      <c r="K9" s="304">
        <f t="shared" si="2"/>
        <v>6.479508042056632</v>
      </c>
      <c r="L9" s="304">
        <f t="shared" si="2"/>
        <v>10.254894561337515</v>
      </c>
      <c r="M9" s="304"/>
      <c r="N9" s="304">
        <f t="shared" ref="N9:P17" si="3">SUM(N21,N33,N51,N63,N75,N93)</f>
        <v>11.902365074580613</v>
      </c>
      <c r="O9" s="304">
        <f t="shared" si="3"/>
        <v>12.477152573334328</v>
      </c>
      <c r="P9" s="304">
        <f t="shared" si="3"/>
        <v>14.788911077011827</v>
      </c>
      <c r="Q9" s="306"/>
      <c r="R9" s="304">
        <f t="shared" ref="R9:T9" si="4">SUM(R21,R33,R51,R63,R75,R93)</f>
        <v>2.7497320959425533</v>
      </c>
      <c r="S9" s="304">
        <f t="shared" si="4"/>
        <v>2.770715483940458</v>
      </c>
      <c r="T9" s="304">
        <f t="shared" si="4"/>
        <v>3.1712183678753321</v>
      </c>
      <c r="U9" s="306"/>
      <c r="V9" s="304">
        <f t="shared" ref="V9:X9" si="5">SUM(V21,V33,V51,V63,V75,V93)</f>
        <v>3.5909658565299973</v>
      </c>
      <c r="W9" s="304">
        <f t="shared" si="5"/>
        <v>3.5479589981932871</v>
      </c>
      <c r="X9" s="304">
        <f t="shared" si="5"/>
        <v>3.9470377151099663</v>
      </c>
      <c r="Y9" s="306"/>
      <c r="Z9" s="304">
        <f t="shared" ref="Z9:AB9" si="6">SUM(Z21,Z33,Z51,Z63,Z75,Z93)</f>
        <v>8.8748102681493162</v>
      </c>
      <c r="AA9" s="304">
        <f t="shared" si="6"/>
        <v>8.7673050738403138</v>
      </c>
      <c r="AB9" s="304">
        <f t="shared" si="6"/>
        <v>9.505264008256443</v>
      </c>
      <c r="AC9" s="306"/>
      <c r="AD9" s="304">
        <f>SUM(AD21,AD33,AD51,AD63,AD75,AD93)</f>
        <v>7.5895468168881735</v>
      </c>
      <c r="AE9" s="304">
        <f t="shared" ref="AE9:AF9" si="7">SUM(AE21,AE33,AE51,AE63,AE75,AE93)</f>
        <v>7.7582404335345094</v>
      </c>
      <c r="AF9" s="304">
        <f t="shared" si="7"/>
        <v>7.074594259534706</v>
      </c>
      <c r="AG9" s="306"/>
      <c r="AH9" s="304">
        <f t="shared" ref="AH9:AJ9" si="8">SUM(AH21,AH33,AH51,AH63,AH75,AH93)</f>
        <v>5.407422100172985</v>
      </c>
      <c r="AI9" s="304">
        <f t="shared" si="8"/>
        <v>4.7383756304577691</v>
      </c>
      <c r="AJ9" s="304">
        <f t="shared" si="8"/>
        <v>3.4524456906479251</v>
      </c>
      <c r="AK9" s="306"/>
      <c r="AL9" s="304">
        <f t="shared" ref="AL9:AN9" si="9">SUM(AL21,AL33,AL51,AL63,AL75,AL93)</f>
        <v>1.9171709324020374</v>
      </c>
      <c r="AM9" s="304">
        <f t="shared" si="9"/>
        <v>1.394825376068908</v>
      </c>
      <c r="AN9" s="304">
        <f t="shared" si="9"/>
        <v>1.041835772839502</v>
      </c>
    </row>
    <row r="10" spans="1:40" x14ac:dyDescent="0.25">
      <c r="A10" s="13" t="str">
        <f>name!E5</f>
        <v>Professional occupations</v>
      </c>
      <c r="B10" s="304">
        <f t="shared" si="0"/>
        <v>103.38385272421928</v>
      </c>
      <c r="C10" s="304">
        <f t="shared" si="0"/>
        <v>111.37636061126261</v>
      </c>
      <c r="D10" s="304">
        <f t="shared" si="0"/>
        <v>123.6840031699434</v>
      </c>
      <c r="E10" s="304"/>
      <c r="F10" s="304">
        <f t="shared" si="1"/>
        <v>5.3693359288503064</v>
      </c>
      <c r="G10" s="304">
        <f t="shared" si="1"/>
        <v>6.9145402890441066</v>
      </c>
      <c r="H10" s="304">
        <f t="shared" si="1"/>
        <v>9.7737717460242504</v>
      </c>
      <c r="I10" s="304"/>
      <c r="J10" s="304">
        <f t="shared" si="2"/>
        <v>26.855024104166372</v>
      </c>
      <c r="K10" s="304">
        <f t="shared" si="2"/>
        <v>33.68927298606269</v>
      </c>
      <c r="L10" s="304">
        <f t="shared" si="2"/>
        <v>46.157810491674141</v>
      </c>
      <c r="M10" s="304"/>
      <c r="N10" s="304">
        <f t="shared" si="3"/>
        <v>33.608182808746584</v>
      </c>
      <c r="O10" s="304">
        <f t="shared" si="3"/>
        <v>34.831229484777552</v>
      </c>
      <c r="P10" s="304">
        <f t="shared" si="3"/>
        <v>35.68808922064909</v>
      </c>
      <c r="Q10" s="306"/>
      <c r="R10" s="304">
        <f t="shared" ref="R10:T10" si="10">SUM(R22,R34,R52,R64,R76,R94)</f>
        <v>5.8143832081281852</v>
      </c>
      <c r="S10" s="304">
        <f t="shared" si="10"/>
        <v>4.2730008976312366</v>
      </c>
      <c r="T10" s="304">
        <f t="shared" si="10"/>
        <v>3.0498028694046742</v>
      </c>
      <c r="U10" s="306"/>
      <c r="V10" s="304">
        <f t="shared" ref="V10:X10" si="11">SUM(V22,V34,V52,V64,V76,V94)</f>
        <v>5.0409569537991485</v>
      </c>
      <c r="W10" s="304">
        <f t="shared" si="11"/>
        <v>4.9568126642774422</v>
      </c>
      <c r="X10" s="304">
        <f t="shared" si="11"/>
        <v>5.0671331685548449</v>
      </c>
      <c r="Y10" s="306"/>
      <c r="Z10" s="304">
        <f t="shared" ref="Z10:AB10" si="12">SUM(Z22,Z34,Z52,Z64,Z76,Z94)</f>
        <v>12.016908739246576</v>
      </c>
      <c r="AA10" s="304">
        <f t="shared" si="12"/>
        <v>12.701766479832347</v>
      </c>
      <c r="AB10" s="304">
        <f t="shared" si="12"/>
        <v>13.033977147213111</v>
      </c>
      <c r="AC10" s="306"/>
      <c r="AD10" s="304">
        <f t="shared" ref="AD10:AF10" si="13">SUM(AD22,AD34,AD52,AD64,AD76,AD94)</f>
        <v>8.1696174610982411</v>
      </c>
      <c r="AE10" s="304">
        <f t="shared" si="13"/>
        <v>8.4209711522523421</v>
      </c>
      <c r="AF10" s="304">
        <f t="shared" si="13"/>
        <v>7.0872543626190723</v>
      </c>
      <c r="AG10" s="306"/>
      <c r="AH10" s="304">
        <f t="shared" ref="AH10:AJ10" si="14">SUM(AH22,AH34,AH52,AH64,AH76,AH94)</f>
        <v>4.742504529566431</v>
      </c>
      <c r="AI10" s="304">
        <f t="shared" si="14"/>
        <v>4.183717915527744</v>
      </c>
      <c r="AJ10" s="304">
        <f t="shared" si="14"/>
        <v>2.6061578489698771</v>
      </c>
      <c r="AK10" s="306"/>
      <c r="AL10" s="304">
        <f t="shared" ref="AL10:AN10" si="15">SUM(AL22,AL34,AL52,AL64,AL76,AL94)</f>
        <v>1.766938990617424</v>
      </c>
      <c r="AM10" s="304">
        <f t="shared" si="15"/>
        <v>1.4050487418571256</v>
      </c>
      <c r="AN10" s="304">
        <f t="shared" si="15"/>
        <v>1.220006314834343</v>
      </c>
    </row>
    <row r="11" spans="1:40" x14ac:dyDescent="0.25">
      <c r="A11" s="13" t="str">
        <f>name!E6</f>
        <v>Associate professional occupations</v>
      </c>
      <c r="B11" s="304">
        <f>SUM(B23,B35,B53,B65,B77,B95)</f>
        <v>60.870563130092528</v>
      </c>
      <c r="C11" s="304">
        <f t="shared" si="0"/>
        <v>59.244897095735681</v>
      </c>
      <c r="D11" s="304">
        <f>SUM(D23,D35,D53,D65,D77,D95)</f>
        <v>63.713873046934715</v>
      </c>
      <c r="E11" s="304"/>
      <c r="F11" s="304">
        <f t="shared" si="1"/>
        <v>0.59747336327652545</v>
      </c>
      <c r="G11" s="304">
        <f t="shared" si="1"/>
        <v>0.75445400337616042</v>
      </c>
      <c r="H11" s="304">
        <f t="shared" si="1"/>
        <v>1.2251393085468076</v>
      </c>
      <c r="I11" s="304"/>
      <c r="J11" s="304">
        <f t="shared" si="2"/>
        <v>7.1873721589414359</v>
      </c>
      <c r="K11" s="304">
        <f t="shared" si="2"/>
        <v>8.6234691138145223</v>
      </c>
      <c r="L11" s="304">
        <f t="shared" si="2"/>
        <v>13.007187631606261</v>
      </c>
      <c r="M11" s="304"/>
      <c r="N11" s="304">
        <f t="shared" si="3"/>
        <v>16.557062501268213</v>
      </c>
      <c r="O11" s="304">
        <f t="shared" si="3"/>
        <v>16.713637159709354</v>
      </c>
      <c r="P11" s="304">
        <f t="shared" si="3"/>
        <v>18.969398623990998</v>
      </c>
      <c r="Q11" s="306"/>
      <c r="R11" s="304">
        <f t="shared" ref="R11:T11" si="16">SUM(R23,R35,R53,R65,R77,R95)</f>
        <v>5.1510590637616342</v>
      </c>
      <c r="S11" s="304">
        <f t="shared" si="16"/>
        <v>4.7372904928230861</v>
      </c>
      <c r="T11" s="304">
        <f t="shared" si="16"/>
        <v>4.8001791073495088</v>
      </c>
      <c r="U11" s="306"/>
      <c r="V11" s="304">
        <f t="shared" ref="V11:X11" si="17">SUM(V23,V35,V53,V65,V77,V95)</f>
        <v>4.0368535260132345</v>
      </c>
      <c r="W11" s="304">
        <f t="shared" si="17"/>
        <v>3.7193783913996405</v>
      </c>
      <c r="X11" s="304">
        <f t="shared" si="17"/>
        <v>3.9852039089779288</v>
      </c>
      <c r="Y11" s="306"/>
      <c r="Z11" s="304">
        <f t="shared" ref="Z11:AB11" si="18">SUM(Z23,Z35,Z53,Z65,Z77,Z95)</f>
        <v>11.51476945515611</v>
      </c>
      <c r="AA11" s="304">
        <f t="shared" si="18"/>
        <v>10.947934408757797</v>
      </c>
      <c r="AB11" s="304">
        <f t="shared" si="18"/>
        <v>10.85700434863378</v>
      </c>
      <c r="AC11" s="306"/>
      <c r="AD11" s="304">
        <f t="shared" ref="AD11:AF11" si="19">SUM(AD23,AD35,AD53,AD65,AD77,AD95)</f>
        <v>8.8576459979997626</v>
      </c>
      <c r="AE11" s="304">
        <f t="shared" si="19"/>
        <v>8.4810403722729859</v>
      </c>
      <c r="AF11" s="304">
        <f t="shared" si="19"/>
        <v>7.1900324925098147</v>
      </c>
      <c r="AG11" s="306"/>
      <c r="AH11" s="304">
        <f t="shared" ref="AH11:AJ11" si="20">SUM(AH23,AH35,AH53,AH65,AH77,AH95)</f>
        <v>5.1295933836581078</v>
      </c>
      <c r="AI11" s="304">
        <f t="shared" si="20"/>
        <v>4.0160185272680566</v>
      </c>
      <c r="AJ11" s="304">
        <f t="shared" si="20"/>
        <v>2.5056590112330941</v>
      </c>
      <c r="AK11" s="306"/>
      <c r="AL11" s="304">
        <f t="shared" ref="AL11:AN11" si="21">SUM(AL23,AL35,AL53,AL65,AL77,AL95)</f>
        <v>1.8387336800174952</v>
      </c>
      <c r="AM11" s="304">
        <f t="shared" si="21"/>
        <v>1.2516746263140883</v>
      </c>
      <c r="AN11" s="304">
        <f t="shared" si="21"/>
        <v>1.1740686140865149</v>
      </c>
    </row>
    <row r="12" spans="1:40" x14ac:dyDescent="0.25">
      <c r="A12" s="13" t="str">
        <f>name!E7</f>
        <v>Administrative and secretarial occupations</v>
      </c>
      <c r="B12" s="304">
        <f t="shared" si="0"/>
        <v>56.60592896451567</v>
      </c>
      <c r="C12" s="304">
        <f t="shared" si="0"/>
        <v>53.603520890825379</v>
      </c>
      <c r="D12" s="304">
        <f t="shared" si="0"/>
        <v>48.148843754609032</v>
      </c>
      <c r="E12" s="304"/>
      <c r="F12" s="304">
        <f t="shared" si="1"/>
        <v>0.30097136858721069</v>
      </c>
      <c r="G12" s="304">
        <f t="shared" si="1"/>
        <v>0.3833645953087455</v>
      </c>
      <c r="H12" s="304">
        <f t="shared" si="1"/>
        <v>0.62458714196079734</v>
      </c>
      <c r="I12" s="304"/>
      <c r="J12" s="304">
        <f t="shared" si="2"/>
        <v>3.3990672804578113</v>
      </c>
      <c r="K12" s="304">
        <f t="shared" si="2"/>
        <v>4.1909072468606885</v>
      </c>
      <c r="L12" s="304">
        <f t="shared" si="2"/>
        <v>5.6448095912408016</v>
      </c>
      <c r="M12" s="304"/>
      <c r="N12" s="304">
        <f t="shared" si="3"/>
        <v>10.598447911870622</v>
      </c>
      <c r="O12" s="304">
        <f t="shared" si="3"/>
        <v>11.256211254076092</v>
      </c>
      <c r="P12" s="304">
        <f t="shared" si="3"/>
        <v>13.202085041644501</v>
      </c>
      <c r="Q12" s="306"/>
      <c r="R12" s="304">
        <f t="shared" ref="R12:T12" si="22">SUM(R24,R36,R54,R66,R78,R96)</f>
        <v>4.1414568046774356</v>
      </c>
      <c r="S12" s="304">
        <f t="shared" si="22"/>
        <v>4.317556543353442</v>
      </c>
      <c r="T12" s="304">
        <f t="shared" si="22"/>
        <v>4.8926394937322222</v>
      </c>
      <c r="U12" s="306"/>
      <c r="V12" s="304">
        <f t="shared" ref="V12:X12" si="23">SUM(V24,V36,V54,V66,V78,V96)</f>
        <v>3.7521008505253044</v>
      </c>
      <c r="W12" s="304">
        <f t="shared" si="23"/>
        <v>3.7514990953251637</v>
      </c>
      <c r="X12" s="304">
        <f t="shared" si="23"/>
        <v>4.1793218089262876</v>
      </c>
      <c r="Y12" s="306"/>
      <c r="Z12" s="304">
        <f t="shared" ref="Z12:AA12" si="24">SUM(Z24,Z36,Z54,Z66,Z78,Z96)</f>
        <v>11.690761519241633</v>
      </c>
      <c r="AA12" s="304">
        <f t="shared" si="24"/>
        <v>10.973920332415258</v>
      </c>
      <c r="AB12" s="304">
        <f>SUM(AB24,AB36,AB54,AB66,AB78,AB96)</f>
        <v>8.5587152793306256</v>
      </c>
      <c r="AC12" s="306"/>
      <c r="AD12" s="304">
        <f t="shared" ref="AD12:AE12" si="25">SUM(AD24,AD36,AD54,AD66,AD78,AD96)</f>
        <v>13.434671558811326</v>
      </c>
      <c r="AE12" s="304">
        <f t="shared" si="25"/>
        <v>12.153734563661649</v>
      </c>
      <c r="AF12" s="304">
        <f>SUM(AF24,AF36,AF54,AF66,AF78,AF96)</f>
        <v>8.1558244679693708</v>
      </c>
      <c r="AG12" s="306"/>
      <c r="AH12" s="304">
        <f t="shared" ref="AH12:AI12" si="26">SUM(AH24,AH36,AH54,AH66,AH78,AH96)</f>
        <v>6.5948804255245026</v>
      </c>
      <c r="AI12" s="304">
        <f t="shared" si="26"/>
        <v>4.6766760093896584</v>
      </c>
      <c r="AJ12" s="304">
        <f>SUM(AJ24,AJ36,AJ54,AJ66,AJ78,AJ96)</f>
        <v>1.4677181472221688</v>
      </c>
      <c r="AK12" s="306"/>
      <c r="AL12" s="304">
        <f t="shared" ref="AL12:AM12" si="27">SUM(AL24,AL36,AL54,AL66,AL78,AL96)</f>
        <v>2.6935712448198164</v>
      </c>
      <c r="AM12" s="304">
        <f t="shared" si="27"/>
        <v>1.8996512504346819</v>
      </c>
      <c r="AN12" s="304">
        <f>SUM(AN24,AN36,AN54,AN66,AN78,AN96)</f>
        <v>1.4231427825822582</v>
      </c>
    </row>
    <row r="13" spans="1:40" x14ac:dyDescent="0.25">
      <c r="A13" s="13" t="str">
        <f>name!E8</f>
        <v>Skilled trades occupations</v>
      </c>
      <c r="B13" s="304">
        <f t="shared" si="0"/>
        <v>52.306630670550838</v>
      </c>
      <c r="C13" s="304">
        <f t="shared" si="0"/>
        <v>51.461610878246816</v>
      </c>
      <c r="D13" s="304">
        <f t="shared" si="0"/>
        <v>47.401734716717321</v>
      </c>
      <c r="E13" s="304"/>
      <c r="F13" s="304">
        <f t="shared" si="1"/>
        <v>5.2654153124369524E-2</v>
      </c>
      <c r="G13" s="304">
        <f t="shared" si="1"/>
        <v>6.779145624894059E-2</v>
      </c>
      <c r="H13" s="304">
        <f t="shared" si="1"/>
        <v>9.3527336262846733E-2</v>
      </c>
      <c r="I13" s="304"/>
      <c r="J13" s="304">
        <f t="shared" si="2"/>
        <v>0.84462685392844261</v>
      </c>
      <c r="K13" s="304">
        <f t="shared" si="2"/>
        <v>1.2466111457226747</v>
      </c>
      <c r="L13" s="304">
        <f t="shared" si="2"/>
        <v>1.9430226480931885</v>
      </c>
      <c r="M13" s="304"/>
      <c r="N13" s="304">
        <f t="shared" si="3"/>
        <v>2.4439580529829992</v>
      </c>
      <c r="O13" s="304">
        <f t="shared" si="3"/>
        <v>2.9830583318142834</v>
      </c>
      <c r="P13" s="304">
        <f t="shared" si="3"/>
        <v>3.6829944585352825</v>
      </c>
      <c r="Q13" s="306"/>
      <c r="R13" s="304">
        <f t="shared" ref="R13:T13" si="28">SUM(R25,R37,R55,R67,R79,R97)</f>
        <v>1.1394259027908826</v>
      </c>
      <c r="S13" s="304">
        <f t="shared" si="28"/>
        <v>1.2776254828047577</v>
      </c>
      <c r="T13" s="304">
        <f t="shared" si="28"/>
        <v>1.5296976207028097</v>
      </c>
      <c r="U13" s="306"/>
      <c r="V13" s="304">
        <f t="shared" ref="V13:X13" si="29">SUM(V25,V37,V55,V67,V79,V97)</f>
        <v>2.8921498293576877</v>
      </c>
      <c r="W13" s="304">
        <f t="shared" si="29"/>
        <v>3.1742676700570196</v>
      </c>
      <c r="X13" s="304">
        <f t="shared" si="29"/>
        <v>3.6384295174456591</v>
      </c>
      <c r="Y13" s="306"/>
      <c r="Z13" s="304">
        <f t="shared" ref="Z13:AB13" si="30">SUM(Z25,Z37,Z55,Z67,Z79,Z97)</f>
        <v>17.972994003788237</v>
      </c>
      <c r="AA13" s="304">
        <f t="shared" si="30"/>
        <v>18.319041528498015</v>
      </c>
      <c r="AB13" s="304">
        <f t="shared" si="30"/>
        <v>17.351064574958897</v>
      </c>
      <c r="AC13" s="306"/>
      <c r="AD13" s="304">
        <f t="shared" ref="AD13:AF13" si="31">SUM(AD25,AD37,AD55,AD67,AD79,AD97)</f>
        <v>14.101465188920946</v>
      </c>
      <c r="AE13" s="304">
        <f t="shared" si="31"/>
        <v>14.749509792309093</v>
      </c>
      <c r="AF13" s="304">
        <f t="shared" si="31"/>
        <v>13.251169525208697</v>
      </c>
      <c r="AG13" s="306"/>
      <c r="AH13" s="304">
        <f t="shared" ref="AH13:AJ13" si="32">SUM(AH25,AH37,AH55,AH67,AH79,AH97)</f>
        <v>7.7819449502567704</v>
      </c>
      <c r="AI13" s="304">
        <f t="shared" si="32"/>
        <v>6.7198455815240932</v>
      </c>
      <c r="AJ13" s="304">
        <f t="shared" si="32"/>
        <v>4.5444150144369964</v>
      </c>
      <c r="AK13" s="306"/>
      <c r="AL13" s="304">
        <f t="shared" ref="AL13:AN13" si="33">SUM(AL25,AL37,AL55,AL67,AL79,AL97)</f>
        <v>5.0774117354004922</v>
      </c>
      <c r="AM13" s="304">
        <f t="shared" si="33"/>
        <v>2.9238598892679377</v>
      </c>
      <c r="AN13" s="304">
        <f t="shared" si="33"/>
        <v>1.3674140210729384</v>
      </c>
    </row>
    <row r="14" spans="1:40" x14ac:dyDescent="0.25">
      <c r="A14" s="13" t="str">
        <f>name!E9</f>
        <v>Caring, leisure and other service occupations</v>
      </c>
      <c r="B14" s="304">
        <f t="shared" si="0"/>
        <v>49.410643446209647</v>
      </c>
      <c r="C14" s="304">
        <f t="shared" si="0"/>
        <v>53.053345602630969</v>
      </c>
      <c r="D14" s="304">
        <f t="shared" si="0"/>
        <v>57.66313010793079</v>
      </c>
      <c r="E14" s="304"/>
      <c r="F14" s="304">
        <f t="shared" si="1"/>
        <v>4.609351773107704E-2</v>
      </c>
      <c r="G14" s="304">
        <f t="shared" si="1"/>
        <v>6.5299183317194018E-2</v>
      </c>
      <c r="H14" s="304">
        <f t="shared" si="1"/>
        <v>0.11708978937256052</v>
      </c>
      <c r="I14" s="304"/>
      <c r="J14" s="304">
        <f t="shared" si="2"/>
        <v>1.9054197420226382</v>
      </c>
      <c r="K14" s="304">
        <f t="shared" si="2"/>
        <v>2.6905075823560782</v>
      </c>
      <c r="L14" s="304">
        <f t="shared" si="2"/>
        <v>5.1427272921962546</v>
      </c>
      <c r="M14" s="304"/>
      <c r="N14" s="304">
        <f t="shared" si="3"/>
        <v>6.1124684945188497</v>
      </c>
      <c r="O14" s="304">
        <f t="shared" si="3"/>
        <v>7.2309253896355745</v>
      </c>
      <c r="P14" s="304">
        <f t="shared" si="3"/>
        <v>9.6175344445719944</v>
      </c>
      <c r="Q14" s="306"/>
      <c r="R14" s="304">
        <f>SUM(R26,R38,R56,R68,R80,R98)</f>
        <v>4.8542394145071421</v>
      </c>
      <c r="S14" s="304">
        <f t="shared" ref="S14:T14" si="34">SUM(S26,S38,S56,S68,S80,S98)</f>
        <v>5.0371258026919339</v>
      </c>
      <c r="T14" s="304">
        <f t="shared" si="34"/>
        <v>5.8058383418130894</v>
      </c>
      <c r="U14" s="306"/>
      <c r="V14" s="304">
        <f t="shared" ref="V14:X14" si="35">SUM(V26,V38,V56,V68,V80,V98)</f>
        <v>3.087919504317072</v>
      </c>
      <c r="W14" s="304">
        <f t="shared" si="35"/>
        <v>3.3226918583095904</v>
      </c>
      <c r="X14" s="304">
        <f t="shared" si="35"/>
        <v>4.0883258275140912</v>
      </c>
      <c r="Y14" s="306"/>
      <c r="Z14" s="304">
        <f t="shared" ref="Z14:AB14" si="36">SUM(Z26,Z38,Z56,Z68,Z80,Z98)</f>
        <v>16.716738154372898</v>
      </c>
      <c r="AA14" s="304">
        <f t="shared" si="36"/>
        <v>18.386577447846605</v>
      </c>
      <c r="AB14" s="304">
        <f t="shared" si="36"/>
        <v>19.82640617866339</v>
      </c>
      <c r="AC14" s="306"/>
      <c r="AD14" s="304">
        <f t="shared" ref="AD14:AF14" si="37">SUM(AD26,AD38,AD56,AD68,AD80,AD98)</f>
        <v>12.428417333907657</v>
      </c>
      <c r="AE14" s="304">
        <f t="shared" si="37"/>
        <v>13.033766026821175</v>
      </c>
      <c r="AF14" s="304">
        <f t="shared" si="37"/>
        <v>10.775169626082397</v>
      </c>
      <c r="AG14" s="306"/>
      <c r="AH14" s="304">
        <f t="shared" ref="AH14:AJ14" si="38">SUM(AH26,AH38,AH56,AH68,AH80,AH98)</f>
        <v>2.9579096042862747</v>
      </c>
      <c r="AI14" s="304">
        <f t="shared" si="38"/>
        <v>2.3800781101721782</v>
      </c>
      <c r="AJ14" s="304">
        <f t="shared" si="38"/>
        <v>1.666158032893005</v>
      </c>
      <c r="AK14" s="306"/>
      <c r="AL14" s="304">
        <f t="shared" ref="AL14:AN14" si="39">SUM(AL26,AL38,AL56,AL68,AL80,AL98)</f>
        <v>1.3014376805460386</v>
      </c>
      <c r="AM14" s="304">
        <f t="shared" si="39"/>
        <v>0.9063742014806383</v>
      </c>
      <c r="AN14" s="304">
        <f t="shared" si="39"/>
        <v>0.62388057482401349</v>
      </c>
    </row>
    <row r="15" spans="1:40" x14ac:dyDescent="0.25">
      <c r="A15" s="13" t="str">
        <f>name!E10</f>
        <v>Sales and customer service occupations</v>
      </c>
      <c r="B15" s="304">
        <f t="shared" si="0"/>
        <v>39.309638587229422</v>
      </c>
      <c r="C15" s="304">
        <f t="shared" si="0"/>
        <v>39.513198289376639</v>
      </c>
      <c r="D15" s="304">
        <f t="shared" si="0"/>
        <v>39.410882758368288</v>
      </c>
      <c r="E15" s="304"/>
      <c r="F15" s="304">
        <f t="shared" si="1"/>
        <v>8.5433023417772896E-2</v>
      </c>
      <c r="G15" s="304">
        <f t="shared" si="1"/>
        <v>0.12200847468577153</v>
      </c>
      <c r="H15" s="304">
        <f t="shared" si="1"/>
        <v>0.20048101256213241</v>
      </c>
      <c r="I15" s="304"/>
      <c r="J15" s="304">
        <f t="shared" si="2"/>
        <v>1.3386536032301148</v>
      </c>
      <c r="K15" s="304">
        <f t="shared" si="2"/>
        <v>1.8750651814707118</v>
      </c>
      <c r="L15" s="304">
        <f t="shared" si="2"/>
        <v>3.2598265549111307</v>
      </c>
      <c r="M15" s="304"/>
      <c r="N15" s="304">
        <f t="shared" si="3"/>
        <v>5.3598277397176473</v>
      </c>
      <c r="O15" s="304">
        <f t="shared" si="3"/>
        <v>6.1954134631504516</v>
      </c>
      <c r="P15" s="304">
        <f t="shared" si="3"/>
        <v>8.1120016342661394</v>
      </c>
      <c r="Q15" s="306"/>
      <c r="R15" s="304">
        <f t="shared" ref="R15:T15" si="40">SUM(R27,R39,R57,R69,R81,R99)</f>
        <v>1.780822613589238</v>
      </c>
      <c r="S15" s="304">
        <f t="shared" si="40"/>
        <v>1.9778590619359799</v>
      </c>
      <c r="T15" s="304">
        <f t="shared" si="40"/>
        <v>2.5603065386333754</v>
      </c>
      <c r="U15" s="306"/>
      <c r="V15" s="304">
        <f t="shared" ref="V15:X15" si="41">SUM(V27,V39,V57,V69,V81,V99)</f>
        <v>1.7828066449258313</v>
      </c>
      <c r="W15" s="304">
        <f t="shared" si="41"/>
        <v>1.9855347941761921</v>
      </c>
      <c r="X15" s="304">
        <f t="shared" si="41"/>
        <v>2.3690534615658065</v>
      </c>
      <c r="Y15" s="306"/>
      <c r="Z15" s="304">
        <f t="shared" ref="Z15:AB15" si="42">SUM(Z27,Z39,Z57,Z69,Z81,Z99)</f>
        <v>9.9607568697794111</v>
      </c>
      <c r="AA15" s="304">
        <f t="shared" si="42"/>
        <v>10.483430000992779</v>
      </c>
      <c r="AB15" s="304">
        <f t="shared" si="42"/>
        <v>10.821659339244547</v>
      </c>
      <c r="AC15" s="306"/>
      <c r="AD15" s="304">
        <f t="shared" ref="AD15:AF15" si="43">SUM(AD27,AD39,AD57,AD69,AD81,AD99)</f>
        <v>9.6761410570732842</v>
      </c>
      <c r="AE15" s="304">
        <f t="shared" si="43"/>
        <v>9.9330503838432129</v>
      </c>
      <c r="AF15" s="304">
        <f t="shared" si="43"/>
        <v>8.3350221961824413</v>
      </c>
      <c r="AG15" s="306"/>
      <c r="AH15" s="304">
        <f t="shared" ref="AH15:AJ15" si="44">SUM(AH27,AH39,AH57,AH69,AH81,AH99)</f>
        <v>5.8269225259418231</v>
      </c>
      <c r="AI15" s="304">
        <f t="shared" si="44"/>
        <v>4.7793769828720745</v>
      </c>
      <c r="AJ15" s="304">
        <f t="shared" si="44"/>
        <v>2.4000774494728678</v>
      </c>
      <c r="AK15" s="306"/>
      <c r="AL15" s="304">
        <f t="shared" ref="AL15:AN15" si="45">SUM(AL27,AL39,AL57,AL69,AL81,AL99)</f>
        <v>3.498274509554292</v>
      </c>
      <c r="AM15" s="304">
        <f t="shared" si="45"/>
        <v>2.1614599462494657</v>
      </c>
      <c r="AN15" s="304">
        <f t="shared" si="45"/>
        <v>1.3524545715298468</v>
      </c>
    </row>
    <row r="16" spans="1:40" x14ac:dyDescent="0.25">
      <c r="A16" s="13" t="str">
        <f>name!E11</f>
        <v>Process, plant and machine operatives</v>
      </c>
      <c r="B16" s="304">
        <f t="shared" si="0"/>
        <v>40.267755299281525</v>
      </c>
      <c r="C16" s="304">
        <f t="shared" si="0"/>
        <v>45.789999084206102</v>
      </c>
      <c r="D16" s="304">
        <f t="shared" si="0"/>
        <v>45.466920875438305</v>
      </c>
      <c r="E16" s="304"/>
      <c r="F16" s="304">
        <f t="shared" si="1"/>
        <v>7.6150473916712424E-2</v>
      </c>
      <c r="G16" s="304">
        <f t="shared" si="1"/>
        <v>0.131752920218564</v>
      </c>
      <c r="H16" s="304">
        <f t="shared" si="1"/>
        <v>0.26759612159223467</v>
      </c>
      <c r="I16" s="304"/>
      <c r="J16" s="304">
        <f t="shared" si="2"/>
        <v>0.46474750048945646</v>
      </c>
      <c r="K16" s="304">
        <f t="shared" si="2"/>
        <v>0.78946174681795034</v>
      </c>
      <c r="L16" s="304">
        <f t="shared" si="2"/>
        <v>1.4566375404907452</v>
      </c>
      <c r="M16" s="304"/>
      <c r="N16" s="304">
        <f t="shared" si="3"/>
        <v>1.5109287731281522</v>
      </c>
      <c r="O16" s="304">
        <f t="shared" si="3"/>
        <v>2.2079853675233432</v>
      </c>
      <c r="P16" s="304">
        <f t="shared" si="3"/>
        <v>3.4262607109188581</v>
      </c>
      <c r="Q16" s="306"/>
      <c r="R16" s="304">
        <f t="shared" ref="R16:T16" si="46">SUM(R28,R40,R58,R70,R82,R100)</f>
        <v>0.73560728618482918</v>
      </c>
      <c r="S16" s="304">
        <f t="shared" si="46"/>
        <v>1.0020635060531771</v>
      </c>
      <c r="T16" s="304">
        <f t="shared" si="46"/>
        <v>1.3062730784689649</v>
      </c>
      <c r="U16" s="306"/>
      <c r="V16" s="304">
        <f t="shared" ref="V16:X16" si="47">SUM(V28,V40,V58,V70,V82,V100)</f>
        <v>1.3406750971613006</v>
      </c>
      <c r="W16" s="304">
        <f t="shared" si="47"/>
        <v>1.8092724563469864</v>
      </c>
      <c r="X16" s="304">
        <f t="shared" si="47"/>
        <v>2.3542018807018823</v>
      </c>
      <c r="Y16" s="306"/>
      <c r="Z16" s="304">
        <f t="shared" ref="Z16:AB16" si="48">SUM(Z28,Z40,Z58,Z70,Z82,Z100)</f>
        <v>8.3648831404777493</v>
      </c>
      <c r="AA16" s="304">
        <f t="shared" si="48"/>
        <v>11.051674503512288</v>
      </c>
      <c r="AB16" s="304">
        <f t="shared" si="48"/>
        <v>12.912361046814937</v>
      </c>
      <c r="AC16" s="306"/>
      <c r="AD16" s="304">
        <f t="shared" ref="AD16:AF16" si="49">SUM(AD28,AD40,AD58,AD70,AD82,AD100)</f>
        <v>11.962642885591977</v>
      </c>
      <c r="AE16" s="304">
        <f t="shared" si="49"/>
        <v>15.789435767335368</v>
      </c>
      <c r="AF16" s="304">
        <f t="shared" si="49"/>
        <v>16.231563451525211</v>
      </c>
      <c r="AG16" s="306"/>
      <c r="AH16" s="304">
        <f t="shared" ref="AH16:AJ16" si="50">SUM(AH28,AH40,AH58,AH70,AH82,AH100)</f>
        <v>9.6593717958924543</v>
      </c>
      <c r="AI16" s="304">
        <f t="shared" si="50"/>
        <v>9.623836736017358</v>
      </c>
      <c r="AJ16" s="304">
        <f t="shared" si="50"/>
        <v>6.0941830633708554</v>
      </c>
      <c r="AK16" s="306"/>
      <c r="AL16" s="304">
        <f t="shared" ref="AL16:AN16" si="51">SUM(AL28,AL40,AL58,AL70,AL82,AL100)</f>
        <v>6.152748346438897</v>
      </c>
      <c r="AM16" s="304">
        <f t="shared" si="51"/>
        <v>3.384516080381057</v>
      </c>
      <c r="AN16" s="304">
        <f t="shared" si="51"/>
        <v>1.4178439815546178</v>
      </c>
    </row>
    <row r="17" spans="1:40" x14ac:dyDescent="0.25">
      <c r="A17" s="13" t="str">
        <f>name!E12</f>
        <v>Elementary occupations</v>
      </c>
      <c r="B17" s="304">
        <f t="shared" si="0"/>
        <v>46.376753906216891</v>
      </c>
      <c r="C17" s="304">
        <f t="shared" si="0"/>
        <v>45.460220180301022</v>
      </c>
      <c r="D17" s="304">
        <f t="shared" si="0"/>
        <v>42.114721270652211</v>
      </c>
      <c r="E17" s="304"/>
      <c r="F17" s="304">
        <f t="shared" si="1"/>
        <v>3.058728925374686E-2</v>
      </c>
      <c r="G17" s="304">
        <f t="shared" si="1"/>
        <v>4.6198808575032523E-2</v>
      </c>
      <c r="H17" s="304">
        <f t="shared" si="1"/>
        <v>7.8324835876677754E-2</v>
      </c>
      <c r="I17" s="304"/>
      <c r="J17" s="304">
        <f t="shared" si="2"/>
        <v>0.82173509166769665</v>
      </c>
      <c r="K17" s="304">
        <f t="shared" si="2"/>
        <v>1.2309198927185325</v>
      </c>
      <c r="L17" s="304">
        <f t="shared" si="2"/>
        <v>2.3888252992671313</v>
      </c>
      <c r="M17" s="304"/>
      <c r="N17" s="304">
        <f t="shared" si="3"/>
        <v>2.9408116642210289</v>
      </c>
      <c r="O17" s="304">
        <f t="shared" si="3"/>
        <v>3.5827007014227004</v>
      </c>
      <c r="P17" s="304">
        <f t="shared" si="3"/>
        <v>4.6028493998224338</v>
      </c>
      <c r="Q17" s="306"/>
      <c r="R17" s="304">
        <f t="shared" ref="R17:T17" si="52">SUM(R29,R41,R59,R71,R83,R101)</f>
        <v>1.4606736176118014</v>
      </c>
      <c r="S17" s="304">
        <f t="shared" si="52"/>
        <v>1.7296530251059916</v>
      </c>
      <c r="T17" s="304">
        <f t="shared" si="52"/>
        <v>2.343621673697132</v>
      </c>
      <c r="U17" s="306"/>
      <c r="V17" s="304">
        <f t="shared" ref="V17:X17" si="53">SUM(V29,V41,V59,V71,V83,V101)</f>
        <v>1.4358316988977349</v>
      </c>
      <c r="W17" s="304">
        <f t="shared" si="53"/>
        <v>1.6965482161195065</v>
      </c>
      <c r="X17" s="304">
        <f t="shared" si="53"/>
        <v>2.2147502037616063</v>
      </c>
      <c r="Y17" s="306"/>
      <c r="Z17" s="304">
        <f t="shared" ref="Z17:AB17" si="54">SUM(Z29,Z41,Z59,Z71,Z83,Z101)</f>
        <v>7.3412408266796652</v>
      </c>
      <c r="AA17" s="304">
        <f t="shared" si="54"/>
        <v>7.6495796364897579</v>
      </c>
      <c r="AB17" s="304">
        <f t="shared" si="54"/>
        <v>7.4656051508986421</v>
      </c>
      <c r="AC17" s="306"/>
      <c r="AD17" s="304">
        <f t="shared" ref="AD17:AF17" si="55">SUM(AD29,AD41,AD59,AD71,AD83,AD101)</f>
        <v>12.877608557293515</v>
      </c>
      <c r="AE17" s="304">
        <f t="shared" si="55"/>
        <v>14.278482263063998</v>
      </c>
      <c r="AF17" s="304">
        <f t="shared" si="55"/>
        <v>13.310619971506686</v>
      </c>
      <c r="AG17" s="306"/>
      <c r="AH17" s="304">
        <f t="shared" ref="AH17:AJ17" si="56">SUM(AH29,AH41,AH59,AH71,AH83,AH101)</f>
        <v>11.924614797938041</v>
      </c>
      <c r="AI17" s="304">
        <f t="shared" si="56"/>
        <v>10.662054203239475</v>
      </c>
      <c r="AJ17" s="304">
        <f t="shared" si="56"/>
        <v>7.1838573878900887</v>
      </c>
      <c r="AK17" s="306"/>
      <c r="AL17" s="304">
        <f t="shared" ref="AL17:AN17" si="57">SUM(AL29,AL41,AL59,AL71,AL83,AL101)</f>
        <v>7.543650362653664</v>
      </c>
      <c r="AM17" s="304">
        <f t="shared" si="57"/>
        <v>4.5840834335660308</v>
      </c>
      <c r="AN17" s="304">
        <f t="shared" si="57"/>
        <v>2.5262673479318112</v>
      </c>
    </row>
    <row r="18" spans="1:40" x14ac:dyDescent="0.25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ht="13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5">
      <c r="A20" s="13" t="str">
        <f t="shared" ref="A20:A29" si="58">A8</f>
        <v>All occupations</v>
      </c>
      <c r="B20" s="305">
        <f>SUM(B21:B29)</f>
        <v>7.0439999999999996</v>
      </c>
      <c r="C20" s="305">
        <f>SUM(C21:C29)</f>
        <v>7.0900000000000034</v>
      </c>
      <c r="D20" s="305">
        <f>SUM(D21:D29)</f>
        <v>7.1440000000000001</v>
      </c>
      <c r="E20" s="304"/>
      <c r="F20" s="305">
        <f>SUM(F21:F29)</f>
        <v>9.026199781392677E-2</v>
      </c>
      <c r="G20" s="305">
        <f>SUM(G21:G29)</f>
        <v>0.12155861133255678</v>
      </c>
      <c r="H20" s="305">
        <f>SUM(H21:H29)</f>
        <v>0.19167182825494186</v>
      </c>
      <c r="I20" s="304"/>
      <c r="J20" s="305">
        <f>SUM(J21:J29)</f>
        <v>0.50610623466157123</v>
      </c>
      <c r="K20" s="305">
        <f>SUM(K21:K29)</f>
        <v>0.65013236865912027</v>
      </c>
      <c r="L20" s="305">
        <f>SUM(L21:L29)</f>
        <v>0.97011317434321731</v>
      </c>
      <c r="M20" s="304"/>
      <c r="N20" s="305">
        <f>SUM(N21:N29)</f>
        <v>1.1685869043139911</v>
      </c>
      <c r="O20" s="305">
        <f>SUM(O21:O29)</f>
        <v>1.216278077194713</v>
      </c>
      <c r="P20" s="305">
        <f>SUM(P21:P29)</f>
        <v>1.3484940838368928</v>
      </c>
      <c r="Q20" s="306"/>
      <c r="R20" s="305">
        <f>SUM(R21:R29)</f>
        <v>0.18838054066727078</v>
      </c>
      <c r="S20" s="305">
        <f>SUM(S21:S29)</f>
        <v>0.19890830295963582</v>
      </c>
      <c r="T20" s="305">
        <f>SUM(T21:T29)</f>
        <v>0.22773487280192839</v>
      </c>
      <c r="U20" s="306"/>
      <c r="V20" s="305">
        <f>SUM(V21:V29)</f>
        <v>0.62775408068933936</v>
      </c>
      <c r="W20" s="305">
        <f>SUM(W21:W29)</f>
        <v>0.64950833770735839</v>
      </c>
      <c r="X20" s="305">
        <f>SUM(X21:X29)</f>
        <v>0.72332557128698238</v>
      </c>
      <c r="Y20" s="306"/>
      <c r="Z20" s="305">
        <f>SUM(Z21:Z29)</f>
        <v>1.3804351921316007</v>
      </c>
      <c r="AA20" s="305">
        <f>SUM(AA21:AA29)</f>
        <v>1.4053600059250779</v>
      </c>
      <c r="AB20" s="305">
        <f>SUM(AB21:AB29)</f>
        <v>1.4366705673196749</v>
      </c>
      <c r="AC20" s="306"/>
      <c r="AD20" s="305">
        <f>SUM(AD21:AD29)</f>
        <v>1.3112504969988796</v>
      </c>
      <c r="AE20" s="305">
        <f>SUM(AE21:AE29)</f>
        <v>1.3645000273758863</v>
      </c>
      <c r="AF20" s="305">
        <f>SUM(AF21:AF29)</f>
        <v>1.2072501147859069</v>
      </c>
      <c r="AG20" s="306"/>
      <c r="AH20" s="305">
        <f>SUM(AH21:AH29)</f>
        <v>0.9345583807625194</v>
      </c>
      <c r="AI20" s="305">
        <f>SUM(AI21:AI29)</f>
        <v>0.81375242088387711</v>
      </c>
      <c r="AJ20" s="305">
        <f>SUM(AJ21:AJ29)</f>
        <v>0.58162853793127922</v>
      </c>
      <c r="AK20" s="306"/>
      <c r="AL20" s="305">
        <f>SUM(AL21:AL29)</f>
        <v>0.83666617196090098</v>
      </c>
      <c r="AM20" s="305">
        <f>SUM(AM21:AM29)</f>
        <v>0.67000184796177942</v>
      </c>
      <c r="AN20" s="305">
        <f>SUM(AN21:AN29)</f>
        <v>0.45711124943917492</v>
      </c>
    </row>
    <row r="21" spans="1:40" x14ac:dyDescent="0.25">
      <c r="A21" s="13" t="str">
        <f t="shared" si="58"/>
        <v>Managers, directors and senior officials</v>
      </c>
      <c r="B21" s="304">
        <f>SUM(F21,J21,N21,R21,V21,Z21,AD21,AH21,AL21)</f>
        <v>0.68104382571128019</v>
      </c>
      <c r="C21" s="304">
        <f t="shared" ref="C21:D21" si="59">SUM(G21,K21,O21,S21,W21,AA21,AE21,AI21,AM21)</f>
        <v>0.70435297051871926</v>
      </c>
      <c r="D21" s="304">
        <f t="shared" si="59"/>
        <v>0.75016522242877182</v>
      </c>
      <c r="E21" s="304"/>
      <c r="F21" s="304">
        <v>1.9597580324282306E-2</v>
      </c>
      <c r="G21" s="304">
        <v>2.6904184089368444E-2</v>
      </c>
      <c r="H21" s="304">
        <v>4.0049733784937494E-2</v>
      </c>
      <c r="I21" s="304"/>
      <c r="J21" s="304">
        <v>0.11339933736133267</v>
      </c>
      <c r="K21" s="304">
        <v>0.14058937334672278</v>
      </c>
      <c r="L21" s="304">
        <v>0.19401685828831966</v>
      </c>
      <c r="M21" s="304"/>
      <c r="N21" s="304">
        <v>0.15303134107230906</v>
      </c>
      <c r="O21" s="304">
        <v>0.1514818119466492</v>
      </c>
      <c r="P21" s="304">
        <v>0.16527875168812203</v>
      </c>
      <c r="Q21" s="306"/>
      <c r="R21" s="304">
        <v>2.1406693752312748E-2</v>
      </c>
      <c r="S21" s="304">
        <v>2.1430128452432265E-2</v>
      </c>
      <c r="T21" s="304">
        <v>2.1024369321021721E-2</v>
      </c>
      <c r="U21" s="306"/>
      <c r="V21" s="304">
        <v>4.3808907801200066E-2</v>
      </c>
      <c r="W21" s="304">
        <v>3.7073625493522472E-2</v>
      </c>
      <c r="X21" s="304">
        <v>3.3991862049225052E-2</v>
      </c>
      <c r="Y21" s="306"/>
      <c r="Z21" s="304">
        <v>8.0947901672860895E-2</v>
      </c>
      <c r="AA21" s="304">
        <v>8.744647074902423E-2</v>
      </c>
      <c r="AB21" s="304">
        <v>0.10089687172640122</v>
      </c>
      <c r="AC21" s="306"/>
      <c r="AD21" s="304">
        <v>9.5375122188067707E-2</v>
      </c>
      <c r="AE21" s="304">
        <v>0.10786660882034572</v>
      </c>
      <c r="AF21" s="304">
        <v>9.8558431026991147E-2</v>
      </c>
      <c r="AG21" s="306"/>
      <c r="AH21" s="304">
        <v>6.5393838848017985E-2</v>
      </c>
      <c r="AI21" s="304">
        <v>5.6774486037302084E-2</v>
      </c>
      <c r="AJ21" s="304">
        <v>4.2064809234401042E-2</v>
      </c>
      <c r="AK21" s="306"/>
      <c r="AL21" s="304">
        <v>8.8083102690896711E-2</v>
      </c>
      <c r="AM21" s="304">
        <v>7.4786281583352154E-2</v>
      </c>
      <c r="AN21" s="304">
        <v>5.4283535309352475E-2</v>
      </c>
    </row>
    <row r="22" spans="1:40" x14ac:dyDescent="0.25">
      <c r="A22" s="13" t="str">
        <f t="shared" si="58"/>
        <v>Professional occupations</v>
      </c>
      <c r="B22" s="304">
        <f t="shared" ref="B22:B29" si="60">SUM(F22,J22,N22,R22,V22,Z22,AD22,AH22,AL22)</f>
        <v>1.0398151027540619</v>
      </c>
      <c r="C22" s="304">
        <f t="shared" ref="C22:C29" si="61">SUM(G22,K22,O22,S22,W22,AA22,AE22,AI22,AM22)</f>
        <v>1.0927388153502389</v>
      </c>
      <c r="D22" s="304">
        <f t="shared" ref="D22:D29" si="62">SUM(H22,L22,P22,T22,X22,AB22,AF22,AJ22,AN22)</f>
        <v>1.2058949842157134</v>
      </c>
      <c r="E22" s="304"/>
      <c r="F22" s="304">
        <v>3.9820702606370342E-2</v>
      </c>
      <c r="G22" s="304">
        <v>5.4133377560347945E-2</v>
      </c>
      <c r="H22" s="304">
        <v>8.3392831650393406E-2</v>
      </c>
      <c r="I22" s="304"/>
      <c r="J22" s="304">
        <v>0.17674463124453657</v>
      </c>
      <c r="K22" s="304">
        <v>0.23340295264130215</v>
      </c>
      <c r="L22" s="304">
        <v>0.34790097120608615</v>
      </c>
      <c r="M22" s="304"/>
      <c r="N22" s="304">
        <v>0.3313868702982305</v>
      </c>
      <c r="O22" s="304">
        <v>0.33675681829562371</v>
      </c>
      <c r="P22" s="304">
        <v>0.349838918320035</v>
      </c>
      <c r="Q22" s="306"/>
      <c r="R22" s="304">
        <v>3.7358264602060903E-2</v>
      </c>
      <c r="S22" s="304">
        <v>3.8351315380799056E-2</v>
      </c>
      <c r="T22" s="304">
        <v>4.0155092120230822E-2</v>
      </c>
      <c r="U22" s="306"/>
      <c r="V22" s="304">
        <v>0.1316212525329539</v>
      </c>
      <c r="W22" s="304">
        <v>0.12854528525047029</v>
      </c>
      <c r="X22" s="304">
        <v>0.12986756200601776</v>
      </c>
      <c r="Y22" s="306"/>
      <c r="Z22" s="304">
        <v>0.12677485449323492</v>
      </c>
      <c r="AA22" s="304">
        <v>0.12197778080867099</v>
      </c>
      <c r="AB22" s="304">
        <v>0.11110382012370884</v>
      </c>
      <c r="AC22" s="306"/>
      <c r="AD22" s="304">
        <v>7.6433636643098865E-2</v>
      </c>
      <c r="AE22" s="304">
        <v>7.3278598351235874E-2</v>
      </c>
      <c r="AF22" s="304">
        <v>6.4477314204254191E-2</v>
      </c>
      <c r="AG22" s="306"/>
      <c r="AH22" s="304">
        <v>6.3652851209661646E-2</v>
      </c>
      <c r="AI22" s="304">
        <v>6.0417572236132887E-2</v>
      </c>
      <c r="AJ22" s="304">
        <v>4.4460737412124619E-2</v>
      </c>
      <c r="AK22" s="306"/>
      <c r="AL22" s="304">
        <v>5.6022039123914312E-2</v>
      </c>
      <c r="AM22" s="304">
        <v>4.5875114825655976E-2</v>
      </c>
      <c r="AN22" s="304">
        <v>3.4697737172862501E-2</v>
      </c>
    </row>
    <row r="23" spans="1:40" x14ac:dyDescent="0.25">
      <c r="A23" s="13" t="str">
        <f t="shared" si="58"/>
        <v>Associate professional occupations</v>
      </c>
      <c r="B23" s="304">
        <f t="shared" si="60"/>
        <v>1.0358652648377173</v>
      </c>
      <c r="C23" s="304">
        <f t="shared" si="61"/>
        <v>1.0014430579957492</v>
      </c>
      <c r="D23" s="304">
        <f t="shared" si="62"/>
        <v>1.1195987314668752</v>
      </c>
      <c r="E23" s="304"/>
      <c r="F23" s="304">
        <v>1.860518446502336E-2</v>
      </c>
      <c r="G23" s="304">
        <v>2.5191725285033384E-2</v>
      </c>
      <c r="H23" s="304">
        <v>4.5284396457394509E-2</v>
      </c>
      <c r="I23" s="304"/>
      <c r="J23" s="304">
        <v>9.1667910820616663E-2</v>
      </c>
      <c r="K23" s="304">
        <v>0.11761200741611723</v>
      </c>
      <c r="L23" s="304">
        <v>0.19244554201902034</v>
      </c>
      <c r="M23" s="304"/>
      <c r="N23" s="304">
        <v>0.24929827702602847</v>
      </c>
      <c r="O23" s="304">
        <v>0.23670723216296438</v>
      </c>
      <c r="P23" s="304">
        <v>0.25350073184761485</v>
      </c>
      <c r="Q23" s="306"/>
      <c r="R23" s="304">
        <v>2.6781318994989721E-2</v>
      </c>
      <c r="S23" s="304">
        <v>2.6256239817249543E-2</v>
      </c>
      <c r="T23" s="304">
        <v>3.2708232769895679E-2</v>
      </c>
      <c r="U23" s="306"/>
      <c r="V23" s="304">
        <v>0.17673080881300801</v>
      </c>
      <c r="W23" s="304">
        <v>0.18405716335531239</v>
      </c>
      <c r="X23" s="304">
        <v>0.21566301125072732</v>
      </c>
      <c r="Y23" s="306"/>
      <c r="Z23" s="304">
        <v>0.22439494587147085</v>
      </c>
      <c r="AA23" s="304">
        <v>0.19647984419409908</v>
      </c>
      <c r="AB23" s="304">
        <v>0.19244161174541374</v>
      </c>
      <c r="AC23" s="306"/>
      <c r="AD23" s="304">
        <v>0.10096591514844505</v>
      </c>
      <c r="AE23" s="304">
        <v>8.8649533110683146E-2</v>
      </c>
      <c r="AF23" s="304">
        <v>6.6571730973537968E-2</v>
      </c>
      <c r="AG23" s="306"/>
      <c r="AH23" s="304">
        <v>9.236152078858631E-2</v>
      </c>
      <c r="AI23" s="304">
        <v>7.8036702426861601E-2</v>
      </c>
      <c r="AJ23" s="304">
        <v>5.753753240619474E-2</v>
      </c>
      <c r="AK23" s="306"/>
      <c r="AL23" s="304">
        <v>5.5059382909548954E-2</v>
      </c>
      <c r="AM23" s="304">
        <v>4.8452610227428458E-2</v>
      </c>
      <c r="AN23" s="304">
        <v>6.3445941997076052E-2</v>
      </c>
    </row>
    <row r="24" spans="1:40" x14ac:dyDescent="0.25">
      <c r="A24" s="13" t="str">
        <f t="shared" si="58"/>
        <v>Administrative and secretarial occupations</v>
      </c>
      <c r="B24" s="304">
        <f t="shared" si="60"/>
        <v>0.80710685511212021</v>
      </c>
      <c r="C24" s="304">
        <f t="shared" si="61"/>
        <v>0.74133007551775365</v>
      </c>
      <c r="D24" s="304">
        <f t="shared" si="62"/>
        <v>0.66243130195834388</v>
      </c>
      <c r="E24" s="304"/>
      <c r="F24" s="304">
        <v>3.0458509620210515E-3</v>
      </c>
      <c r="G24" s="304">
        <v>3.1839976044351795E-3</v>
      </c>
      <c r="H24" s="304">
        <v>4.2381604539490896E-3</v>
      </c>
      <c r="I24" s="304"/>
      <c r="J24" s="304">
        <v>5.1937099726435565E-2</v>
      </c>
      <c r="K24" s="304">
        <v>6.2345584533376304E-2</v>
      </c>
      <c r="L24" s="304">
        <v>9.3731369228164121E-2</v>
      </c>
      <c r="M24" s="304"/>
      <c r="N24" s="304">
        <v>0.17481561360414172</v>
      </c>
      <c r="O24" s="304">
        <v>0.17999511743727073</v>
      </c>
      <c r="P24" s="304">
        <v>0.19360557037337753</v>
      </c>
      <c r="Q24" s="306"/>
      <c r="R24" s="304">
        <v>1.9292235799725482E-2</v>
      </c>
      <c r="S24" s="304">
        <v>1.6816844356751445E-2</v>
      </c>
      <c r="T24" s="304">
        <v>1.3969852891646808E-2</v>
      </c>
      <c r="U24" s="306"/>
      <c r="V24" s="304">
        <v>5.8935648468866918E-2</v>
      </c>
      <c r="W24" s="304">
        <v>5.4590222678397408E-2</v>
      </c>
      <c r="X24" s="304">
        <v>5.1838129413949427E-2</v>
      </c>
      <c r="Y24" s="306"/>
      <c r="Z24" s="304">
        <v>0.14049777458822246</v>
      </c>
      <c r="AA24" s="304">
        <v>0.12033522819156113</v>
      </c>
      <c r="AB24" s="304">
        <v>8.461211244297788E-2</v>
      </c>
      <c r="AC24" s="306"/>
      <c r="AD24" s="304">
        <v>0.12010522327179467</v>
      </c>
      <c r="AE24" s="304">
        <v>9.5541772635098277E-2</v>
      </c>
      <c r="AF24" s="304">
        <v>6.5060625664988422E-2</v>
      </c>
      <c r="AG24" s="306"/>
      <c r="AH24" s="304">
        <v>0.13550953144177894</v>
      </c>
      <c r="AI24" s="304">
        <v>0.12148602774711696</v>
      </c>
      <c r="AJ24" s="304">
        <v>7.437555041975849E-2</v>
      </c>
      <c r="AK24" s="306"/>
      <c r="AL24" s="304">
        <v>0.10296787724913344</v>
      </c>
      <c r="AM24" s="304">
        <v>8.7035280333746259E-2</v>
      </c>
      <c r="AN24" s="304">
        <v>8.0999931069532072E-2</v>
      </c>
    </row>
    <row r="25" spans="1:40" x14ac:dyDescent="0.25">
      <c r="A25" s="13" t="str">
        <f t="shared" si="58"/>
        <v>Skilled trades occupations</v>
      </c>
      <c r="B25" s="304">
        <f t="shared" si="60"/>
        <v>1.3761509940732941</v>
      </c>
      <c r="C25" s="304">
        <f t="shared" si="61"/>
        <v>1.4155490212295776</v>
      </c>
      <c r="D25" s="304">
        <f t="shared" si="62"/>
        <v>1.3057432965661213</v>
      </c>
      <c r="E25" s="304"/>
      <c r="F25" s="304">
        <v>5.2445603366097883E-3</v>
      </c>
      <c r="G25" s="304">
        <v>6.8688300956936451E-3</v>
      </c>
      <c r="H25" s="304">
        <v>1.0193049521206967E-2</v>
      </c>
      <c r="I25" s="304"/>
      <c r="J25" s="304">
        <v>2.4442880059083794E-2</v>
      </c>
      <c r="K25" s="304">
        <v>3.2548566846972313E-2</v>
      </c>
      <c r="L25" s="304">
        <v>4.8402706261924992E-2</v>
      </c>
      <c r="M25" s="304"/>
      <c r="N25" s="304">
        <v>0.1499127770582003</v>
      </c>
      <c r="O25" s="304">
        <v>0.18038851081875532</v>
      </c>
      <c r="P25" s="304">
        <v>0.23193079789554216</v>
      </c>
      <c r="Q25" s="306"/>
      <c r="R25" s="304">
        <v>4.4313243502443304E-2</v>
      </c>
      <c r="S25" s="304">
        <v>5.0742816571206141E-2</v>
      </c>
      <c r="T25" s="304">
        <v>5.9694013944472879E-2</v>
      </c>
      <c r="U25" s="306"/>
      <c r="V25" s="304">
        <v>0.14758222088868053</v>
      </c>
      <c r="W25" s="304">
        <v>0.16815169956507475</v>
      </c>
      <c r="X25" s="304">
        <v>0.20569637068730184</v>
      </c>
      <c r="Y25" s="306"/>
      <c r="Z25" s="304">
        <v>0.32376487666980325</v>
      </c>
      <c r="AA25" s="304">
        <v>0.31637536196478916</v>
      </c>
      <c r="AB25" s="304">
        <v>0.25537751564743522</v>
      </c>
      <c r="AC25" s="306"/>
      <c r="AD25" s="304">
        <v>0.30473916522532313</v>
      </c>
      <c r="AE25" s="304">
        <v>0.32586567687551754</v>
      </c>
      <c r="AF25" s="304">
        <v>0.27710481079829713</v>
      </c>
      <c r="AG25" s="306"/>
      <c r="AH25" s="304">
        <v>0.21261657480564827</v>
      </c>
      <c r="AI25" s="304">
        <v>0.19972900971227539</v>
      </c>
      <c r="AJ25" s="304">
        <v>0.15749069429423071</v>
      </c>
      <c r="AK25" s="306"/>
      <c r="AL25" s="304">
        <v>0.16353469552750174</v>
      </c>
      <c r="AM25" s="304">
        <v>0.13487854877929306</v>
      </c>
      <c r="AN25" s="304">
        <v>5.9853337515709266E-2</v>
      </c>
    </row>
    <row r="26" spans="1:40" x14ac:dyDescent="0.25">
      <c r="A26" s="13" t="str">
        <f t="shared" si="58"/>
        <v>Caring, leisure and other service occupations</v>
      </c>
      <c r="B26" s="304">
        <f t="shared" si="60"/>
        <v>0.17108780024674206</v>
      </c>
      <c r="C26" s="304">
        <f t="shared" si="61"/>
        <v>0.1765347415785819</v>
      </c>
      <c r="D26" s="304">
        <f t="shared" si="62"/>
        <v>0.18546548371677143</v>
      </c>
      <c r="E26" s="304"/>
      <c r="F26" s="304">
        <v>1.4897667108888344E-3</v>
      </c>
      <c r="G26" s="304">
        <v>2.2803859229427463E-3</v>
      </c>
      <c r="H26" s="304">
        <v>3.2346317534083209E-3</v>
      </c>
      <c r="I26" s="304"/>
      <c r="J26" s="304">
        <v>1.7767598195246599E-2</v>
      </c>
      <c r="K26" s="304">
        <v>2.2903889132928391E-2</v>
      </c>
      <c r="L26" s="304">
        <v>3.1962008376601042E-2</v>
      </c>
      <c r="M26" s="304"/>
      <c r="N26" s="304">
        <v>4.1644708817499779E-2</v>
      </c>
      <c r="O26" s="304">
        <v>4.5528518213015054E-2</v>
      </c>
      <c r="P26" s="304">
        <v>4.5263531337757242E-2</v>
      </c>
      <c r="Q26" s="306"/>
      <c r="R26" s="304">
        <v>8.6083747566198434E-3</v>
      </c>
      <c r="S26" s="304">
        <v>1.0924923716104451E-2</v>
      </c>
      <c r="T26" s="304">
        <v>1.3722651849759869E-2</v>
      </c>
      <c r="U26" s="306"/>
      <c r="V26" s="304">
        <v>7.0702565802953287E-3</v>
      </c>
      <c r="W26" s="304">
        <v>6.6042225446872205E-3</v>
      </c>
      <c r="X26" s="304">
        <v>6.70151343449704E-3</v>
      </c>
      <c r="Y26" s="306"/>
      <c r="Z26" s="304">
        <v>2.4756646549883122E-2</v>
      </c>
      <c r="AA26" s="304">
        <v>2.5922756165358125E-2</v>
      </c>
      <c r="AB26" s="304">
        <v>2.7794385819538418E-2</v>
      </c>
      <c r="AC26" s="306"/>
      <c r="AD26" s="304">
        <v>1.9146485936999792E-2</v>
      </c>
      <c r="AE26" s="304">
        <v>1.9168658243901533E-2</v>
      </c>
      <c r="AF26" s="304">
        <v>1.5222525706769473E-2</v>
      </c>
      <c r="AG26" s="306"/>
      <c r="AH26" s="304">
        <v>2.5425043193027724E-2</v>
      </c>
      <c r="AI26" s="304">
        <v>2.2670529139167516E-2</v>
      </c>
      <c r="AJ26" s="304">
        <v>1.8641461553496282E-2</v>
      </c>
      <c r="AK26" s="306"/>
      <c r="AL26" s="304">
        <v>2.5178919506281063E-2</v>
      </c>
      <c r="AM26" s="304">
        <v>2.0530858500476864E-2</v>
      </c>
      <c r="AN26" s="304">
        <v>2.2922773884943754E-2</v>
      </c>
    </row>
    <row r="27" spans="1:40" x14ac:dyDescent="0.25">
      <c r="A27" s="13" t="str">
        <f t="shared" si="58"/>
        <v>Sales and customer service occupations</v>
      </c>
      <c r="B27" s="304">
        <f t="shared" si="60"/>
        <v>0.38794978409756936</v>
      </c>
      <c r="C27" s="304">
        <f t="shared" si="61"/>
        <v>0.39075349466234593</v>
      </c>
      <c r="D27" s="304">
        <f t="shared" si="62"/>
        <v>0.39704249113117096</v>
      </c>
      <c r="E27" s="304"/>
      <c r="F27" s="304">
        <v>2.3915328007849254E-3</v>
      </c>
      <c r="G27" s="304">
        <v>2.9005942579275724E-3</v>
      </c>
      <c r="H27" s="304">
        <v>5.1200859150315218E-3</v>
      </c>
      <c r="I27" s="304"/>
      <c r="J27" s="304">
        <v>1.2836721238559935E-2</v>
      </c>
      <c r="K27" s="304">
        <v>1.672222035857648E-2</v>
      </c>
      <c r="L27" s="304">
        <v>2.5103034006961601E-2</v>
      </c>
      <c r="M27" s="304"/>
      <c r="N27" s="304">
        <v>3.8229370803950703E-2</v>
      </c>
      <c r="O27" s="304">
        <v>4.3372981239707703E-2</v>
      </c>
      <c r="P27" s="304">
        <v>5.3866179638110148E-2</v>
      </c>
      <c r="Q27" s="306"/>
      <c r="R27" s="304">
        <v>1.4801034932270281E-2</v>
      </c>
      <c r="S27" s="304">
        <v>1.5971876062412231E-2</v>
      </c>
      <c r="T27" s="304">
        <v>2.3223635294017213E-2</v>
      </c>
      <c r="U27" s="306"/>
      <c r="V27" s="304">
        <v>2.8586127114373486E-2</v>
      </c>
      <c r="W27" s="304">
        <v>2.765483224472132E-2</v>
      </c>
      <c r="X27" s="304">
        <v>2.6367794962443628E-2</v>
      </c>
      <c r="Y27" s="306"/>
      <c r="Z27" s="304">
        <v>0.12383162662688542</v>
      </c>
      <c r="AA27" s="304">
        <v>0.13283119530933454</v>
      </c>
      <c r="AB27" s="304">
        <v>0.14296846068233268</v>
      </c>
      <c r="AC27" s="306"/>
      <c r="AD27" s="304">
        <v>6.0723960692916634E-2</v>
      </c>
      <c r="AE27" s="304">
        <v>6.5893814109196758E-2</v>
      </c>
      <c r="AF27" s="304">
        <v>6.3330980797397046E-2</v>
      </c>
      <c r="AG27" s="306"/>
      <c r="AH27" s="304">
        <v>6.7295465413958117E-2</v>
      </c>
      <c r="AI27" s="304">
        <v>6.0462634028794114E-2</v>
      </c>
      <c r="AJ27" s="304">
        <v>4.1729349902885522E-2</v>
      </c>
      <c r="AK27" s="306"/>
      <c r="AL27" s="304">
        <v>3.925394447386981E-2</v>
      </c>
      <c r="AM27" s="304">
        <v>2.4943347051675224E-2</v>
      </c>
      <c r="AN27" s="304">
        <v>1.5332969931991562E-2</v>
      </c>
    </row>
    <row r="28" spans="1:40" x14ac:dyDescent="0.25">
      <c r="A28" s="13" t="str">
        <f t="shared" si="58"/>
        <v>Process, plant and machine operatives</v>
      </c>
      <c r="B28" s="304">
        <f t="shared" si="60"/>
        <v>0.88051751228014341</v>
      </c>
      <c r="C28" s="304">
        <f t="shared" si="61"/>
        <v>0.96143063860309785</v>
      </c>
      <c r="D28" s="304">
        <f t="shared" si="62"/>
        <v>1.0068263487303397</v>
      </c>
      <c r="E28" s="304"/>
      <c r="F28" s="304">
        <v>3.84482116538525E-5</v>
      </c>
      <c r="G28" s="304">
        <v>6.2472067633648825E-5</v>
      </c>
      <c r="H28" s="304">
        <v>1.0249358449442256E-4</v>
      </c>
      <c r="I28" s="304"/>
      <c r="J28" s="304">
        <v>8.9576544668890853E-3</v>
      </c>
      <c r="K28" s="304">
        <v>1.2551863981459703E-2</v>
      </c>
      <c r="L28" s="304">
        <v>1.7487378819365618E-2</v>
      </c>
      <c r="M28" s="304"/>
      <c r="N28" s="304">
        <v>2.2450415688581943E-2</v>
      </c>
      <c r="O28" s="304">
        <v>3.3048782920153265E-2</v>
      </c>
      <c r="P28" s="304">
        <v>4.552802308250388E-2</v>
      </c>
      <c r="Q28" s="306"/>
      <c r="R28" s="304">
        <v>1.077821212390246E-2</v>
      </c>
      <c r="S28" s="304">
        <v>1.3022748635504119E-2</v>
      </c>
      <c r="T28" s="304">
        <v>1.7470569490173785E-2</v>
      </c>
      <c r="U28" s="306"/>
      <c r="V28" s="304">
        <v>1.8979964341314326E-2</v>
      </c>
      <c r="W28" s="304">
        <v>2.7068166002324062E-2</v>
      </c>
      <c r="X28" s="304">
        <v>3.4687935166210618E-2</v>
      </c>
      <c r="Y28" s="306"/>
      <c r="Z28" s="304">
        <v>0.25019055159337505</v>
      </c>
      <c r="AA28" s="304">
        <v>0.32735784519641231</v>
      </c>
      <c r="AB28" s="304">
        <v>0.45950826341353784</v>
      </c>
      <c r="AC28" s="306"/>
      <c r="AD28" s="304">
        <v>0.27913285821927591</v>
      </c>
      <c r="AE28" s="304">
        <v>0.32167260593375946</v>
      </c>
      <c r="AF28" s="304">
        <v>0.31132921568366279</v>
      </c>
      <c r="AG28" s="306"/>
      <c r="AH28" s="304">
        <v>6.9196214520198293E-2</v>
      </c>
      <c r="AI28" s="304">
        <v>4.6211337823862837E-2</v>
      </c>
      <c r="AJ28" s="304">
        <v>2.7437442731263143E-2</v>
      </c>
      <c r="AK28" s="306"/>
      <c r="AL28" s="304">
        <v>0.22079319311495244</v>
      </c>
      <c r="AM28" s="304">
        <v>0.18043481604198844</v>
      </c>
      <c r="AN28" s="304">
        <v>9.3275026759127591E-2</v>
      </c>
    </row>
    <row r="29" spans="1:40" x14ac:dyDescent="0.25">
      <c r="A29" s="13" t="str">
        <f t="shared" si="58"/>
        <v>Elementary occupations</v>
      </c>
      <c r="B29" s="304">
        <f t="shared" si="60"/>
        <v>0.66446286088707129</v>
      </c>
      <c r="C29" s="304">
        <f t="shared" si="61"/>
        <v>0.6058671845439404</v>
      </c>
      <c r="D29" s="304">
        <f t="shared" si="62"/>
        <v>0.5108321397858917</v>
      </c>
      <c r="E29" s="304"/>
      <c r="F29" s="304">
        <v>2.8371396292306249E-5</v>
      </c>
      <c r="G29" s="304">
        <v>3.3044449174240517E-5</v>
      </c>
      <c r="H29" s="304">
        <v>5.6445134126123937E-5</v>
      </c>
      <c r="I29" s="304"/>
      <c r="J29" s="304">
        <v>8.3524015488703786E-3</v>
      </c>
      <c r="K29" s="304">
        <v>1.145591040166493E-2</v>
      </c>
      <c r="L29" s="304">
        <v>1.9063306136773862E-2</v>
      </c>
      <c r="M29" s="304"/>
      <c r="N29" s="304">
        <v>7.8175299450486766E-3</v>
      </c>
      <c r="O29" s="304">
        <v>8.9983041605736103E-3</v>
      </c>
      <c r="P29" s="304">
        <v>9.6815796538301784E-3</v>
      </c>
      <c r="Q29" s="306"/>
      <c r="R29" s="304">
        <v>5.0411622029460385E-3</v>
      </c>
      <c r="S29" s="304">
        <v>5.3914099671765357E-3</v>
      </c>
      <c r="T29" s="304">
        <v>5.7664551207096222E-3</v>
      </c>
      <c r="U29" s="306"/>
      <c r="V29" s="304">
        <v>1.4438894148646705E-2</v>
      </c>
      <c r="W29" s="304">
        <v>1.5763120572848451E-2</v>
      </c>
      <c r="X29" s="304">
        <v>1.8511392316609716E-2</v>
      </c>
      <c r="Y29" s="306"/>
      <c r="Z29" s="304">
        <v>8.5276014065864617E-2</v>
      </c>
      <c r="AA29" s="304">
        <v>7.6633523345828111E-2</v>
      </c>
      <c r="AB29" s="304">
        <v>6.1967525718329045E-2</v>
      </c>
      <c r="AC29" s="306"/>
      <c r="AD29" s="304">
        <v>0.25462812967295789</v>
      </c>
      <c r="AE29" s="304">
        <v>0.26656275929614792</v>
      </c>
      <c r="AF29" s="304">
        <v>0.2455944799300088</v>
      </c>
      <c r="AG29" s="306"/>
      <c r="AH29" s="304">
        <v>0.20310734054164215</v>
      </c>
      <c r="AI29" s="304">
        <v>0.16796412173236364</v>
      </c>
      <c r="AJ29" s="304">
        <v>0.11789095997692471</v>
      </c>
      <c r="AK29" s="306"/>
      <c r="AL29" s="304">
        <v>8.577301736480257E-2</v>
      </c>
      <c r="AM29" s="304">
        <v>5.3064990618162909E-2</v>
      </c>
      <c r="AN29" s="304">
        <v>3.2299995798579659E-2</v>
      </c>
    </row>
    <row r="30" spans="1:40" x14ac:dyDescent="0.25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ht="13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5">
      <c r="A32" s="13" t="str">
        <f t="shared" ref="A32:A41" si="63">A8</f>
        <v>All occupations</v>
      </c>
      <c r="B32" s="305">
        <f>SUM(B33:B41)</f>
        <v>63.879000000000083</v>
      </c>
      <c r="C32" s="305">
        <f>SUM(C33:C41)</f>
        <v>62.486999999999945</v>
      </c>
      <c r="D32" s="305">
        <f>SUM(D33:D41)</f>
        <v>56.889999999999951</v>
      </c>
      <c r="E32" s="304"/>
      <c r="F32" s="305">
        <f>SUM(F33:F41)</f>
        <v>0.63735981142173959</v>
      </c>
      <c r="G32" s="305">
        <f>SUM(G33:G41)</f>
        <v>0.81119083864714503</v>
      </c>
      <c r="H32" s="305">
        <f>SUM(H33:H41)</f>
        <v>1.092810874734035</v>
      </c>
      <c r="I32" s="304"/>
      <c r="J32" s="305">
        <f>SUM(J33:J41)</f>
        <v>3.536862860073005</v>
      </c>
      <c r="K32" s="305">
        <f>SUM(K33:K41)</f>
        <v>4.5691637708918318</v>
      </c>
      <c r="L32" s="305">
        <f>SUM(L33:L41)</f>
        <v>6.3646328399214225</v>
      </c>
      <c r="M32" s="304"/>
      <c r="N32" s="305">
        <f>SUM(N33:N41)</f>
        <v>8.6910194580179372</v>
      </c>
      <c r="O32" s="305">
        <f>SUM(O33:O41)</f>
        <v>8.9799727629648451</v>
      </c>
      <c r="P32" s="305">
        <f>SUM(P33:P41)</f>
        <v>9.104513137074477</v>
      </c>
      <c r="Q32" s="306"/>
      <c r="R32" s="305">
        <f>SUM(R33:R41)</f>
        <v>2.1409833056416114</v>
      </c>
      <c r="S32" s="305">
        <f>SUM(S33:S41)</f>
        <v>2.2278989406283238</v>
      </c>
      <c r="T32" s="305">
        <f>SUM(T33:T41)</f>
        <v>2.3376955200231584</v>
      </c>
      <c r="U32" s="306"/>
      <c r="V32" s="305">
        <f>SUM(V33:V41)</f>
        <v>4.8592103066699774</v>
      </c>
      <c r="W32" s="305">
        <f>SUM(W33:W41)</f>
        <v>4.8657227456757681</v>
      </c>
      <c r="X32" s="305">
        <f>SUM(X33:X41)</f>
        <v>4.7554230081352644</v>
      </c>
      <c r="Y32" s="306"/>
      <c r="Z32" s="305">
        <f>SUM(Z33:Z41)</f>
        <v>15.817070346419838</v>
      </c>
      <c r="AA32" s="305">
        <f>SUM(AA33:AA41)</f>
        <v>16.435888001479007</v>
      </c>
      <c r="AB32" s="305">
        <f>SUM(AB33:AB41)</f>
        <v>15.697101200943999</v>
      </c>
      <c r="AC32" s="306"/>
      <c r="AD32" s="305">
        <f>SUM(AD33:AD41)</f>
        <v>13.924484692658554</v>
      </c>
      <c r="AE32" s="305">
        <f>SUM(AE33:AE41)</f>
        <v>14.54330875394739</v>
      </c>
      <c r="AF32" s="305">
        <f>SUM(AF33:AF41)</f>
        <v>11.91988984076332</v>
      </c>
      <c r="AG32" s="306"/>
      <c r="AH32" s="305">
        <f>SUM(AH33:AH41)</f>
        <v>9.430393661308905</v>
      </c>
      <c r="AI32" s="305">
        <f>SUM(AI33:AI41)</f>
        <v>7.7830507632703165</v>
      </c>
      <c r="AJ32" s="305">
        <f>SUM(AJ33:AJ41)</f>
        <v>4.3356550673429055</v>
      </c>
      <c r="AK32" s="306"/>
      <c r="AL32" s="305">
        <f>SUM(AL33:AL41)</f>
        <v>4.8416155577885096</v>
      </c>
      <c r="AM32" s="305">
        <f>SUM(AM33:AM41)</f>
        <v>2.2708034224953155</v>
      </c>
      <c r="AN32" s="305">
        <f>SUM(AN33:AN41)</f>
        <v>1.2822785110613726</v>
      </c>
    </row>
    <row r="33" spans="1:40" x14ac:dyDescent="0.25">
      <c r="A33" s="13" t="str">
        <f t="shared" si="63"/>
        <v>Managers, directors and senior officials</v>
      </c>
      <c r="B33" s="304">
        <f>SUM(F33,J33,N33,R33,V33,Z33,AD33,AH33,AL33)</f>
        <v>6.442735248827641</v>
      </c>
      <c r="C33" s="304">
        <f t="shared" ref="C33:C41" si="64">SUM(G33,K33,O33,S33,W33,AA33,AE33,AI33,AM33)</f>
        <v>6.0652181393543323</v>
      </c>
      <c r="D33" s="304">
        <f t="shared" ref="D33:D40" si="65">SUM(H33,L33,P33,T33,X33,AB33,AF33,AJ33,AN33)</f>
        <v>5.8568114290997197</v>
      </c>
      <c r="E33" s="304"/>
      <c r="F33" s="304">
        <v>8.9568810545976874E-2</v>
      </c>
      <c r="G33" s="304">
        <v>9.8534182162364953E-2</v>
      </c>
      <c r="H33" s="304">
        <v>0.12609805114306238</v>
      </c>
      <c r="I33" s="304"/>
      <c r="J33" s="304">
        <v>0.64840759455936636</v>
      </c>
      <c r="K33" s="304">
        <v>0.79404549634046206</v>
      </c>
      <c r="L33" s="304">
        <v>1.0652590411156433</v>
      </c>
      <c r="M33" s="304"/>
      <c r="N33" s="304">
        <v>1.6788324243302226</v>
      </c>
      <c r="O33" s="304">
        <v>1.6421137730095092</v>
      </c>
      <c r="P33" s="304">
        <v>1.6260646923971449</v>
      </c>
      <c r="Q33" s="306"/>
      <c r="R33" s="304">
        <v>0.36058398010491782</v>
      </c>
      <c r="S33" s="304">
        <v>0.34859367450366952</v>
      </c>
      <c r="T33" s="304">
        <v>0.34109850059699748</v>
      </c>
      <c r="U33" s="306"/>
      <c r="V33" s="304">
        <v>0.8180317646748041</v>
      </c>
      <c r="W33" s="304">
        <v>0.76535230336265003</v>
      </c>
      <c r="X33" s="304">
        <v>0.75008102031599888</v>
      </c>
      <c r="Y33" s="306"/>
      <c r="Z33" s="304">
        <v>1.1507056219350904</v>
      </c>
      <c r="AA33" s="304">
        <v>1.0273695667553011</v>
      </c>
      <c r="AB33" s="304">
        <v>0.91222510464414808</v>
      </c>
      <c r="AC33" s="306"/>
      <c r="AD33" s="304">
        <v>0.94349739756673534</v>
      </c>
      <c r="AE33" s="304">
        <v>0.84883649470943634</v>
      </c>
      <c r="AF33" s="304">
        <v>0.6747437882770243</v>
      </c>
      <c r="AG33" s="306"/>
      <c r="AH33" s="304">
        <v>0.53572296669105246</v>
      </c>
      <c r="AI33" s="304">
        <v>0.3856544551744287</v>
      </c>
      <c r="AJ33" s="304">
        <v>0.23176641273026774</v>
      </c>
      <c r="AK33" s="306"/>
      <c r="AL33" s="304">
        <v>0.21738468841947392</v>
      </c>
      <c r="AM33" s="304">
        <v>0.15471819333651013</v>
      </c>
      <c r="AN33" s="304">
        <v>0.1294748178794331</v>
      </c>
    </row>
    <row r="34" spans="1:40" x14ac:dyDescent="0.25">
      <c r="A34" s="13" t="str">
        <f t="shared" si="63"/>
        <v>Professional occupations</v>
      </c>
      <c r="B34" s="304">
        <f t="shared" ref="B34:B41" si="66">SUM(F34,J34,N34,R34,V34,Z34,AD34,AH34,AL34)</f>
        <v>10.235746096523531</v>
      </c>
      <c r="C34" s="304">
        <f t="shared" si="64"/>
        <v>10.636414498677725</v>
      </c>
      <c r="D34" s="304">
        <f t="shared" si="65"/>
        <v>10.656658886119553</v>
      </c>
      <c r="E34" s="304"/>
      <c r="F34" s="304">
        <v>0.41115851834620193</v>
      </c>
      <c r="G34" s="304">
        <v>0.54881966754440303</v>
      </c>
      <c r="H34" s="304">
        <v>0.73823865416548651</v>
      </c>
      <c r="I34" s="304"/>
      <c r="J34" s="304">
        <v>1.5249933304720298</v>
      </c>
      <c r="K34" s="304">
        <v>2.0148476805668105</v>
      </c>
      <c r="L34" s="304">
        <v>2.756189499208161</v>
      </c>
      <c r="M34" s="304"/>
      <c r="N34" s="304">
        <v>2.8202130763627564</v>
      </c>
      <c r="O34" s="304">
        <v>2.8500841685075295</v>
      </c>
      <c r="P34" s="304">
        <v>2.6348120365846168</v>
      </c>
      <c r="Q34" s="306"/>
      <c r="R34" s="304">
        <v>0.32397954059623896</v>
      </c>
      <c r="S34" s="304">
        <v>0.32092050334686939</v>
      </c>
      <c r="T34" s="304">
        <v>0.30964911282868035</v>
      </c>
      <c r="U34" s="306"/>
      <c r="V34" s="304">
        <v>1.2637150257466296</v>
      </c>
      <c r="W34" s="304">
        <v>1.2322425745610055</v>
      </c>
      <c r="X34" s="304">
        <v>1.1468250877161108</v>
      </c>
      <c r="Y34" s="306"/>
      <c r="Z34" s="304">
        <v>1.8721571413509486</v>
      </c>
      <c r="AA34" s="304">
        <v>1.8518425316913159</v>
      </c>
      <c r="AB34" s="304">
        <v>1.7106282659300645</v>
      </c>
      <c r="AC34" s="306"/>
      <c r="AD34" s="304">
        <v>1.0900897224358532</v>
      </c>
      <c r="AE34" s="304">
        <v>1.0504506230713639</v>
      </c>
      <c r="AF34" s="304">
        <v>0.79116504244277652</v>
      </c>
      <c r="AG34" s="306"/>
      <c r="AH34" s="304">
        <v>0.73371994798023343</v>
      </c>
      <c r="AI34" s="304">
        <v>0.61655765735576007</v>
      </c>
      <c r="AJ34" s="304">
        <v>0.45573618332851912</v>
      </c>
      <c r="AK34" s="306"/>
      <c r="AL34" s="304">
        <v>0.19571979323263669</v>
      </c>
      <c r="AM34" s="304">
        <v>0.15064909203266644</v>
      </c>
      <c r="AN34" s="304">
        <v>0.11341500391513988</v>
      </c>
    </row>
    <row r="35" spans="1:40" x14ac:dyDescent="0.25">
      <c r="A35" s="13" t="str">
        <f t="shared" si="63"/>
        <v>Associate professional occupations</v>
      </c>
      <c r="B35" s="304">
        <f t="shared" si="66"/>
        <v>6.615277030537654</v>
      </c>
      <c r="C35" s="304">
        <f t="shared" si="64"/>
        <v>5.9295365744873818</v>
      </c>
      <c r="D35" s="304">
        <f t="shared" si="65"/>
        <v>5.5749233555308084</v>
      </c>
      <c r="E35" s="304"/>
      <c r="F35" s="304">
        <v>7.445554948375728E-2</v>
      </c>
      <c r="G35" s="304">
        <v>8.4715628110750188E-2</v>
      </c>
      <c r="H35" s="304">
        <v>0.11573203022414796</v>
      </c>
      <c r="I35" s="304"/>
      <c r="J35" s="304">
        <v>0.59032678140802364</v>
      </c>
      <c r="K35" s="304">
        <v>0.66924647149893901</v>
      </c>
      <c r="L35" s="304">
        <v>0.90768768171904457</v>
      </c>
      <c r="M35" s="304"/>
      <c r="N35" s="304">
        <v>1.6071194303955756</v>
      </c>
      <c r="O35" s="304">
        <v>1.53323605211411</v>
      </c>
      <c r="P35" s="304">
        <v>1.4759146441498634</v>
      </c>
      <c r="Q35" s="306"/>
      <c r="R35" s="304">
        <v>0.46097453001797239</v>
      </c>
      <c r="S35" s="304">
        <v>0.45641744432040804</v>
      </c>
      <c r="T35" s="304">
        <v>0.47198165530668595</v>
      </c>
      <c r="U35" s="306"/>
      <c r="V35" s="304">
        <v>0.61755847553796661</v>
      </c>
      <c r="W35" s="304">
        <v>0.52038023041030823</v>
      </c>
      <c r="X35" s="304">
        <v>0.47073492986736176</v>
      </c>
      <c r="Y35" s="306"/>
      <c r="Z35" s="304">
        <v>1.4858406236819166</v>
      </c>
      <c r="AA35" s="304">
        <v>1.3000840381663139</v>
      </c>
      <c r="AB35" s="304">
        <v>1.1412718093735348</v>
      </c>
      <c r="AC35" s="306"/>
      <c r="AD35" s="304">
        <v>1.0803372498326602</v>
      </c>
      <c r="AE35" s="304">
        <v>0.92735159329913153</v>
      </c>
      <c r="AF35" s="304">
        <v>0.71909465089121127</v>
      </c>
      <c r="AG35" s="306"/>
      <c r="AH35" s="304">
        <v>0.57314535922565557</v>
      </c>
      <c r="AI35" s="304">
        <v>0.35808369203850016</v>
      </c>
      <c r="AJ35" s="304">
        <v>0.2196231259172455</v>
      </c>
      <c r="AK35" s="306"/>
      <c r="AL35" s="304">
        <v>0.12551903095412584</v>
      </c>
      <c r="AM35" s="304">
        <v>8.0021424528921609E-2</v>
      </c>
      <c r="AN35" s="304">
        <v>5.288282808171281E-2</v>
      </c>
    </row>
    <row r="36" spans="1:40" x14ac:dyDescent="0.25">
      <c r="A36" s="13" t="str">
        <f t="shared" si="63"/>
        <v>Administrative and secretarial occupations</v>
      </c>
      <c r="B36" s="304">
        <f t="shared" si="66"/>
        <v>5.1746843288433677</v>
      </c>
      <c r="C36" s="304">
        <f t="shared" si="64"/>
        <v>4.5900982905730681</v>
      </c>
      <c r="D36" s="304">
        <f t="shared" si="65"/>
        <v>3.9076999289482157</v>
      </c>
      <c r="E36" s="304"/>
      <c r="F36" s="304">
        <v>1.944601984233053E-2</v>
      </c>
      <c r="G36" s="304">
        <v>2.1799300155887921E-2</v>
      </c>
      <c r="H36" s="304">
        <v>2.8002779384053385E-2</v>
      </c>
      <c r="I36" s="304"/>
      <c r="J36" s="304">
        <v>0.22169488866687848</v>
      </c>
      <c r="K36" s="304">
        <v>0.25611899533835447</v>
      </c>
      <c r="L36" s="304">
        <v>0.34399881498514479</v>
      </c>
      <c r="M36" s="304"/>
      <c r="N36" s="304">
        <v>0.89118428931879423</v>
      </c>
      <c r="O36" s="304">
        <v>0.8935624323528355</v>
      </c>
      <c r="P36" s="304">
        <v>0.91472361576718597</v>
      </c>
      <c r="Q36" s="306"/>
      <c r="R36" s="304">
        <v>0.28295527004701942</v>
      </c>
      <c r="S36" s="304">
        <v>0.28335621823852064</v>
      </c>
      <c r="T36" s="304">
        <v>0.29933832810964273</v>
      </c>
      <c r="U36" s="306"/>
      <c r="V36" s="304">
        <v>0.37254741810276037</v>
      </c>
      <c r="W36" s="304">
        <v>0.35809453295131127</v>
      </c>
      <c r="X36" s="304">
        <v>0.36847296691013237</v>
      </c>
      <c r="Y36" s="306"/>
      <c r="Z36" s="304">
        <v>1.1945557292214768</v>
      </c>
      <c r="AA36" s="304">
        <v>1.1011623006946538</v>
      </c>
      <c r="AB36" s="304">
        <v>0.97795633013735406</v>
      </c>
      <c r="AC36" s="306"/>
      <c r="AD36" s="304">
        <v>1.4995864517346618</v>
      </c>
      <c r="AE36" s="304">
        <v>1.2815594124731504</v>
      </c>
      <c r="AF36" s="304">
        <v>0.81676206880503621</v>
      </c>
      <c r="AG36" s="306"/>
      <c r="AH36" s="304">
        <v>0.5418159545167236</v>
      </c>
      <c r="AI36" s="304">
        <v>0.28304986639598179</v>
      </c>
      <c r="AJ36" s="304">
        <v>6.7345277469002832E-2</v>
      </c>
      <c r="AK36" s="306"/>
      <c r="AL36" s="304">
        <v>0.15089830739272228</v>
      </c>
      <c r="AM36" s="304">
        <v>0.11139523197237165</v>
      </c>
      <c r="AN36" s="304">
        <v>9.1099747380663579E-2</v>
      </c>
    </row>
    <row r="37" spans="1:40" x14ac:dyDescent="0.25">
      <c r="A37" s="13" t="str">
        <f t="shared" si="63"/>
        <v>Skilled trades occupations</v>
      </c>
      <c r="B37" s="304">
        <f t="shared" si="66"/>
        <v>15.89712185272154</v>
      </c>
      <c r="C37" s="304">
        <f t="shared" si="64"/>
        <v>14.909327919096395</v>
      </c>
      <c r="D37" s="304">
        <f t="shared" si="65"/>
        <v>12.596106514828067</v>
      </c>
      <c r="E37" s="304"/>
      <c r="F37" s="304">
        <v>1.2910762842533596E-2</v>
      </c>
      <c r="G37" s="304">
        <v>1.7438261004969438E-2</v>
      </c>
      <c r="H37" s="304">
        <v>2.3978001545859114E-2</v>
      </c>
      <c r="I37" s="304"/>
      <c r="J37" s="304">
        <v>0.28317091077468792</v>
      </c>
      <c r="K37" s="304">
        <v>0.42030711596509313</v>
      </c>
      <c r="L37" s="304">
        <v>0.60744962470632458</v>
      </c>
      <c r="M37" s="304"/>
      <c r="N37" s="304">
        <v>0.68644142011463827</v>
      </c>
      <c r="O37" s="304">
        <v>0.81756393847238418</v>
      </c>
      <c r="P37" s="304">
        <v>0.89966215540741878</v>
      </c>
      <c r="Q37" s="306"/>
      <c r="R37" s="304">
        <v>0.26246508817104824</v>
      </c>
      <c r="S37" s="304">
        <v>0.27802114854833371</v>
      </c>
      <c r="T37" s="304">
        <v>0.28999874838564965</v>
      </c>
      <c r="U37" s="306"/>
      <c r="V37" s="304">
        <v>1.1282457466925913</v>
      </c>
      <c r="W37" s="304">
        <v>1.1504716972440132</v>
      </c>
      <c r="X37" s="304">
        <v>1.1072424360029405</v>
      </c>
      <c r="Y37" s="306"/>
      <c r="Z37" s="304">
        <v>6.0549561707665243</v>
      </c>
      <c r="AA37" s="304">
        <v>6.0350490193538997</v>
      </c>
      <c r="AB37" s="304">
        <v>5.5549067856401733</v>
      </c>
      <c r="AC37" s="306"/>
      <c r="AD37" s="304">
        <v>3.9248110987632323</v>
      </c>
      <c r="AE37" s="304">
        <v>3.8296378459435756</v>
      </c>
      <c r="AF37" s="304">
        <v>2.8253542363250808</v>
      </c>
      <c r="AG37" s="306"/>
      <c r="AH37" s="304">
        <v>2.3141708107662242</v>
      </c>
      <c r="AI37" s="304">
        <v>1.8334684190780908</v>
      </c>
      <c r="AJ37" s="304">
        <v>1.0198696806066319</v>
      </c>
      <c r="AK37" s="306"/>
      <c r="AL37" s="304">
        <v>1.2299498438300605</v>
      </c>
      <c r="AM37" s="304">
        <v>0.52737047348603394</v>
      </c>
      <c r="AN37" s="304">
        <v>0.26764484620798767</v>
      </c>
    </row>
    <row r="38" spans="1:40" x14ac:dyDescent="0.25">
      <c r="A38" s="13" t="str">
        <f t="shared" si="63"/>
        <v>Caring, leisure and other service occupations</v>
      </c>
      <c r="B38" s="304">
        <f t="shared" si="66"/>
        <v>0.80365220015138783</v>
      </c>
      <c r="C38" s="304">
        <f t="shared" si="64"/>
        <v>0.82697900068515151</v>
      </c>
      <c r="D38" s="304">
        <f t="shared" si="65"/>
        <v>0.79125329027710711</v>
      </c>
      <c r="E38" s="304"/>
      <c r="F38" s="304">
        <v>1.1425644721355745E-2</v>
      </c>
      <c r="G38" s="304">
        <v>1.522700591501472E-2</v>
      </c>
      <c r="H38" s="304">
        <v>2.4764271675980404E-2</v>
      </c>
      <c r="I38" s="304"/>
      <c r="J38" s="304">
        <v>9.4564823730711785E-3</v>
      </c>
      <c r="K38" s="304">
        <v>1.0393802123954249E-2</v>
      </c>
      <c r="L38" s="304">
        <v>1.1870048517378396E-2</v>
      </c>
      <c r="M38" s="304"/>
      <c r="N38" s="304">
        <v>9.3559692366062153E-2</v>
      </c>
      <c r="O38" s="304">
        <v>9.5008015228096362E-2</v>
      </c>
      <c r="P38" s="304">
        <v>9.3203157930500782E-2</v>
      </c>
      <c r="Q38" s="306"/>
      <c r="R38" s="304">
        <v>2.3685912183991485E-2</v>
      </c>
      <c r="S38" s="304">
        <v>2.2224299962703024E-2</v>
      </c>
      <c r="T38" s="304">
        <v>2.1123635457114813E-2</v>
      </c>
      <c r="U38" s="306"/>
      <c r="V38" s="304">
        <v>6.037459649683876E-2</v>
      </c>
      <c r="W38" s="304">
        <v>6.6901127691982254E-2</v>
      </c>
      <c r="X38" s="304">
        <v>6.8212930553255238E-2</v>
      </c>
      <c r="Y38" s="306"/>
      <c r="Z38" s="304">
        <v>9.8536306829113421E-2</v>
      </c>
      <c r="AA38" s="304">
        <v>9.7362317210623828E-2</v>
      </c>
      <c r="AB38" s="304">
        <v>8.2018407936172072E-2</v>
      </c>
      <c r="AC38" s="306"/>
      <c r="AD38" s="304">
        <v>0.15553246267484072</v>
      </c>
      <c r="AE38" s="304">
        <v>0.16046238974730453</v>
      </c>
      <c r="AF38" s="304">
        <v>0.13575537021799991</v>
      </c>
      <c r="AG38" s="306"/>
      <c r="AH38" s="304">
        <v>0.26409040901259506</v>
      </c>
      <c r="AI38" s="304">
        <v>0.27963870916337674</v>
      </c>
      <c r="AJ38" s="304">
        <v>0.27911476287972331</v>
      </c>
      <c r="AK38" s="306"/>
      <c r="AL38" s="304">
        <v>8.699069349351933E-2</v>
      </c>
      <c r="AM38" s="304">
        <v>7.9761333642095783E-2</v>
      </c>
      <c r="AN38" s="304">
        <v>7.5190705108982306E-2</v>
      </c>
    </row>
    <row r="39" spans="1:40" x14ac:dyDescent="0.25">
      <c r="A39" s="13" t="str">
        <f t="shared" si="63"/>
        <v>Sales and customer service occupations</v>
      </c>
      <c r="B39" s="304">
        <f t="shared" si="66"/>
        <v>2.0868090912984001</v>
      </c>
      <c r="C39" s="304">
        <f t="shared" si="64"/>
        <v>2.0605406766152443</v>
      </c>
      <c r="D39" s="304">
        <f t="shared" si="65"/>
        <v>1.9340143995312087</v>
      </c>
      <c r="E39" s="304"/>
      <c r="F39" s="304">
        <v>1.1038079881897095E-2</v>
      </c>
      <c r="G39" s="304">
        <v>1.4253064820374594E-2</v>
      </c>
      <c r="H39" s="304">
        <v>2.0055630843792464E-2</v>
      </c>
      <c r="I39" s="304"/>
      <c r="J39" s="304">
        <v>9.6140078707495663E-2</v>
      </c>
      <c r="K39" s="304">
        <v>0.12933097350424816</v>
      </c>
      <c r="L39" s="304">
        <v>0.17458296533158876</v>
      </c>
      <c r="M39" s="304"/>
      <c r="N39" s="304">
        <v>0.42249463168552742</v>
      </c>
      <c r="O39" s="304">
        <v>0.45898340674751703</v>
      </c>
      <c r="P39" s="304">
        <v>0.50230278918184768</v>
      </c>
      <c r="Q39" s="306"/>
      <c r="R39" s="304">
        <v>0.12640839707979967</v>
      </c>
      <c r="S39" s="304">
        <v>0.14603371259634418</v>
      </c>
      <c r="T39" s="304">
        <v>0.16701091246590086</v>
      </c>
      <c r="U39" s="306"/>
      <c r="V39" s="304">
        <v>0.14100721966668087</v>
      </c>
      <c r="W39" s="304">
        <v>0.15801360459752345</v>
      </c>
      <c r="X39" s="304">
        <v>0.17571250131172633</v>
      </c>
      <c r="Y39" s="306"/>
      <c r="Z39" s="304">
        <v>0.47529120654954982</v>
      </c>
      <c r="AA39" s="304">
        <v>0.45453656272972354</v>
      </c>
      <c r="AB39" s="304">
        <v>0.36778082723507372</v>
      </c>
      <c r="AC39" s="306"/>
      <c r="AD39" s="304">
        <v>0.37600919167596059</v>
      </c>
      <c r="AE39" s="304">
        <v>0.38111183560470052</v>
      </c>
      <c r="AF39" s="304">
        <v>0.34999646422626868</v>
      </c>
      <c r="AG39" s="306"/>
      <c r="AH39" s="304">
        <v>0.23810240267430308</v>
      </c>
      <c r="AI39" s="304">
        <v>0.17491979040556369</v>
      </c>
      <c r="AJ39" s="304">
        <v>6.379196097984878E-2</v>
      </c>
      <c r="AK39" s="306"/>
      <c r="AL39" s="304">
        <v>0.2003178833771859</v>
      </c>
      <c r="AM39" s="304">
        <v>0.14335772560924911</v>
      </c>
      <c r="AN39" s="304">
        <v>0.11278034795516131</v>
      </c>
    </row>
    <row r="40" spans="1:40" x14ac:dyDescent="0.25">
      <c r="A40" s="13" t="str">
        <f t="shared" si="63"/>
        <v>Process, plant and machine operatives</v>
      </c>
      <c r="B40" s="304">
        <f t="shared" si="66"/>
        <v>12.918689780818037</v>
      </c>
      <c r="C40" s="304">
        <f t="shared" si="64"/>
        <v>14.402629243068361</v>
      </c>
      <c r="D40" s="304">
        <f t="shared" si="65"/>
        <v>13.167040875315696</v>
      </c>
      <c r="E40" s="304"/>
      <c r="F40" s="304">
        <v>1.8595484542071252E-3</v>
      </c>
      <c r="G40" s="304">
        <v>2.8020335915975147E-3</v>
      </c>
      <c r="H40" s="304">
        <v>4.0042665588417067E-3</v>
      </c>
      <c r="I40" s="304"/>
      <c r="J40" s="304">
        <v>0.12814413581067305</v>
      </c>
      <c r="K40" s="304">
        <v>0.22436037937365766</v>
      </c>
      <c r="L40" s="304">
        <v>0.41961062397773685</v>
      </c>
      <c r="M40" s="304"/>
      <c r="N40" s="304">
        <v>0.35391341584333313</v>
      </c>
      <c r="O40" s="304">
        <v>0.53683724435819669</v>
      </c>
      <c r="P40" s="304">
        <v>0.78886353195659831</v>
      </c>
      <c r="Q40" s="306"/>
      <c r="R40" s="305">
        <v>0.20758006846842719</v>
      </c>
      <c r="S40" s="305">
        <v>0.27622359728203322</v>
      </c>
      <c r="T40" s="305">
        <v>0.32312922969470115</v>
      </c>
      <c r="U40" s="306"/>
      <c r="V40" s="305">
        <v>0.38692860507968529</v>
      </c>
      <c r="W40" s="305">
        <v>0.53937910989707216</v>
      </c>
      <c r="X40" s="305">
        <v>0.58670943496891381</v>
      </c>
      <c r="Y40" s="306"/>
      <c r="Z40" s="305">
        <v>3.0677928087396977</v>
      </c>
      <c r="AA40" s="305">
        <v>4.1807037849740487</v>
      </c>
      <c r="AB40" s="305">
        <v>4.6086170618638009</v>
      </c>
      <c r="AC40" s="306"/>
      <c r="AD40" s="305">
        <v>3.9480515402503777</v>
      </c>
      <c r="AE40" s="305">
        <v>5.217098941819903</v>
      </c>
      <c r="AF40" s="305">
        <v>4.9470543659411712</v>
      </c>
      <c r="AG40" s="306"/>
      <c r="AH40" s="305">
        <v>2.9459158566914194</v>
      </c>
      <c r="AI40" s="305">
        <v>2.8133992952809175</v>
      </c>
      <c r="AJ40" s="305">
        <v>1.2921534708427651</v>
      </c>
      <c r="AK40" s="306"/>
      <c r="AL40" s="305">
        <v>1.8785038014802158</v>
      </c>
      <c r="AM40" s="305">
        <v>0.61182485649093332</v>
      </c>
      <c r="AN40" s="305">
        <v>0.19689888951116671</v>
      </c>
    </row>
    <row r="41" spans="1:40" x14ac:dyDescent="0.25">
      <c r="A41" s="39" t="str">
        <f t="shared" si="63"/>
        <v>Elementary occupations</v>
      </c>
      <c r="B41" s="307">
        <f t="shared" si="66"/>
        <v>3.7042843702785211</v>
      </c>
      <c r="C41" s="307">
        <f t="shared" si="64"/>
        <v>3.0662556574422859</v>
      </c>
      <c r="D41" s="307">
        <f>SUM(H41,L41,P41,T41,X41,AB41,AF41,AJ41,AN41)</f>
        <v>2.4054913203495762</v>
      </c>
      <c r="E41" s="307"/>
      <c r="F41" s="307">
        <v>5.4968773034795061E-3</v>
      </c>
      <c r="G41" s="307">
        <v>7.6016953417826849E-3</v>
      </c>
      <c r="H41" s="307">
        <v>1.1937189192810964E-2</v>
      </c>
      <c r="I41" s="307"/>
      <c r="J41" s="307">
        <v>3.4528657300778198E-2</v>
      </c>
      <c r="K41" s="307">
        <v>5.0512856180311601E-2</v>
      </c>
      <c r="L41" s="307">
        <v>7.7984540360398813E-2</v>
      </c>
      <c r="M41" s="307"/>
      <c r="N41" s="307">
        <v>0.13726107760102682</v>
      </c>
      <c r="O41" s="307">
        <v>0.15258373217466714</v>
      </c>
      <c r="P41" s="307">
        <v>0.16896651369929877</v>
      </c>
      <c r="Q41" s="308"/>
      <c r="R41" s="307">
        <v>9.2350518972196455E-2</v>
      </c>
      <c r="S41" s="307">
        <v>9.6108341829442084E-2</v>
      </c>
      <c r="T41" s="307">
        <v>0.11436539717778578</v>
      </c>
      <c r="U41" s="308"/>
      <c r="V41" s="307">
        <v>7.0801454672020064E-2</v>
      </c>
      <c r="W41" s="307">
        <v>7.488756495990255E-2</v>
      </c>
      <c r="X41" s="307">
        <v>8.1431700488823408E-2</v>
      </c>
      <c r="Y41" s="308"/>
      <c r="Z41" s="307">
        <v>0.41723473734551997</v>
      </c>
      <c r="AA41" s="307">
        <v>0.38777787990312546</v>
      </c>
      <c r="AB41" s="307">
        <v>0.34169660818368086</v>
      </c>
      <c r="AC41" s="308"/>
      <c r="AD41" s="307">
        <v>0.90656957772423197</v>
      </c>
      <c r="AE41" s="307">
        <v>0.84679961727882347</v>
      </c>
      <c r="AF41" s="307">
        <v>0.65996385363675103</v>
      </c>
      <c r="AG41" s="308"/>
      <c r="AH41" s="307">
        <v>1.2837099537506975</v>
      </c>
      <c r="AI41" s="307">
        <v>1.0382788783776968</v>
      </c>
      <c r="AJ41" s="307">
        <v>0.70625419258890143</v>
      </c>
      <c r="AK41" s="308"/>
      <c r="AL41" s="307">
        <v>0.75633151560857048</v>
      </c>
      <c r="AM41" s="307">
        <v>0.41170509139653405</v>
      </c>
      <c r="AN41" s="307">
        <v>0.24289132502112534</v>
      </c>
    </row>
    <row r="42" spans="1:40" x14ac:dyDescent="0.25">
      <c r="B42" s="32"/>
      <c r="C42" s="32"/>
      <c r="D42" s="32"/>
    </row>
    <row r="43" spans="1:40" ht="15.5" x14ac:dyDescent="0.35">
      <c r="A43" s="19" t="str">
        <f>CONCATENATE(A1," (Continued)")</f>
        <v>Basic Table 1  Employment by Industry Sector, Occupation Group and Qualification, 2020-2035, Black Country (Continued)</v>
      </c>
    </row>
    <row r="44" spans="1:40" ht="12.75" customHeight="1" x14ac:dyDescent="0.35">
      <c r="A44" s="19"/>
    </row>
    <row r="45" spans="1:40" ht="12.75" customHeight="1" x14ac:dyDescent="0.35">
      <c r="A45" s="19"/>
    </row>
    <row r="46" spans="1:40" ht="26.25" customHeight="1" x14ac:dyDescent="0.25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ht="13" x14ac:dyDescent="0.3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5">
      <c r="B48" s="32"/>
      <c r="C48" s="32"/>
      <c r="D48" s="32"/>
    </row>
    <row r="49" spans="1:40" ht="13" x14ac:dyDescent="0.3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5">
      <c r="A50" s="13" t="str">
        <f t="shared" ref="A50:A59" si="67">A8</f>
        <v>All occupations</v>
      </c>
      <c r="B50" s="305">
        <f>SUM(B51:B59)</f>
        <v>37.015000000000043</v>
      </c>
      <c r="C50" s="305">
        <f>SUM(C51:C59)</f>
        <v>36.903999999999996</v>
      </c>
      <c r="D50" s="305">
        <f>SUM(D51:D59)</f>
        <v>37.449999999999989</v>
      </c>
      <c r="E50" s="304"/>
      <c r="F50" s="305">
        <f>SUM(F51:F59)</f>
        <v>8.5355430009129582E-2</v>
      </c>
      <c r="G50" s="305">
        <f>SUM(G51:G59)</f>
        <v>0.11593553555482321</v>
      </c>
      <c r="H50" s="305">
        <f>SUM(H51:H59)</f>
        <v>0.21034801769365405</v>
      </c>
      <c r="I50" s="304"/>
      <c r="J50" s="305">
        <f>SUM(J51:J59)</f>
        <v>1.4212087703072662</v>
      </c>
      <c r="K50" s="305">
        <f>SUM(K51:K59)</f>
        <v>1.9215364224052771</v>
      </c>
      <c r="L50" s="305">
        <f>SUM(L51:L59)</f>
        <v>3.1159139322769795</v>
      </c>
      <c r="M50" s="304"/>
      <c r="N50" s="305">
        <f>SUM(N51:N59)</f>
        <v>2.8723865902730346</v>
      </c>
      <c r="O50" s="305">
        <f>SUM(O51:O59)</f>
        <v>3.017838397451083</v>
      </c>
      <c r="P50" s="305">
        <f>SUM(P51:P59)</f>
        <v>3.4584838012677186</v>
      </c>
      <c r="Q50" s="304"/>
      <c r="R50" s="305">
        <f>SUM(R51:R59)</f>
        <v>1.1110056523259395</v>
      </c>
      <c r="S50" s="305">
        <f>SUM(S51:S59)</f>
        <v>1.1880811964064442</v>
      </c>
      <c r="T50" s="305">
        <f>SUM(T51:T59)</f>
        <v>1.4755568432083137</v>
      </c>
      <c r="U50" s="304"/>
      <c r="V50" s="305">
        <f>SUM(V51:V59)</f>
        <v>2.1867974334877003</v>
      </c>
      <c r="W50" s="305">
        <f>SUM(W51:W59)</f>
        <v>2.2622922201587379</v>
      </c>
      <c r="X50" s="305">
        <f>SUM(X51:X59)</f>
        <v>2.6947156363375693</v>
      </c>
      <c r="Y50" s="304"/>
      <c r="Z50" s="305">
        <f>SUM(Z51:Z59)</f>
        <v>11.09536283181545</v>
      </c>
      <c r="AA50" s="305">
        <f>SUM(AA51:AA59)</f>
        <v>11.408658472554414</v>
      </c>
      <c r="AB50" s="305">
        <f>SUM(AB51:AB59)</f>
        <v>11.923640489248303</v>
      </c>
      <c r="AC50" s="304"/>
      <c r="AD50" s="305">
        <f>SUM(AD51:AD59)</f>
        <v>9.5894854197913446</v>
      </c>
      <c r="AE50" s="305">
        <f>SUM(AE51:AE59)</f>
        <v>10.472209834390783</v>
      </c>
      <c r="AF50" s="305">
        <f>SUM(AF51:AF59)</f>
        <v>10.500698131820714</v>
      </c>
      <c r="AG50" s="304"/>
      <c r="AH50" s="305">
        <f>SUM(AH51:AH59)</f>
        <v>5.5086269864191264</v>
      </c>
      <c r="AI50" s="305">
        <f>SUM(AI51:AI59)</f>
        <v>4.8562734912062746</v>
      </c>
      <c r="AJ50" s="305">
        <f>SUM(AJ51:AJ59)</f>
        <v>3.5208976307631725</v>
      </c>
      <c r="AK50" s="304"/>
      <c r="AL50" s="305">
        <f>SUM(AL51:AL59)</f>
        <v>3.1447708855710457</v>
      </c>
      <c r="AM50" s="305">
        <f>SUM(AM51:AM59)</f>
        <v>1.6611744298721522</v>
      </c>
      <c r="AN50" s="305">
        <f>SUM(AN51:AN59)</f>
        <v>0.54974551738356792</v>
      </c>
    </row>
    <row r="51" spans="1:40" x14ac:dyDescent="0.25">
      <c r="A51" s="13" t="str">
        <f t="shared" si="67"/>
        <v>Managers, directors and senior officials</v>
      </c>
      <c r="B51" s="304">
        <f>SUM(F51,J51,N51,R51,V51,Z51,AD51,AH51,AL51)</f>
        <v>3.3427406397261326</v>
      </c>
      <c r="C51" s="304">
        <f t="shared" ref="C51:D51" si="68">SUM(G51,K51,O51,S51,W51,AA51,AE51,AI51,AM51)</f>
        <v>3.0971850210633609</v>
      </c>
      <c r="D51" s="304">
        <f t="shared" si="68"/>
        <v>3.5638557739089234</v>
      </c>
      <c r="E51" s="304"/>
      <c r="F51" s="304">
        <v>8.6034582014630229E-3</v>
      </c>
      <c r="G51" s="304">
        <v>1.218840202735713E-2</v>
      </c>
      <c r="H51" s="304">
        <v>2.1005798289275575E-2</v>
      </c>
      <c r="I51" s="304"/>
      <c r="J51" s="304">
        <v>0.34530562384353808</v>
      </c>
      <c r="K51" s="304">
        <v>0.45141808776036291</v>
      </c>
      <c r="L51" s="304">
        <v>0.79385587327047125</v>
      </c>
      <c r="M51" s="304"/>
      <c r="N51" s="304">
        <v>0.54618689658558983</v>
      </c>
      <c r="O51" s="304">
        <v>0.52390589536746346</v>
      </c>
      <c r="P51" s="304">
        <v>0.56349583836169936</v>
      </c>
      <c r="Q51" s="304"/>
      <c r="R51" s="304">
        <v>0.16130593480498726</v>
      </c>
      <c r="S51" s="304">
        <v>0.14664395606956288</v>
      </c>
      <c r="T51" s="304">
        <v>0.15640120437766875</v>
      </c>
      <c r="U51" s="304"/>
      <c r="V51" s="304">
        <v>0.35455390264004144</v>
      </c>
      <c r="W51" s="304">
        <v>0.326000900470789</v>
      </c>
      <c r="X51" s="304">
        <v>0.37199023697353123</v>
      </c>
      <c r="Y51" s="304"/>
      <c r="Z51" s="304">
        <v>0.85622163490408787</v>
      </c>
      <c r="AA51" s="304">
        <v>0.77930135083249441</v>
      </c>
      <c r="AB51" s="304">
        <v>0.96488076560589298</v>
      </c>
      <c r="AC51" s="304"/>
      <c r="AD51" s="304">
        <v>0.49054302710997311</v>
      </c>
      <c r="AE51" s="304">
        <v>0.43815833378869418</v>
      </c>
      <c r="AF51" s="304">
        <v>0.40011597954969025</v>
      </c>
      <c r="AG51" s="304"/>
      <c r="AH51" s="304">
        <v>0.33236096252411595</v>
      </c>
      <c r="AI51" s="304">
        <v>0.2599765582703541</v>
      </c>
      <c r="AJ51" s="304">
        <v>0.1771187561201564</v>
      </c>
      <c r="AK51" s="304"/>
      <c r="AL51" s="304">
        <v>0.247659199112336</v>
      </c>
      <c r="AM51" s="304">
        <v>0.15959153647628302</v>
      </c>
      <c r="AN51" s="304">
        <v>0.1149913213605377</v>
      </c>
    </row>
    <row r="52" spans="1:40" x14ac:dyDescent="0.25">
      <c r="A52" s="13" t="str">
        <f t="shared" si="67"/>
        <v>Professional occupations</v>
      </c>
      <c r="B52" s="304">
        <f t="shared" ref="B52:B59" si="69">SUM(F52,J52,N52,R52,V52,Z52,AD52,AH52,AL52)</f>
        <v>4.3712405217046584</v>
      </c>
      <c r="C52" s="304">
        <f t="shared" ref="C52:C59" si="70">SUM(G52,K52,O52,S52,W52,AA52,AE52,AI52,AM52)</f>
        <v>4.3661634879493487</v>
      </c>
      <c r="D52" s="304">
        <f t="shared" ref="D52:D59" si="71">SUM(H52,L52,P52,T52,X52,AB52,AF52,AJ52,AN52)</f>
        <v>4.9466519192109777</v>
      </c>
      <c r="E52" s="304"/>
      <c r="F52" s="304">
        <v>3.9760934444468828E-2</v>
      </c>
      <c r="G52" s="304">
        <v>4.8514301438358255E-2</v>
      </c>
      <c r="H52" s="304">
        <v>6.5117928260881058E-2</v>
      </c>
      <c r="I52" s="304"/>
      <c r="J52" s="304">
        <v>0.52920061792828055</v>
      </c>
      <c r="K52" s="304">
        <v>0.70744574388113779</v>
      </c>
      <c r="L52" s="304">
        <v>1.0881600460642658</v>
      </c>
      <c r="M52" s="304"/>
      <c r="N52" s="304">
        <v>0.87275295924318486</v>
      </c>
      <c r="O52" s="304">
        <v>0.8274656893836454</v>
      </c>
      <c r="P52" s="304">
        <v>0.83341550343528281</v>
      </c>
      <c r="Q52" s="304"/>
      <c r="R52" s="304">
        <v>0.13322862001761984</v>
      </c>
      <c r="S52" s="304">
        <v>0.10605661177895223</v>
      </c>
      <c r="T52" s="304">
        <v>0.11850870143118244</v>
      </c>
      <c r="U52" s="304"/>
      <c r="V52" s="304">
        <v>0.36908767379140339</v>
      </c>
      <c r="W52" s="304">
        <v>0.28701758137847422</v>
      </c>
      <c r="X52" s="304">
        <v>0.2111416470718997</v>
      </c>
      <c r="Y52" s="304"/>
      <c r="Z52" s="304">
        <v>1.2684486762319442</v>
      </c>
      <c r="AA52" s="304">
        <v>1.3131606959955051</v>
      </c>
      <c r="AB52" s="304">
        <v>1.6340941468125567</v>
      </c>
      <c r="AC52" s="304"/>
      <c r="AD52" s="304">
        <v>0.72805419924605019</v>
      </c>
      <c r="AE52" s="304">
        <v>0.75381385227621245</v>
      </c>
      <c r="AF52" s="304">
        <v>0.79529035926894309</v>
      </c>
      <c r="AG52" s="304"/>
      <c r="AH52" s="304">
        <v>0.2543700750107496</v>
      </c>
      <c r="AI52" s="304">
        <v>0.21321844108070059</v>
      </c>
      <c r="AJ52" s="304">
        <v>0.14699326218504871</v>
      </c>
      <c r="AK52" s="304"/>
      <c r="AL52" s="304">
        <v>0.17633676579095708</v>
      </c>
      <c r="AM52" s="304">
        <v>0.10947057073636261</v>
      </c>
      <c r="AN52" s="304">
        <v>5.3930324680916734E-2</v>
      </c>
    </row>
    <row r="53" spans="1:40" x14ac:dyDescent="0.25">
      <c r="A53" s="13" t="str">
        <f t="shared" si="67"/>
        <v>Associate professional occupations</v>
      </c>
      <c r="B53" s="304">
        <f t="shared" si="69"/>
        <v>2.0325376693100785</v>
      </c>
      <c r="C53" s="304">
        <f t="shared" si="70"/>
        <v>1.8301902340665828</v>
      </c>
      <c r="D53" s="304">
        <f t="shared" si="71"/>
        <v>1.9989111811724991</v>
      </c>
      <c r="E53" s="304"/>
      <c r="F53" s="304">
        <v>4.6451607509055233E-3</v>
      </c>
      <c r="G53" s="304">
        <v>5.9680953783413362E-3</v>
      </c>
      <c r="H53" s="304">
        <v>1.027072762346473E-2</v>
      </c>
      <c r="I53" s="304"/>
      <c r="J53" s="304">
        <v>0.16172072012680133</v>
      </c>
      <c r="K53" s="304">
        <v>0.20307735057786716</v>
      </c>
      <c r="L53" s="304">
        <v>0.34409695342295626</v>
      </c>
      <c r="M53" s="304"/>
      <c r="N53" s="304">
        <v>0.32618972861141865</v>
      </c>
      <c r="O53" s="304">
        <v>0.31101627999802189</v>
      </c>
      <c r="P53" s="304">
        <v>0.3453564618315087</v>
      </c>
      <c r="Q53" s="304"/>
      <c r="R53" s="304">
        <v>0.14235444155968657</v>
      </c>
      <c r="S53" s="304">
        <v>0.14482453322765088</v>
      </c>
      <c r="T53" s="304">
        <v>0.18090023561244889</v>
      </c>
      <c r="U53" s="304"/>
      <c r="V53" s="304">
        <v>0.2943202487049521</v>
      </c>
      <c r="W53" s="304">
        <v>0.25940629198659537</v>
      </c>
      <c r="X53" s="304">
        <v>0.29538612842665407</v>
      </c>
      <c r="Y53" s="304"/>
      <c r="Z53" s="304">
        <v>0.38039289544479127</v>
      </c>
      <c r="AA53" s="304">
        <v>0.29070287213348961</v>
      </c>
      <c r="AB53" s="304">
        <v>0.26515138421048018</v>
      </c>
      <c r="AC53" s="304"/>
      <c r="AD53" s="304">
        <v>0.35940942564119049</v>
      </c>
      <c r="AE53" s="304">
        <v>0.33127090994697883</v>
      </c>
      <c r="AF53" s="304">
        <v>0.34449101834083912</v>
      </c>
      <c r="AG53" s="304"/>
      <c r="AH53" s="304">
        <v>0.28699573827608171</v>
      </c>
      <c r="AI53" s="304">
        <v>0.24080916897488472</v>
      </c>
      <c r="AJ53" s="304">
        <v>0.18143106014837718</v>
      </c>
      <c r="AK53" s="304"/>
      <c r="AL53" s="304">
        <v>7.6509310194250793E-2</v>
      </c>
      <c r="AM53" s="304">
        <v>4.3114731842752843E-2</v>
      </c>
      <c r="AN53" s="304">
        <v>3.1827211555769848E-2</v>
      </c>
    </row>
    <row r="54" spans="1:40" x14ac:dyDescent="0.25">
      <c r="A54" s="13" t="str">
        <f t="shared" si="67"/>
        <v>Administrative and secretarial occupations</v>
      </c>
      <c r="B54" s="304">
        <f t="shared" si="69"/>
        <v>2.9084964381596707</v>
      </c>
      <c r="C54" s="304">
        <f t="shared" si="70"/>
        <v>2.7092882995113889</v>
      </c>
      <c r="D54" s="304">
        <f t="shared" si="71"/>
        <v>2.5270981881597034</v>
      </c>
      <c r="E54" s="304"/>
      <c r="F54" s="304">
        <v>2.3229026848856252E-2</v>
      </c>
      <c r="G54" s="304">
        <v>3.3809537591654962E-2</v>
      </c>
      <c r="H54" s="304">
        <v>8.6236831585115609E-2</v>
      </c>
      <c r="I54" s="304"/>
      <c r="J54" s="304">
        <v>0.16209671432939332</v>
      </c>
      <c r="K54" s="304">
        <v>0.2236446644164975</v>
      </c>
      <c r="L54" s="304">
        <v>0.33250994829420627</v>
      </c>
      <c r="M54" s="304"/>
      <c r="N54" s="304">
        <v>0.44881139061770292</v>
      </c>
      <c r="O54" s="304">
        <v>0.50089737785720356</v>
      </c>
      <c r="P54" s="304">
        <v>0.63713087690290005</v>
      </c>
      <c r="Q54" s="304"/>
      <c r="R54" s="304">
        <v>0.28210406916525371</v>
      </c>
      <c r="S54" s="304">
        <v>0.30538841304595754</v>
      </c>
      <c r="T54" s="304">
        <v>0.40086059294039739</v>
      </c>
      <c r="U54" s="304"/>
      <c r="V54" s="304">
        <v>0.15441203778444521</v>
      </c>
      <c r="W54" s="304">
        <v>0.16324705957564414</v>
      </c>
      <c r="X54" s="304">
        <v>0.2381757339580638</v>
      </c>
      <c r="Y54" s="304"/>
      <c r="Z54" s="304">
        <v>0.49385404416921896</v>
      </c>
      <c r="AA54" s="304">
        <v>0.41390400413099299</v>
      </c>
      <c r="AB54" s="304">
        <v>0.28417658638549398</v>
      </c>
      <c r="AC54" s="304"/>
      <c r="AD54" s="304">
        <v>0.46805774539768108</v>
      </c>
      <c r="AE54" s="304">
        <v>0.36618196446286611</v>
      </c>
      <c r="AF54" s="304">
        <v>0.1755806425518639</v>
      </c>
      <c r="AG54" s="304"/>
      <c r="AH54" s="304">
        <v>0.66238228105120955</v>
      </c>
      <c r="AI54" s="304">
        <v>0.61501981829906804</v>
      </c>
      <c r="AJ54" s="304">
        <v>0.35633775857940131</v>
      </c>
      <c r="AK54" s="304"/>
      <c r="AL54" s="304">
        <v>0.21354912879590973</v>
      </c>
      <c r="AM54" s="304">
        <v>8.7195460131503782E-2</v>
      </c>
      <c r="AN54" s="304">
        <v>1.6089216962261264E-2</v>
      </c>
    </row>
    <row r="55" spans="1:40" x14ac:dyDescent="0.25">
      <c r="A55" s="13" t="str">
        <f t="shared" si="67"/>
        <v>Skilled trades occupations</v>
      </c>
      <c r="B55" s="304">
        <f t="shared" si="69"/>
        <v>18.534466201706437</v>
      </c>
      <c r="C55" s="304">
        <f t="shared" si="70"/>
        <v>18.651011828627944</v>
      </c>
      <c r="D55" s="304">
        <f t="shared" si="71"/>
        <v>17.602739227849721</v>
      </c>
      <c r="E55" s="304"/>
      <c r="F55" s="304">
        <v>1.9850334523231722E-3</v>
      </c>
      <c r="G55" s="304">
        <v>2.7179943407436009E-3</v>
      </c>
      <c r="H55" s="304">
        <v>3.6590159837663707E-3</v>
      </c>
      <c r="I55" s="304"/>
      <c r="J55" s="304">
        <v>0.13226382137854856</v>
      </c>
      <c r="K55" s="304">
        <v>0.19457013313846191</v>
      </c>
      <c r="L55" s="304">
        <v>0.31016684692059332</v>
      </c>
      <c r="M55" s="304"/>
      <c r="N55" s="304">
        <v>0.47795389812070443</v>
      </c>
      <c r="O55" s="304">
        <v>0.60206275024442002</v>
      </c>
      <c r="P55" s="304">
        <v>0.75015034844123152</v>
      </c>
      <c r="Q55" s="304"/>
      <c r="R55" s="304">
        <v>0.30395848512151341</v>
      </c>
      <c r="S55" s="304">
        <v>0.36550116492616119</v>
      </c>
      <c r="T55" s="304">
        <v>0.44918772111615896</v>
      </c>
      <c r="U55" s="304"/>
      <c r="V55" s="304">
        <v>0.79419716849997657</v>
      </c>
      <c r="W55" s="304">
        <v>0.94597023320464135</v>
      </c>
      <c r="X55" s="304">
        <v>1.2313914626142333</v>
      </c>
      <c r="Y55" s="304"/>
      <c r="Z55" s="304">
        <v>6.5639599912973816</v>
      </c>
      <c r="AA55" s="304">
        <v>6.7212383292573579</v>
      </c>
      <c r="AB55" s="304">
        <v>6.3111952522085577</v>
      </c>
      <c r="AC55" s="304"/>
      <c r="AD55" s="304">
        <v>5.8206371307811171</v>
      </c>
      <c r="AE55" s="304">
        <v>6.4881701613681093</v>
      </c>
      <c r="AF55" s="304">
        <v>6.4245285527707221</v>
      </c>
      <c r="AG55" s="304"/>
      <c r="AH55" s="304">
        <v>2.6609217016947166</v>
      </c>
      <c r="AI55" s="304">
        <v>2.3839828326406725</v>
      </c>
      <c r="AJ55" s="304">
        <v>1.9137165121237463</v>
      </c>
      <c r="AK55" s="304"/>
      <c r="AL55" s="304">
        <v>1.7785889713601526</v>
      </c>
      <c r="AM55" s="304">
        <v>0.9467982295073768</v>
      </c>
      <c r="AN55" s="304">
        <v>0.20874351567071214</v>
      </c>
    </row>
    <row r="56" spans="1:40" x14ac:dyDescent="0.25">
      <c r="A56" s="13" t="str">
        <f t="shared" si="67"/>
        <v>Caring, leisure and other service occupations</v>
      </c>
      <c r="B56" s="304">
        <f t="shared" si="69"/>
        <v>8.4464492346064138E-2</v>
      </c>
      <c r="C56" s="304">
        <f t="shared" si="70"/>
        <v>8.6730177817135767E-2</v>
      </c>
      <c r="D56" s="304">
        <f t="shared" si="71"/>
        <v>9.744693763140963E-2</v>
      </c>
      <c r="E56" s="304"/>
      <c r="F56" s="304">
        <v>3.5847666442164398E-5</v>
      </c>
      <c r="G56" s="304">
        <v>5.6401281664527501E-5</v>
      </c>
      <c r="H56" s="304">
        <v>1.312080069659289E-4</v>
      </c>
      <c r="I56" s="304"/>
      <c r="J56" s="304">
        <v>5.0430764701672884E-3</v>
      </c>
      <c r="K56" s="304">
        <v>6.46420721927023E-3</v>
      </c>
      <c r="L56" s="304">
        <v>9.298682478290925E-3</v>
      </c>
      <c r="M56" s="304"/>
      <c r="N56" s="304">
        <v>5.7011420411217182E-3</v>
      </c>
      <c r="O56" s="304">
        <v>6.1691241852598082E-3</v>
      </c>
      <c r="P56" s="304">
        <v>7.4055442924067672E-3</v>
      </c>
      <c r="Q56" s="304"/>
      <c r="R56" s="304">
        <v>1.1319773401301902E-3</v>
      </c>
      <c r="S56" s="304">
        <v>1.4120641632150283E-3</v>
      </c>
      <c r="T56" s="304">
        <v>1.7819529521862611E-3</v>
      </c>
      <c r="U56" s="304"/>
      <c r="V56" s="304">
        <v>2.4463371341673064E-3</v>
      </c>
      <c r="W56" s="304">
        <v>2.4688916220803902E-3</v>
      </c>
      <c r="X56" s="304">
        <v>2.7869889054564917E-3</v>
      </c>
      <c r="Y56" s="304"/>
      <c r="Z56" s="304">
        <v>2.9992453437729993E-2</v>
      </c>
      <c r="AA56" s="304">
        <v>3.4620582601750147E-2</v>
      </c>
      <c r="AB56" s="304">
        <v>4.3289190164010193E-2</v>
      </c>
      <c r="AC56" s="304"/>
      <c r="AD56" s="304">
        <v>9.3341043110777913E-3</v>
      </c>
      <c r="AE56" s="304">
        <v>1.023604592490031E-2</v>
      </c>
      <c r="AF56" s="304">
        <v>1.2878586563514134E-2</v>
      </c>
      <c r="AG56" s="304"/>
      <c r="AH56" s="304">
        <v>1.5973121485425734E-2</v>
      </c>
      <c r="AI56" s="304">
        <v>1.3957723018117743E-2</v>
      </c>
      <c r="AJ56" s="304">
        <v>1.3060743493921402E-2</v>
      </c>
      <c r="AK56" s="304"/>
      <c r="AL56" s="304">
        <v>1.4806432459801943E-2</v>
      </c>
      <c r="AM56" s="304">
        <v>1.1345137800877579E-2</v>
      </c>
      <c r="AN56" s="304">
        <v>6.8140407746575321E-3</v>
      </c>
    </row>
    <row r="57" spans="1:40" x14ac:dyDescent="0.25">
      <c r="A57" s="13" t="str">
        <f t="shared" si="67"/>
        <v>Sales and customer service occupations</v>
      </c>
      <c r="B57" s="304">
        <f t="shared" si="69"/>
        <v>0.69836122547242541</v>
      </c>
      <c r="C57" s="304">
        <f t="shared" si="70"/>
        <v>0.76570230566667175</v>
      </c>
      <c r="D57" s="304">
        <f t="shared" si="71"/>
        <v>0.796510641729128</v>
      </c>
      <c r="E57" s="304"/>
      <c r="F57" s="304">
        <v>1.2653825569479955E-3</v>
      </c>
      <c r="G57" s="304">
        <v>2.1098231293583407E-3</v>
      </c>
      <c r="H57" s="304">
        <v>4.5920405413841219E-3</v>
      </c>
      <c r="I57" s="304"/>
      <c r="J57" s="304">
        <v>3.9044911838134758E-2</v>
      </c>
      <c r="K57" s="304">
        <v>5.5456549582494477E-2</v>
      </c>
      <c r="L57" s="304">
        <v>8.3630821680100581E-2</v>
      </c>
      <c r="M57" s="304"/>
      <c r="N57" s="304">
        <v>0.11145728741362738</v>
      </c>
      <c r="O57" s="304">
        <v>0.13687649655995204</v>
      </c>
      <c r="P57" s="304">
        <v>0.16444685305395837</v>
      </c>
      <c r="Q57" s="304"/>
      <c r="R57" s="304">
        <v>3.1896957151919668E-2</v>
      </c>
      <c r="S57" s="304">
        <v>4.1646684830459003E-2</v>
      </c>
      <c r="T57" s="304">
        <v>5.2042063256904539E-2</v>
      </c>
      <c r="U57" s="304"/>
      <c r="V57" s="304">
        <v>4.0649479929099917E-2</v>
      </c>
      <c r="W57" s="304">
        <v>4.9056186777366249E-2</v>
      </c>
      <c r="X57" s="304">
        <v>5.7117470047524599E-2</v>
      </c>
      <c r="Y57" s="304"/>
      <c r="Z57" s="304">
        <v>0.25000243131225702</v>
      </c>
      <c r="AA57" s="304">
        <v>0.28282802277195029</v>
      </c>
      <c r="AB57" s="304">
        <v>0.31478367116261868</v>
      </c>
      <c r="AC57" s="304"/>
      <c r="AD57" s="304">
        <v>4.3281947728194457E-2</v>
      </c>
      <c r="AE57" s="304">
        <v>3.580054129456698E-2</v>
      </c>
      <c r="AF57" s="304">
        <v>1.941462508225493E-2</v>
      </c>
      <c r="AG57" s="304"/>
      <c r="AH57" s="304">
        <v>7.2330428832913726E-2</v>
      </c>
      <c r="AI57" s="304">
        <v>7.3758181948617704E-2</v>
      </c>
      <c r="AJ57" s="304">
        <v>3.2760040656908553E-2</v>
      </c>
      <c r="AK57" s="304"/>
      <c r="AL57" s="304">
        <v>0.10843239870933041</v>
      </c>
      <c r="AM57" s="304">
        <v>8.8169818771906563E-2</v>
      </c>
      <c r="AN57" s="304">
        <v>6.7723056247473781E-2</v>
      </c>
    </row>
    <row r="58" spans="1:40" x14ac:dyDescent="0.25">
      <c r="A58" s="13" t="str">
        <f t="shared" si="67"/>
        <v>Process, plant and machine operatives</v>
      </c>
      <c r="B58" s="304">
        <f t="shared" si="69"/>
        <v>2.7393870076687379</v>
      </c>
      <c r="C58" s="304">
        <f t="shared" si="70"/>
        <v>3.1788056309056292</v>
      </c>
      <c r="D58" s="304">
        <f t="shared" si="71"/>
        <v>3.4388918732871239</v>
      </c>
      <c r="E58" s="304"/>
      <c r="F58" s="304">
        <v>5.6357688689001482E-3</v>
      </c>
      <c r="G58" s="304">
        <v>1.0268934391080637E-2</v>
      </c>
      <c r="H58" s="304">
        <v>1.8676500206687069E-2</v>
      </c>
      <c r="I58" s="304"/>
      <c r="J58" s="304">
        <v>2.7673547712262946E-2</v>
      </c>
      <c r="K58" s="304">
        <v>4.8562190602668906E-2</v>
      </c>
      <c r="L58" s="304">
        <v>9.5021562036154097E-2</v>
      </c>
      <c r="M58" s="304"/>
      <c r="N58" s="304">
        <v>4.6160886103161124E-2</v>
      </c>
      <c r="O58" s="304">
        <v>6.6205014390416275E-2</v>
      </c>
      <c r="P58" s="304">
        <v>0.10937762295524456</v>
      </c>
      <c r="Q58" s="304"/>
      <c r="R58" s="304">
        <v>4.3794133689959491E-2</v>
      </c>
      <c r="S58" s="304">
        <v>6.4548439039257721E-2</v>
      </c>
      <c r="T58" s="304">
        <v>0.10317337983684795</v>
      </c>
      <c r="U58" s="304"/>
      <c r="V58" s="304">
        <v>0.10616666555291832</v>
      </c>
      <c r="W58" s="304">
        <v>0.14008346267272137</v>
      </c>
      <c r="X58" s="304">
        <v>0.18142401866504801</v>
      </c>
      <c r="Y58" s="304"/>
      <c r="Z58" s="304">
        <v>0.68714821108878277</v>
      </c>
      <c r="AA58" s="304">
        <v>0.88934587669349285</v>
      </c>
      <c r="AB58" s="304">
        <v>1.1252945510415107</v>
      </c>
      <c r="AC58" s="304"/>
      <c r="AD58" s="304">
        <v>0.98050602775964502</v>
      </c>
      <c r="AE58" s="304">
        <v>1.2787912081927022</v>
      </c>
      <c r="AF58" s="304">
        <v>1.4258641232069513</v>
      </c>
      <c r="AG58" s="304"/>
      <c r="AH58" s="304">
        <v>0.63830498231767441</v>
      </c>
      <c r="AI58" s="304">
        <v>0.56912929337399365</v>
      </c>
      <c r="AJ58" s="304">
        <v>0.34273908535997066</v>
      </c>
      <c r="AK58" s="304"/>
      <c r="AL58" s="304">
        <v>0.20399678457543341</v>
      </c>
      <c r="AM58" s="304">
        <v>0.1118712115492958</v>
      </c>
      <c r="AN58" s="304">
        <v>3.7321029978709758E-2</v>
      </c>
    </row>
    <row r="59" spans="1:40" x14ac:dyDescent="0.25">
      <c r="A59" s="13" t="str">
        <f t="shared" si="67"/>
        <v>Elementary occupations</v>
      </c>
      <c r="B59" s="304">
        <f t="shared" si="69"/>
        <v>2.3033058039058356</v>
      </c>
      <c r="C59" s="304">
        <f t="shared" si="70"/>
        <v>2.2189230143919296</v>
      </c>
      <c r="D59" s="304">
        <f t="shared" si="71"/>
        <v>2.477894257050504</v>
      </c>
      <c r="E59" s="304"/>
      <c r="F59" s="304">
        <v>1.9481721882247426E-4</v>
      </c>
      <c r="G59" s="304">
        <v>3.0204597626443217E-4</v>
      </c>
      <c r="H59" s="304">
        <v>6.5796719611361891E-4</v>
      </c>
      <c r="I59" s="304"/>
      <c r="J59" s="304">
        <v>1.8859736680139322E-2</v>
      </c>
      <c r="K59" s="304">
        <v>3.0897495226515873E-2</v>
      </c>
      <c r="L59" s="304">
        <v>5.9173198109940782E-2</v>
      </c>
      <c r="M59" s="304"/>
      <c r="N59" s="304">
        <v>3.7172401536524027E-2</v>
      </c>
      <c r="O59" s="304">
        <v>4.3239769464700407E-2</v>
      </c>
      <c r="P59" s="304">
        <v>4.770475199348656E-2</v>
      </c>
      <c r="Q59" s="304"/>
      <c r="R59" s="304">
        <v>1.1231033474869633E-2</v>
      </c>
      <c r="S59" s="304">
        <v>1.2059329325227802E-2</v>
      </c>
      <c r="T59" s="304">
        <v>1.2700991684518383E-2</v>
      </c>
      <c r="U59" s="304"/>
      <c r="V59" s="304">
        <v>7.096391945069698E-2</v>
      </c>
      <c r="W59" s="304">
        <v>8.9041612470425829E-2</v>
      </c>
      <c r="X59" s="304">
        <v>0.10530194967515775</v>
      </c>
      <c r="Y59" s="304"/>
      <c r="Z59" s="304">
        <v>0.56534249392925628</v>
      </c>
      <c r="AA59" s="304">
        <v>0.6835567381373816</v>
      </c>
      <c r="AB59" s="304">
        <v>0.98077494165718082</v>
      </c>
      <c r="AC59" s="304"/>
      <c r="AD59" s="304">
        <v>0.68966181181641517</v>
      </c>
      <c r="AE59" s="304">
        <v>0.76978681713575403</v>
      </c>
      <c r="AF59" s="304">
        <v>0.90253424448593489</v>
      </c>
      <c r="AG59" s="304"/>
      <c r="AH59" s="304">
        <v>0.58498769522623817</v>
      </c>
      <c r="AI59" s="304">
        <v>0.48642147359986621</v>
      </c>
      <c r="AJ59" s="304">
        <v>0.35674041209564228</v>
      </c>
      <c r="AK59" s="304"/>
      <c r="AL59" s="304">
        <v>0.32489189457287343</v>
      </c>
      <c r="AM59" s="304">
        <v>0.10361773305579347</v>
      </c>
      <c r="AN59" s="304">
        <v>1.2305800152529144E-2</v>
      </c>
    </row>
    <row r="60" spans="1:40" x14ac:dyDescent="0.25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ht="13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5">
      <c r="A62" s="13" t="str">
        <f t="shared" ref="A62:A71" si="72">A8</f>
        <v>All occupations</v>
      </c>
      <c r="B62" s="305">
        <f>SUM(B63:B71)</f>
        <v>144.72399999999993</v>
      </c>
      <c r="C62" s="305">
        <f>SUM(C63:C71)</f>
        <v>150.01</v>
      </c>
      <c r="D62" s="305">
        <f>SUM(D63:D71)</f>
        <v>155.95599999999999</v>
      </c>
      <c r="E62" s="304"/>
      <c r="F62" s="305">
        <f>SUM(F63:F71)</f>
        <v>0.43359644158376964</v>
      </c>
      <c r="G62" s="305">
        <f>SUM(G63:G71)</f>
        <v>0.64077935539523434</v>
      </c>
      <c r="H62" s="305">
        <f>SUM(H63:H71)</f>
        <v>1.2269938093091224</v>
      </c>
      <c r="I62" s="304"/>
      <c r="J62" s="305">
        <f>SUM(J63:J71)</f>
        <v>5.2000759496869957</v>
      </c>
      <c r="K62" s="305">
        <f>SUM(K63:K71)</f>
        <v>7.399180152802332</v>
      </c>
      <c r="L62" s="305">
        <f>SUM(L63:L71)</f>
        <v>13.757874831219247</v>
      </c>
      <c r="M62" s="304"/>
      <c r="N62" s="305">
        <f>SUM(N63:N71)</f>
        <v>18.355065599519182</v>
      </c>
      <c r="O62" s="305">
        <f>SUM(O63:O71)</f>
        <v>21.322216554267051</v>
      </c>
      <c r="P62" s="305">
        <f>SUM(P63:P71)</f>
        <v>28.577108925747215</v>
      </c>
      <c r="Q62" s="304"/>
      <c r="R62" s="305">
        <f>SUM(R63:R71)</f>
        <v>5.4636847332296128</v>
      </c>
      <c r="S62" s="305">
        <f>SUM(S63:S71)</f>
        <v>6.1676894548525922</v>
      </c>
      <c r="T62" s="305">
        <f>SUM(T63:T71)</f>
        <v>8.3228375360580422</v>
      </c>
      <c r="U62" s="304"/>
      <c r="V62" s="305">
        <f>SUM(V63:V71)</f>
        <v>6.5099884781326773</v>
      </c>
      <c r="W62" s="305">
        <f>SUM(W63:W71)</f>
        <v>7.2390422543357609</v>
      </c>
      <c r="X62" s="305">
        <f>SUM(X63:X71)</f>
        <v>9.2600756378485105</v>
      </c>
      <c r="Y62" s="304"/>
      <c r="Z62" s="305">
        <f>SUM(Z63:Z71)</f>
        <v>32.679890874162922</v>
      </c>
      <c r="AA62" s="305">
        <f>SUM(AA63:AA71)</f>
        <v>35.366550498684497</v>
      </c>
      <c r="AB62" s="305">
        <f>SUM(AB63:AB71)</f>
        <v>38.198985931469714</v>
      </c>
      <c r="AC62" s="304"/>
      <c r="AD62" s="305">
        <f>SUM(AD63:AD71)</f>
        <v>36.624018816212498</v>
      </c>
      <c r="AE62" s="305">
        <f>SUM(AE63:AE71)</f>
        <v>40.307766945605202</v>
      </c>
      <c r="AF62" s="305">
        <f>SUM(AF63:AF71)</f>
        <v>37.651256458671</v>
      </c>
      <c r="AG62" s="304"/>
      <c r="AH62" s="305">
        <f>SUM(AH63:AH71)</f>
        <v>25.054032288959679</v>
      </c>
      <c r="AI62" s="305">
        <f>SUM(AI63:AI71)</f>
        <v>22.339361065290436</v>
      </c>
      <c r="AJ62" s="305">
        <f>SUM(AJ63:AJ71)</f>
        <v>13.562486797262171</v>
      </c>
      <c r="AK62" s="304"/>
      <c r="AL62" s="305">
        <f>SUM(AL63:AL71)</f>
        <v>14.40364681851262</v>
      </c>
      <c r="AM62" s="305">
        <f>SUM(AM63:AM71)</f>
        <v>9.2274137187669112</v>
      </c>
      <c r="AN62" s="305">
        <f>SUM(AN63:AN71)</f>
        <v>5.3983800724149686</v>
      </c>
    </row>
    <row r="63" spans="1:40" x14ac:dyDescent="0.25">
      <c r="A63" s="13" t="str">
        <f t="shared" si="72"/>
        <v>Managers, directors and senior officials</v>
      </c>
      <c r="B63" s="304">
        <f>SUM(F63,J63,N63,R63,V63,Z63,AD63,AH63,AL63)</f>
        <v>19.553726021302793</v>
      </c>
      <c r="C63" s="304">
        <f t="shared" ref="C63:C71" si="73">SUM(G63,K63,O63,S63,W63,AA63,AE63,AI63,AM63)</f>
        <v>20.707819751029451</v>
      </c>
      <c r="D63" s="304">
        <f t="shared" ref="D63:D71" si="74">SUM(H63,L63,P63,T63,X63,AB63,AF63,AJ63,AN63)</f>
        <v>24.150790704773677</v>
      </c>
      <c r="E63" s="304"/>
      <c r="F63" s="304">
        <v>6.9449605985956911E-2</v>
      </c>
      <c r="G63" s="304">
        <v>0.10549655201410869</v>
      </c>
      <c r="H63" s="304">
        <v>0.21195164200873184</v>
      </c>
      <c r="I63" s="304"/>
      <c r="J63" s="304">
        <v>1.1334301798072801</v>
      </c>
      <c r="K63" s="304">
        <v>1.5884095477638489</v>
      </c>
      <c r="L63" s="304">
        <v>3.0583439149872937</v>
      </c>
      <c r="M63" s="304"/>
      <c r="N63" s="304">
        <v>4.2129039047260077</v>
      </c>
      <c r="O63" s="304">
        <v>4.8027657635277805</v>
      </c>
      <c r="P63" s="304">
        <v>6.4132115936564995</v>
      </c>
      <c r="Q63" s="304"/>
      <c r="R63" s="304">
        <v>0.82265117947948607</v>
      </c>
      <c r="S63" s="304">
        <v>0.87685539608626095</v>
      </c>
      <c r="T63" s="304">
        <v>1.1823474686992907</v>
      </c>
      <c r="U63" s="304"/>
      <c r="V63" s="304">
        <v>1.1206151315841923</v>
      </c>
      <c r="W63" s="304">
        <v>1.1668087422347384</v>
      </c>
      <c r="X63" s="304">
        <v>1.4022849947962965</v>
      </c>
      <c r="Y63" s="304"/>
      <c r="Z63" s="304">
        <v>3.9737462442907199</v>
      </c>
      <c r="AA63" s="304">
        <v>4.197944978789363</v>
      </c>
      <c r="AB63" s="304">
        <v>4.9541885352485302</v>
      </c>
      <c r="AC63" s="304"/>
      <c r="AD63" s="304">
        <v>4.2231707247963826</v>
      </c>
      <c r="AE63" s="304">
        <v>4.5335902866893987</v>
      </c>
      <c r="AF63" s="304">
        <v>4.3757815430257159</v>
      </c>
      <c r="AG63" s="304"/>
      <c r="AH63" s="304">
        <v>3.2279134161976999</v>
      </c>
      <c r="AI63" s="304">
        <v>2.9116602692969691</v>
      </c>
      <c r="AJ63" s="304">
        <v>2.178267930169127</v>
      </c>
      <c r="AK63" s="304"/>
      <c r="AL63" s="304">
        <v>0.76984563443506926</v>
      </c>
      <c r="AM63" s="304">
        <v>0.52428821462698161</v>
      </c>
      <c r="AN63" s="304">
        <v>0.37441308218218644</v>
      </c>
    </row>
    <row r="64" spans="1:40" x14ac:dyDescent="0.25">
      <c r="A64" s="13" t="str">
        <f t="shared" si="72"/>
        <v>Professional occupations</v>
      </c>
      <c r="B64" s="304">
        <f t="shared" ref="B64:B71" si="75">SUM(F64,J64,N64,R64,V64,Z64,AD64,AH64,AL64)</f>
        <v>12.796419585745037</v>
      </c>
      <c r="C64" s="304">
        <f t="shared" si="73"/>
        <v>14.285895168010184</v>
      </c>
      <c r="D64" s="304">
        <f t="shared" si="74"/>
        <v>16.623715019566092</v>
      </c>
      <c r="E64" s="304"/>
      <c r="F64" s="304">
        <v>0.17738894593895843</v>
      </c>
      <c r="G64" s="304">
        <v>0.26225463518925568</v>
      </c>
      <c r="H64" s="304">
        <v>0.48729756300437904</v>
      </c>
      <c r="I64" s="304"/>
      <c r="J64" s="304">
        <v>1.3827646712421795</v>
      </c>
      <c r="K64" s="304">
        <v>1.9833695026341249</v>
      </c>
      <c r="L64" s="304">
        <v>3.4951907369760522</v>
      </c>
      <c r="M64" s="304"/>
      <c r="N64" s="304">
        <v>3.1109341320787975</v>
      </c>
      <c r="O64" s="304">
        <v>3.5744411231001485</v>
      </c>
      <c r="P64" s="304">
        <v>4.4724375076426801</v>
      </c>
      <c r="Q64" s="304"/>
      <c r="R64" s="304">
        <v>0.50858185568004177</v>
      </c>
      <c r="S64" s="304">
        <v>0.51494711622346234</v>
      </c>
      <c r="T64" s="304">
        <v>0.54635957311157124</v>
      </c>
      <c r="U64" s="304"/>
      <c r="V64" s="304">
        <v>0.68226804562918009</v>
      </c>
      <c r="W64" s="304">
        <v>0.72710115893421057</v>
      </c>
      <c r="X64" s="304">
        <v>0.86080574839349533</v>
      </c>
      <c r="Y64" s="304"/>
      <c r="Z64" s="304">
        <v>2.7981395312797552</v>
      </c>
      <c r="AA64" s="304">
        <v>3.1858869505231597</v>
      </c>
      <c r="AB64" s="304">
        <v>3.5843981701277556</v>
      </c>
      <c r="AC64" s="304"/>
      <c r="AD64" s="304">
        <v>2.2351216308756752</v>
      </c>
      <c r="AE64" s="304">
        <v>2.347868687424024</v>
      </c>
      <c r="AF64" s="304">
        <v>1.9467915628276238</v>
      </c>
      <c r="AG64" s="304"/>
      <c r="AH64" s="304">
        <v>1.3717188813965917</v>
      </c>
      <c r="AI64" s="304">
        <v>1.2501294415479256</v>
      </c>
      <c r="AJ64" s="304">
        <v>0.74801397516631007</v>
      </c>
      <c r="AK64" s="304"/>
      <c r="AL64" s="304">
        <v>0.52950189162385775</v>
      </c>
      <c r="AM64" s="304">
        <v>0.43989655243387316</v>
      </c>
      <c r="AN64" s="304">
        <v>0.48242018231622663</v>
      </c>
    </row>
    <row r="65" spans="1:40" x14ac:dyDescent="0.25">
      <c r="A65" s="13" t="str">
        <f t="shared" si="72"/>
        <v>Associate professional occupations</v>
      </c>
      <c r="B65" s="304">
        <f t="shared" si="75"/>
        <v>11.011309885177662</v>
      </c>
      <c r="C65" s="304">
        <f t="shared" si="73"/>
        <v>10.863100765620104</v>
      </c>
      <c r="D65" s="304">
        <f t="shared" si="74"/>
        <v>11.962913762390372</v>
      </c>
      <c r="E65" s="304"/>
      <c r="F65" s="304">
        <v>5.8042045020072507E-2</v>
      </c>
      <c r="G65" s="304">
        <v>7.1124480449666641E-2</v>
      </c>
      <c r="H65" s="304">
        <v>0.12600435098856894</v>
      </c>
      <c r="I65" s="304"/>
      <c r="J65" s="304">
        <v>0.56021848387233075</v>
      </c>
      <c r="K65" s="304">
        <v>0.70902040369804309</v>
      </c>
      <c r="L65" s="304">
        <v>1.1820155418764615</v>
      </c>
      <c r="M65" s="304"/>
      <c r="N65" s="304">
        <v>2.106095158597642</v>
      </c>
      <c r="O65" s="304">
        <v>2.196820267877289</v>
      </c>
      <c r="P65" s="304">
        <v>2.7524137673568285</v>
      </c>
      <c r="Q65" s="304"/>
      <c r="R65" s="304">
        <v>0.50259687181273383</v>
      </c>
      <c r="S65" s="304">
        <v>0.52120781956676476</v>
      </c>
      <c r="T65" s="304">
        <v>0.69617852345387898</v>
      </c>
      <c r="U65" s="304"/>
      <c r="V65" s="304">
        <v>0.62756759055255817</v>
      </c>
      <c r="W65" s="304">
        <v>0.62677284790993915</v>
      </c>
      <c r="X65" s="304">
        <v>0.75659263856698256</v>
      </c>
      <c r="Y65" s="304"/>
      <c r="Z65" s="304">
        <v>2.6480111069575973</v>
      </c>
      <c r="AA65" s="304">
        <v>2.671433937221054</v>
      </c>
      <c r="AB65" s="304">
        <v>2.986793697490798</v>
      </c>
      <c r="AC65" s="304"/>
      <c r="AD65" s="304">
        <v>2.4769435578148493</v>
      </c>
      <c r="AE65" s="304">
        <v>2.5485731945517012</v>
      </c>
      <c r="AF65" s="304">
        <v>2.4798829562912132</v>
      </c>
      <c r="AG65" s="304"/>
      <c r="AH65" s="304">
        <v>1.4473521744546751</v>
      </c>
      <c r="AI65" s="304">
        <v>1.1365707336442257</v>
      </c>
      <c r="AJ65" s="304">
        <v>0.62901135210227188</v>
      </c>
      <c r="AK65" s="304"/>
      <c r="AL65" s="304">
        <v>0.5844828960952021</v>
      </c>
      <c r="AM65" s="304">
        <v>0.38157708070142055</v>
      </c>
      <c r="AN65" s="304">
        <v>0.35402093426336689</v>
      </c>
    </row>
    <row r="66" spans="1:40" x14ac:dyDescent="0.25">
      <c r="A66" s="13" t="str">
        <f t="shared" si="72"/>
        <v>Administrative and secretarial occupations</v>
      </c>
      <c r="B66" s="304">
        <f t="shared" si="75"/>
        <v>14.799058723576728</v>
      </c>
      <c r="C66" s="304">
        <f t="shared" si="73"/>
        <v>14.776519556436726</v>
      </c>
      <c r="D66" s="304">
        <f t="shared" si="74"/>
        <v>15.175387669069405</v>
      </c>
      <c r="E66" s="304"/>
      <c r="F66" s="304">
        <v>3.0334635200381547E-2</v>
      </c>
      <c r="G66" s="304">
        <v>4.3763938168801343E-2</v>
      </c>
      <c r="H66" s="304">
        <v>8.0625451964756525E-2</v>
      </c>
      <c r="I66" s="304"/>
      <c r="J66" s="304">
        <v>0.59053550956424528</v>
      </c>
      <c r="K66" s="304">
        <v>0.81292695285239935</v>
      </c>
      <c r="L66" s="304">
        <v>1.4313165526533089</v>
      </c>
      <c r="M66" s="304"/>
      <c r="N66" s="304">
        <v>2.2092519506904038</v>
      </c>
      <c r="O66" s="304">
        <v>2.4869046506810277</v>
      </c>
      <c r="P66" s="304">
        <v>3.3908195553211997</v>
      </c>
      <c r="Q66" s="304"/>
      <c r="R66" s="304">
        <v>0.76223405567355196</v>
      </c>
      <c r="S66" s="304">
        <v>0.84654654752868963</v>
      </c>
      <c r="T66" s="304">
        <v>1.136073641521242</v>
      </c>
      <c r="U66" s="304"/>
      <c r="V66" s="304">
        <v>0.77549737307277056</v>
      </c>
      <c r="W66" s="304">
        <v>0.8076661447225767</v>
      </c>
      <c r="X66" s="304">
        <v>1.0186074993036789</v>
      </c>
      <c r="Y66" s="304"/>
      <c r="Z66" s="304">
        <v>3.5152386282952759</v>
      </c>
      <c r="AA66" s="304">
        <v>3.547446738573707</v>
      </c>
      <c r="AB66" s="304">
        <v>3.5352833446896308</v>
      </c>
      <c r="AC66" s="304"/>
      <c r="AD66" s="304">
        <v>4.4126316001173009</v>
      </c>
      <c r="AE66" s="304">
        <v>4.5405466734689179</v>
      </c>
      <c r="AF66" s="304">
        <v>3.8938564873286952</v>
      </c>
      <c r="AG66" s="304"/>
      <c r="AH66" s="304">
        <v>1.8679397607889039</v>
      </c>
      <c r="AI66" s="304">
        <v>1.2597452381250336</v>
      </c>
      <c r="AJ66" s="304">
        <v>0.42176595612641371</v>
      </c>
      <c r="AK66" s="304"/>
      <c r="AL66" s="304">
        <v>0.63539521017389422</v>
      </c>
      <c r="AM66" s="304">
        <v>0.43097267231557246</v>
      </c>
      <c r="AN66" s="304">
        <v>0.26703918016048106</v>
      </c>
    </row>
    <row r="67" spans="1:40" x14ac:dyDescent="0.25">
      <c r="A67" s="13" t="str">
        <f t="shared" si="72"/>
        <v>Skilled trades occupations</v>
      </c>
      <c r="B67" s="304">
        <f t="shared" si="75"/>
        <v>11.813713361050615</v>
      </c>
      <c r="C67" s="304">
        <f t="shared" si="73"/>
        <v>11.711910589324567</v>
      </c>
      <c r="D67" s="304">
        <f t="shared" si="74"/>
        <v>11.305638046430628</v>
      </c>
      <c r="E67" s="304"/>
      <c r="F67" s="304">
        <v>5.2083466870564542E-3</v>
      </c>
      <c r="G67" s="304">
        <v>6.8790982840368229E-3</v>
      </c>
      <c r="H67" s="304">
        <v>1.4743754144712101E-2</v>
      </c>
      <c r="I67" s="304"/>
      <c r="J67" s="304">
        <v>0.16333814241445446</v>
      </c>
      <c r="K67" s="304">
        <v>0.23964667142664739</v>
      </c>
      <c r="L67" s="304">
        <v>0.4412505936469367</v>
      </c>
      <c r="M67" s="304"/>
      <c r="N67" s="304">
        <v>0.55950623896071638</v>
      </c>
      <c r="O67" s="304">
        <v>0.69946825340995678</v>
      </c>
      <c r="P67" s="304">
        <v>0.94048623229159645</v>
      </c>
      <c r="Q67" s="304"/>
      <c r="R67" s="304">
        <v>0.29746626284320404</v>
      </c>
      <c r="S67" s="304">
        <v>0.32428800339769365</v>
      </c>
      <c r="T67" s="304">
        <v>0.40885325300824538</v>
      </c>
      <c r="U67" s="304"/>
      <c r="V67" s="304">
        <v>0.58144537733814416</v>
      </c>
      <c r="W67" s="304">
        <v>0.66175188724579903</v>
      </c>
      <c r="X67" s="304">
        <v>0.82756168723004331</v>
      </c>
      <c r="Y67" s="304"/>
      <c r="Z67" s="304">
        <v>3.9894208973042371</v>
      </c>
      <c r="AA67" s="304">
        <v>4.2300905524936647</v>
      </c>
      <c r="AB67" s="304">
        <v>4.3034682277163645</v>
      </c>
      <c r="AC67" s="304"/>
      <c r="AD67" s="304">
        <v>2.9013457707798249</v>
      </c>
      <c r="AE67" s="304">
        <v>2.9684432488612398</v>
      </c>
      <c r="AF67" s="304">
        <v>2.8519573129422193</v>
      </c>
      <c r="AG67" s="304"/>
      <c r="AH67" s="304">
        <v>1.8730923244869173</v>
      </c>
      <c r="AI67" s="304">
        <v>1.6424365864976564</v>
      </c>
      <c r="AJ67" s="304">
        <v>0.95363959942971832</v>
      </c>
      <c r="AK67" s="304"/>
      <c r="AL67" s="304">
        <v>1.442890000236061</v>
      </c>
      <c r="AM67" s="304">
        <v>0.93890628770787221</v>
      </c>
      <c r="AN67" s="304">
        <v>0.56367738602079265</v>
      </c>
    </row>
    <row r="68" spans="1:40" x14ac:dyDescent="0.25">
      <c r="A68" s="13" t="str">
        <f t="shared" si="72"/>
        <v>Caring, leisure and other service occupations</v>
      </c>
      <c r="B68" s="304">
        <f t="shared" si="75"/>
        <v>3.8382915524919636</v>
      </c>
      <c r="C68" s="304">
        <f t="shared" si="73"/>
        <v>4.0588632221223193</v>
      </c>
      <c r="D68" s="304">
        <f t="shared" si="74"/>
        <v>4.5989939973239533</v>
      </c>
      <c r="E68" s="304"/>
      <c r="F68" s="304">
        <v>5.2768772362160165E-3</v>
      </c>
      <c r="G68" s="304">
        <v>8.3868922674731929E-3</v>
      </c>
      <c r="H68" s="304">
        <v>1.8096654317868374E-2</v>
      </c>
      <c r="I68" s="304"/>
      <c r="J68" s="304">
        <v>8.2249402137863012E-2</v>
      </c>
      <c r="K68" s="304">
        <v>0.12547836339578772</v>
      </c>
      <c r="L68" s="304">
        <v>0.25338649404884067</v>
      </c>
      <c r="M68" s="304"/>
      <c r="N68" s="304">
        <v>0.45589743753705619</v>
      </c>
      <c r="O68" s="304">
        <v>0.53219749534209482</v>
      </c>
      <c r="P68" s="304">
        <v>0.69185307940402285</v>
      </c>
      <c r="Q68" s="304"/>
      <c r="R68" s="304">
        <v>0.38209092843651277</v>
      </c>
      <c r="S68" s="304">
        <v>0.45361590045556643</v>
      </c>
      <c r="T68" s="304">
        <v>0.68139391432055663</v>
      </c>
      <c r="U68" s="304"/>
      <c r="V68" s="304">
        <v>0.34706022181940316</v>
      </c>
      <c r="W68" s="304">
        <v>0.40874036942535996</v>
      </c>
      <c r="X68" s="304">
        <v>0.58502002327712799</v>
      </c>
      <c r="Y68" s="304"/>
      <c r="Z68" s="304">
        <v>0.74611413982722252</v>
      </c>
      <c r="AA68" s="304">
        <v>0.81655728263957061</v>
      </c>
      <c r="AB68" s="304">
        <v>0.92397360902726389</v>
      </c>
      <c r="AC68" s="304"/>
      <c r="AD68" s="304">
        <v>0.92657619863662977</v>
      </c>
      <c r="AE68" s="304">
        <v>0.99549447477920261</v>
      </c>
      <c r="AF68" s="304">
        <v>0.96587040585542483</v>
      </c>
      <c r="AG68" s="304"/>
      <c r="AH68" s="304">
        <v>0.4602985041164554</v>
      </c>
      <c r="AI68" s="304">
        <v>0.42964058581862669</v>
      </c>
      <c r="AJ68" s="304">
        <v>0.28162494609910937</v>
      </c>
      <c r="AK68" s="304"/>
      <c r="AL68" s="304">
        <v>0.43272784274460457</v>
      </c>
      <c r="AM68" s="304">
        <v>0.28875185799863778</v>
      </c>
      <c r="AN68" s="304">
        <v>0.19777487097373905</v>
      </c>
    </row>
    <row r="69" spans="1:40" x14ac:dyDescent="0.25">
      <c r="A69" s="13" t="str">
        <f t="shared" si="72"/>
        <v>Sales and customer service occupations</v>
      </c>
      <c r="B69" s="304">
        <f t="shared" si="75"/>
        <v>26.590820928392276</v>
      </c>
      <c r="C69" s="304">
        <f t="shared" si="73"/>
        <v>25.574205678409513</v>
      </c>
      <c r="D69" s="304">
        <f t="shared" si="74"/>
        <v>24.829141703167256</v>
      </c>
      <c r="E69" s="304"/>
      <c r="F69" s="304">
        <v>2.5523248853401754E-2</v>
      </c>
      <c r="G69" s="304">
        <v>3.6494463645054993E-2</v>
      </c>
      <c r="H69" s="304">
        <v>5.8614649747169741E-2</v>
      </c>
      <c r="I69" s="304"/>
      <c r="J69" s="304">
        <v>0.6392763436542539</v>
      </c>
      <c r="K69" s="304">
        <v>0.90949299921776139</v>
      </c>
      <c r="L69" s="304">
        <v>1.7837942523790644</v>
      </c>
      <c r="M69" s="304"/>
      <c r="N69" s="304">
        <v>2.9899705124714777</v>
      </c>
      <c r="O69" s="304">
        <v>3.4568079430950291</v>
      </c>
      <c r="P69" s="304">
        <v>4.8143494964441622</v>
      </c>
      <c r="Q69" s="304"/>
      <c r="R69" s="304">
        <v>0.96746487736596876</v>
      </c>
      <c r="S69" s="304">
        <v>1.0789510959012736</v>
      </c>
      <c r="T69" s="304">
        <v>1.4704464642505302</v>
      </c>
      <c r="U69" s="304"/>
      <c r="V69" s="304">
        <v>0.77376792014112317</v>
      </c>
      <c r="W69" s="304">
        <v>0.79552376858973683</v>
      </c>
      <c r="X69" s="304">
        <v>0.97471048202549893</v>
      </c>
      <c r="Y69" s="304"/>
      <c r="Z69" s="304">
        <v>7.1241406505442191</v>
      </c>
      <c r="AA69" s="304">
        <v>7.3512414922834273</v>
      </c>
      <c r="AB69" s="304">
        <v>7.7224744452671334</v>
      </c>
      <c r="AC69" s="304"/>
      <c r="AD69" s="304">
        <v>7.072637990438233</v>
      </c>
      <c r="AE69" s="304">
        <v>7.0068185201415023</v>
      </c>
      <c r="AF69" s="304">
        <v>5.7150653258374504</v>
      </c>
      <c r="AG69" s="304"/>
      <c r="AH69" s="304">
        <v>4.3782651042155392</v>
      </c>
      <c r="AI69" s="304">
        <v>3.4650383813661301</v>
      </c>
      <c r="AJ69" s="304">
        <v>1.5014688822794555</v>
      </c>
      <c r="AK69" s="304"/>
      <c r="AL69" s="304">
        <v>2.61977428070806</v>
      </c>
      <c r="AM69" s="304">
        <v>1.4738370141695929</v>
      </c>
      <c r="AN69" s="304">
        <v>0.78821770493679311</v>
      </c>
    </row>
    <row r="70" spans="1:40" x14ac:dyDescent="0.25">
      <c r="A70" s="13" t="str">
        <f t="shared" si="72"/>
        <v>Process, plant and machine operatives</v>
      </c>
      <c r="B70" s="304">
        <f t="shared" si="75"/>
        <v>20.213234887937155</v>
      </c>
      <c r="C70" s="304">
        <f t="shared" si="73"/>
        <v>23.342534253527905</v>
      </c>
      <c r="D70" s="304">
        <f t="shared" si="74"/>
        <v>24.167117895082523</v>
      </c>
      <c r="E70" s="304"/>
      <c r="F70" s="304">
        <v>5.4071680427877973E-2</v>
      </c>
      <c r="G70" s="304">
        <v>9.4435292942082458E-2</v>
      </c>
      <c r="H70" s="304">
        <v>0.20890865338438575</v>
      </c>
      <c r="I70" s="304"/>
      <c r="J70" s="304">
        <v>0.19952146410678923</v>
      </c>
      <c r="K70" s="304">
        <v>0.34648459916714336</v>
      </c>
      <c r="L70" s="304">
        <v>0.67213937289005476</v>
      </c>
      <c r="M70" s="304"/>
      <c r="N70" s="304">
        <v>0.86257378800488438</v>
      </c>
      <c r="O70" s="304">
        <v>1.2600651400626985</v>
      </c>
      <c r="P70" s="304">
        <v>2.0776518525573051</v>
      </c>
      <c r="Q70" s="304"/>
      <c r="R70" s="304">
        <v>0.38527744199023256</v>
      </c>
      <c r="S70" s="304">
        <v>0.52856965153739588</v>
      </c>
      <c r="T70" s="304">
        <v>0.71547898281686773</v>
      </c>
      <c r="U70" s="304"/>
      <c r="V70" s="304">
        <v>0.65382357367860822</v>
      </c>
      <c r="W70" s="304">
        <v>0.87955552121914149</v>
      </c>
      <c r="X70" s="304">
        <v>1.2728232379253102</v>
      </c>
      <c r="Y70" s="304"/>
      <c r="Z70" s="304">
        <v>3.5320011171697439</v>
      </c>
      <c r="AA70" s="304">
        <v>4.6355027984517836</v>
      </c>
      <c r="AB70" s="304">
        <v>5.5883854831316331</v>
      </c>
      <c r="AC70" s="304"/>
      <c r="AD70" s="304">
        <v>6.0349281372552364</v>
      </c>
      <c r="AE70" s="304">
        <v>8.0979701517645903</v>
      </c>
      <c r="AF70" s="304">
        <v>8.7874712826322181</v>
      </c>
      <c r="AG70" s="304"/>
      <c r="AH70" s="304">
        <v>5.2806480801390299</v>
      </c>
      <c r="AI70" s="304">
        <v>5.5029507881655606</v>
      </c>
      <c r="AJ70" s="304">
        <v>3.9980096827853826</v>
      </c>
      <c r="AK70" s="304"/>
      <c r="AL70" s="304">
        <v>3.2103896051647522</v>
      </c>
      <c r="AM70" s="304">
        <v>1.9970003102175087</v>
      </c>
      <c r="AN70" s="304">
        <v>0.8462493469593646</v>
      </c>
    </row>
    <row r="71" spans="1:40" x14ac:dyDescent="0.25">
      <c r="A71" s="13" t="str">
        <f t="shared" si="72"/>
        <v>Elementary occupations</v>
      </c>
      <c r="B71" s="304">
        <f t="shared" si="75"/>
        <v>24.107425054325716</v>
      </c>
      <c r="C71" s="304">
        <f t="shared" si="73"/>
        <v>24.689151015519247</v>
      </c>
      <c r="D71" s="304">
        <f t="shared" si="74"/>
        <v>23.142301202196084</v>
      </c>
      <c r="E71" s="304"/>
      <c r="F71" s="304">
        <v>8.301056233848126E-3</v>
      </c>
      <c r="G71" s="304">
        <v>1.194400243475453E-2</v>
      </c>
      <c r="H71" s="304">
        <v>2.0751089748550004E-2</v>
      </c>
      <c r="I71" s="304"/>
      <c r="J71" s="304">
        <v>0.44874175288759899</v>
      </c>
      <c r="K71" s="304">
        <v>0.68435111264657644</v>
      </c>
      <c r="L71" s="304">
        <v>1.4404373717612353</v>
      </c>
      <c r="M71" s="304"/>
      <c r="N71" s="304">
        <v>1.8479324764521972</v>
      </c>
      <c r="O71" s="304">
        <v>2.3127459171710205</v>
      </c>
      <c r="P71" s="304">
        <v>3.0238858410729184</v>
      </c>
      <c r="Q71" s="304"/>
      <c r="R71" s="304">
        <v>0.83532125994788109</v>
      </c>
      <c r="S71" s="304">
        <v>1.0227079241554855</v>
      </c>
      <c r="T71" s="304">
        <v>1.4857057148758577</v>
      </c>
      <c r="U71" s="304"/>
      <c r="V71" s="304">
        <v>0.94794324431669774</v>
      </c>
      <c r="W71" s="304">
        <v>1.1651218140542587</v>
      </c>
      <c r="X71" s="304">
        <v>1.5616693263300774</v>
      </c>
      <c r="Y71" s="304"/>
      <c r="Z71" s="304">
        <v>4.3530785584941443</v>
      </c>
      <c r="AA71" s="304">
        <v>4.7304457677087663</v>
      </c>
      <c r="AB71" s="304">
        <v>4.6000204187706029</v>
      </c>
      <c r="AC71" s="304"/>
      <c r="AD71" s="304">
        <v>6.3406632054983669</v>
      </c>
      <c r="AE71" s="304">
        <v>7.2684617079246232</v>
      </c>
      <c r="AF71" s="304">
        <v>6.6345795819304403</v>
      </c>
      <c r="AG71" s="304"/>
      <c r="AH71" s="304">
        <v>5.1468040431638657</v>
      </c>
      <c r="AI71" s="304">
        <v>4.7411890408283099</v>
      </c>
      <c r="AJ71" s="304">
        <v>2.8506844731043817</v>
      </c>
      <c r="AK71" s="304"/>
      <c r="AL71" s="304">
        <v>4.1786394573311192</v>
      </c>
      <c r="AM71" s="304">
        <v>2.7521837285954525</v>
      </c>
      <c r="AN71" s="304">
        <v>1.5245673846020182</v>
      </c>
    </row>
    <row r="72" spans="1:40" x14ac:dyDescent="0.25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ht="13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5">
      <c r="A74" s="13" t="str">
        <f t="shared" ref="A74:A83" si="76">A8</f>
        <v>All occupations</v>
      </c>
      <c r="B74" s="305">
        <f>SUM(B75:B83)</f>
        <v>111.41799999999996</v>
      </c>
      <c r="C74" s="305">
        <f>SUM(C75:C83)</f>
        <v>113.29</v>
      </c>
      <c r="D74" s="305">
        <f>SUM(D75:D83)</f>
        <v>117.91199999999996</v>
      </c>
      <c r="E74" s="304"/>
      <c r="F74" s="305">
        <f>SUM(F75:F83)</f>
        <v>1.60081751857243</v>
      </c>
      <c r="G74" s="305">
        <f>SUM(G75:G83)</f>
        <v>2.0576620886948302</v>
      </c>
      <c r="H74" s="305">
        <f>SUM(H75:H83)</f>
        <v>2.9932718752706857</v>
      </c>
      <c r="I74" s="304"/>
      <c r="J74" s="305">
        <f>SUM(J75:J83)</f>
        <v>13.742744695123859</v>
      </c>
      <c r="K74" s="305">
        <f>SUM(K75:K83)</f>
        <v>17.323375718206218</v>
      </c>
      <c r="L74" s="305">
        <f>SUM(L75:L83)</f>
        <v>25.396683648273612</v>
      </c>
      <c r="M74" s="304"/>
      <c r="N74" s="305">
        <f>SUM(N75:N83)</f>
        <v>27.701789526490796</v>
      </c>
      <c r="O74" s="305">
        <f>SUM(O75:O83)</f>
        <v>28.251424706758364</v>
      </c>
      <c r="P74" s="305">
        <f>SUM(P75:P83)</f>
        <v>30.74151987369164</v>
      </c>
      <c r="Q74" s="304"/>
      <c r="R74" s="305">
        <f>SUM(R75:R83)</f>
        <v>5.8854354205506754</v>
      </c>
      <c r="S74" s="305">
        <f>SUM(S75:S83)</f>
        <v>6.1699862220368225</v>
      </c>
      <c r="T74" s="305">
        <f>SUM(T75:T83)</f>
        <v>7.1770702956361081</v>
      </c>
      <c r="U74" s="304"/>
      <c r="V74" s="305">
        <f>SUM(V75:V83)</f>
        <v>6.9807702085678374</v>
      </c>
      <c r="W74" s="305">
        <f>SUM(W75:W83)</f>
        <v>7.1148041437564498</v>
      </c>
      <c r="X74" s="305">
        <f>SUM(X75:X83)</f>
        <v>7.9744351621431946</v>
      </c>
      <c r="Y74" s="304"/>
      <c r="Z74" s="305">
        <f>SUM(Z75:Z83)</f>
        <v>17.624209927049435</v>
      </c>
      <c r="AA74" s="305">
        <f>SUM(AA75:AA83)</f>
        <v>17.098065403989686</v>
      </c>
      <c r="AB74" s="305">
        <f>SUM(AB75:AB83)</f>
        <v>15.934113456629346</v>
      </c>
      <c r="AC74" s="304"/>
      <c r="AD74" s="305">
        <f>SUM(AD75:AD83)</f>
        <v>18.414402819922472</v>
      </c>
      <c r="AE74" s="305">
        <f>SUM(AE75:AE83)</f>
        <v>18.921974061153712</v>
      </c>
      <c r="AF74" s="305">
        <f>SUM(AF75:AF83)</f>
        <v>16.341653035155975</v>
      </c>
      <c r="AG74" s="304"/>
      <c r="AH74" s="305">
        <f>SUM(AH75:AH83)</f>
        <v>12.754149739481669</v>
      </c>
      <c r="AI74" s="305">
        <f>SUM(AI75:AI83)</f>
        <v>11.440623781677949</v>
      </c>
      <c r="AJ74" s="305">
        <f>SUM(AJ75:AJ83)</f>
        <v>7.7857521170682826</v>
      </c>
      <c r="AK74" s="304"/>
      <c r="AL74" s="305">
        <f>SUM(AL75:AL83)</f>
        <v>6.7136801442407652</v>
      </c>
      <c r="AM74" s="305">
        <f>SUM(AM75:AM83)</f>
        <v>4.9120838737259911</v>
      </c>
      <c r="AN74" s="305">
        <f>SUM(AN75:AN83)</f>
        <v>3.5675005361311198</v>
      </c>
    </row>
    <row r="75" spans="1:40" x14ac:dyDescent="0.25">
      <c r="A75" s="13" t="str">
        <f t="shared" si="76"/>
        <v>Managers, directors and senior officials</v>
      </c>
      <c r="B75" s="305">
        <f>SUM(F75,J75,N75,R75,V75,Z75,AD75,AH75,AL75)</f>
        <v>12.095692031771396</v>
      </c>
      <c r="C75" s="305">
        <f t="shared" ref="C75:C83" si="77">SUM(G75,K75,O75,S75,W75,AA75,AE75,AI75,AM75)</f>
        <v>12.28441789001217</v>
      </c>
      <c r="D75" s="305">
        <f t="shared" ref="D75:D83" si="78">SUM(H75,L75,P75,T75,X75,AB75,AF75,AJ75,AN75)</f>
        <v>13.503208115879231</v>
      </c>
      <c r="E75" s="304"/>
      <c r="F75" s="304">
        <v>0.22952556233381699</v>
      </c>
      <c r="G75" s="304">
        <v>0.29754426861580485</v>
      </c>
      <c r="H75" s="304">
        <v>0.45877844870246964</v>
      </c>
      <c r="I75" s="304"/>
      <c r="J75" s="304">
        <v>1.7764733936459252</v>
      </c>
      <c r="K75" s="304">
        <v>2.2361414396004156</v>
      </c>
      <c r="L75" s="304">
        <v>3.4153964359793174</v>
      </c>
      <c r="M75" s="304"/>
      <c r="N75" s="304">
        <v>3.656835069182053</v>
      </c>
      <c r="O75" s="304">
        <v>3.6271523990300167</v>
      </c>
      <c r="P75" s="304">
        <v>4.0213049680377786</v>
      </c>
      <c r="Q75" s="304"/>
      <c r="R75" s="304">
        <v>0.41279270193071826</v>
      </c>
      <c r="S75" s="304">
        <v>0.40268716415177697</v>
      </c>
      <c r="T75" s="304">
        <v>0.42307184855362323</v>
      </c>
      <c r="U75" s="304"/>
      <c r="V75" s="304">
        <v>1.0386105833161599</v>
      </c>
      <c r="W75" s="304">
        <v>1.0559780860573014</v>
      </c>
      <c r="X75" s="304">
        <v>1.1954527585968409</v>
      </c>
      <c r="Y75" s="304"/>
      <c r="Z75" s="304">
        <v>1.9876477066292464</v>
      </c>
      <c r="AA75" s="304">
        <v>1.8813715628835621</v>
      </c>
      <c r="AB75" s="304">
        <v>1.8348722792544478</v>
      </c>
      <c r="AC75" s="304"/>
      <c r="AD75" s="304">
        <v>1.4349907423847856</v>
      </c>
      <c r="AE75" s="304">
        <v>1.4198515450188918</v>
      </c>
      <c r="AF75" s="304">
        <v>1.1653570128657316</v>
      </c>
      <c r="AG75" s="304"/>
      <c r="AH75" s="304">
        <v>1.1021736014150421</v>
      </c>
      <c r="AI75" s="304">
        <v>1.0035680769967872</v>
      </c>
      <c r="AJ75" s="304">
        <v>0.74082868885780739</v>
      </c>
      <c r="AK75" s="304"/>
      <c r="AL75" s="304">
        <v>0.45664267093364908</v>
      </c>
      <c r="AM75" s="304">
        <v>0.36012334765761367</v>
      </c>
      <c r="AN75" s="304">
        <v>0.24814567503121421</v>
      </c>
    </row>
    <row r="76" spans="1:40" x14ac:dyDescent="0.25">
      <c r="A76" s="13" t="str">
        <f t="shared" si="76"/>
        <v>Professional occupations</v>
      </c>
      <c r="B76" s="305">
        <f t="shared" ref="B76:B83" si="79">SUM(F76,J76,N76,R76,V76,Z76,AD76,AH76,AL76)</f>
        <v>25.32545574338474</v>
      </c>
      <c r="C76" s="305">
        <f t="shared" si="77"/>
        <v>26.913072836589325</v>
      </c>
      <c r="D76" s="305">
        <f>SUM(H76,L76,P76,T76,X76,AB76,AF76,AJ76,AN76)</f>
        <v>29.505890031332608</v>
      </c>
      <c r="E76" s="304"/>
      <c r="F76" s="304">
        <v>0.8704821271053228</v>
      </c>
      <c r="G76" s="304">
        <v>1.1068059608004033</v>
      </c>
      <c r="H76" s="304">
        <v>1.5092181043489361</v>
      </c>
      <c r="I76" s="304"/>
      <c r="J76" s="304">
        <v>5.9278189193146718</v>
      </c>
      <c r="K76" s="304">
        <v>7.473064510232585</v>
      </c>
      <c r="L76" s="304">
        <v>10.278348528661184</v>
      </c>
      <c r="M76" s="304"/>
      <c r="N76" s="304">
        <v>9.4565356012048021</v>
      </c>
      <c r="O76" s="304">
        <v>9.4625055235166489</v>
      </c>
      <c r="P76" s="304">
        <v>9.356749713474743</v>
      </c>
      <c r="Q76" s="304"/>
      <c r="R76" s="304">
        <v>0.95005787290352417</v>
      </c>
      <c r="S76" s="304">
        <v>0.97093074049430061</v>
      </c>
      <c r="T76" s="304">
        <v>1.0598088576240801</v>
      </c>
      <c r="U76" s="304"/>
      <c r="V76" s="304">
        <v>1.5595955025039454</v>
      </c>
      <c r="W76" s="304">
        <v>1.5351048189092076</v>
      </c>
      <c r="X76" s="304">
        <v>1.6254133779083444</v>
      </c>
      <c r="Y76" s="304"/>
      <c r="Z76" s="304">
        <v>2.8227019414109913</v>
      </c>
      <c r="AA76" s="304">
        <v>2.8497765606891323</v>
      </c>
      <c r="AB76" s="304">
        <v>2.8307859355286888</v>
      </c>
      <c r="AC76" s="304"/>
      <c r="AD76" s="304">
        <v>2.04161260546707</v>
      </c>
      <c r="AE76" s="304">
        <v>2.0772367338817959</v>
      </c>
      <c r="AF76" s="304">
        <v>1.8491164150477057</v>
      </c>
      <c r="AG76" s="304"/>
      <c r="AH76" s="304">
        <v>1.1390508342261243</v>
      </c>
      <c r="AI76" s="304">
        <v>0.98703784818575369</v>
      </c>
      <c r="AJ76" s="304">
        <v>0.64196247730189127</v>
      </c>
      <c r="AK76" s="304"/>
      <c r="AL76" s="304">
        <v>0.55760033924828767</v>
      </c>
      <c r="AM76" s="304">
        <v>0.45061013987949622</v>
      </c>
      <c r="AN76" s="304">
        <v>0.35448662143703441</v>
      </c>
    </row>
    <row r="77" spans="1:40" x14ac:dyDescent="0.25">
      <c r="A77" s="13" t="str">
        <f t="shared" si="76"/>
        <v>Associate professional occupations</v>
      </c>
      <c r="B77" s="305">
        <f t="shared" si="79"/>
        <v>21.040148354797441</v>
      </c>
      <c r="C77" s="305">
        <f t="shared" si="77"/>
        <v>20.034305312142074</v>
      </c>
      <c r="D77" s="305">
        <f t="shared" si="78"/>
        <v>21.513630987897454</v>
      </c>
      <c r="E77" s="304"/>
      <c r="F77" s="304">
        <v>0.28716828124890914</v>
      </c>
      <c r="G77" s="304">
        <v>0.36100383104522948</v>
      </c>
      <c r="H77" s="304">
        <v>0.55016116057600306</v>
      </c>
      <c r="I77" s="304"/>
      <c r="J77" s="304">
        <v>3.3500605512111203</v>
      </c>
      <c r="K77" s="304">
        <v>3.9656915256519696</v>
      </c>
      <c r="L77" s="304">
        <v>5.8501821063276962</v>
      </c>
      <c r="M77" s="304"/>
      <c r="N77" s="304">
        <v>6.4473488002987844</v>
      </c>
      <c r="O77" s="304">
        <v>6.0648233946981271</v>
      </c>
      <c r="P77" s="304">
        <v>6.3366430917518128</v>
      </c>
      <c r="Q77" s="304"/>
      <c r="R77" s="304">
        <v>1.4287205439726638</v>
      </c>
      <c r="S77" s="304">
        <v>1.4166580134935098</v>
      </c>
      <c r="T77" s="304">
        <v>1.6560974149662588</v>
      </c>
      <c r="U77" s="304"/>
      <c r="V77" s="304">
        <v>1.3217399287928517</v>
      </c>
      <c r="W77" s="304">
        <v>1.2082585127719518</v>
      </c>
      <c r="X77" s="304">
        <v>1.236243442352976</v>
      </c>
      <c r="Y77" s="304"/>
      <c r="Z77" s="304">
        <v>3.3086829675052156</v>
      </c>
      <c r="AA77" s="304">
        <v>2.9737920956536787</v>
      </c>
      <c r="AB77" s="304">
        <v>2.7786266446480727</v>
      </c>
      <c r="AC77" s="304"/>
      <c r="AD77" s="304">
        <v>2.4377113408634239</v>
      </c>
      <c r="AE77" s="304">
        <v>2.1965416171514178</v>
      </c>
      <c r="AF77" s="304">
        <v>1.7253500000471529</v>
      </c>
      <c r="AG77" s="304"/>
      <c r="AH77" s="304">
        <v>1.6721620253270457</v>
      </c>
      <c r="AI77" s="304">
        <v>1.299162714688302</v>
      </c>
      <c r="AJ77" s="304">
        <v>0.89417342795638488</v>
      </c>
      <c r="AK77" s="304"/>
      <c r="AL77" s="304">
        <v>0.7865539155774236</v>
      </c>
      <c r="AM77" s="304">
        <v>0.54837360698788906</v>
      </c>
      <c r="AN77" s="304">
        <v>0.48615369927109497</v>
      </c>
    </row>
    <row r="78" spans="1:40" x14ac:dyDescent="0.25">
      <c r="A78" s="13" t="str">
        <f t="shared" si="76"/>
        <v>Administrative and secretarial occupations</v>
      </c>
      <c r="B78" s="305">
        <f t="shared" si="79"/>
        <v>19.556884041354348</v>
      </c>
      <c r="C78" s="305">
        <f t="shared" si="77"/>
        <v>18.803612229846735</v>
      </c>
      <c r="D78" s="305">
        <f t="shared" si="78"/>
        <v>17.435845068107049</v>
      </c>
      <c r="E78" s="304"/>
      <c r="F78" s="304">
        <v>0.13621278487631658</v>
      </c>
      <c r="G78" s="304">
        <v>0.17641256112704443</v>
      </c>
      <c r="H78" s="304">
        <v>0.28035088609174236</v>
      </c>
      <c r="I78" s="304"/>
      <c r="J78" s="304">
        <v>1.3721748254378991</v>
      </c>
      <c r="K78" s="304">
        <v>1.7248542086059078</v>
      </c>
      <c r="L78" s="304">
        <v>2.5183131634890903</v>
      </c>
      <c r="M78" s="304"/>
      <c r="N78" s="304">
        <v>4.3434403542375559</v>
      </c>
      <c r="O78" s="304">
        <v>4.6209701125275329</v>
      </c>
      <c r="P78" s="304">
        <v>5.3223583127803789</v>
      </c>
      <c r="Q78" s="304"/>
      <c r="R78" s="304">
        <v>1.2920142690214196</v>
      </c>
      <c r="S78" s="304">
        <v>1.3011917040960677</v>
      </c>
      <c r="T78" s="304">
        <v>1.4191197593184612</v>
      </c>
      <c r="U78" s="304"/>
      <c r="V78" s="304">
        <v>1.4444929813051803</v>
      </c>
      <c r="W78" s="304">
        <v>1.4457445603957937</v>
      </c>
      <c r="X78" s="304">
        <v>1.5907443019635898</v>
      </c>
      <c r="Y78" s="304"/>
      <c r="Z78" s="304">
        <v>3.4781603797897946</v>
      </c>
      <c r="AA78" s="304">
        <v>3.066099070637073</v>
      </c>
      <c r="AB78" s="304">
        <v>2.2559977763361285</v>
      </c>
      <c r="AC78" s="304"/>
      <c r="AD78" s="304">
        <v>4.2253362955150049</v>
      </c>
      <c r="AE78" s="304">
        <v>3.8565542061658955</v>
      </c>
      <c r="AF78" s="304">
        <v>2.6291812373347669</v>
      </c>
      <c r="AG78" s="304"/>
      <c r="AH78" s="304">
        <v>1.9567867825085437</v>
      </c>
      <c r="AI78" s="304">
        <v>1.559156566340903</v>
      </c>
      <c r="AJ78" s="304">
        <v>0.47004107430241132</v>
      </c>
      <c r="AK78" s="304"/>
      <c r="AL78" s="304">
        <v>1.30826536866263</v>
      </c>
      <c r="AM78" s="304">
        <v>1.0526292399505208</v>
      </c>
      <c r="AN78" s="304">
        <v>0.94973855649047867</v>
      </c>
    </row>
    <row r="79" spans="1:40" x14ac:dyDescent="0.25">
      <c r="A79" s="13" t="str">
        <f t="shared" si="76"/>
        <v>Skilled trades occupations</v>
      </c>
      <c r="B79" s="305">
        <f t="shared" si="79"/>
        <v>3.0336105556928445</v>
      </c>
      <c r="C79" s="305">
        <f t="shared" si="77"/>
        <v>3.1833269135764173</v>
      </c>
      <c r="D79" s="305">
        <f t="shared" si="78"/>
        <v>3.1672908571127039</v>
      </c>
      <c r="E79" s="304"/>
      <c r="F79" s="304">
        <v>1.3400435821583033E-2</v>
      </c>
      <c r="G79" s="304">
        <v>1.8331617454570633E-2</v>
      </c>
      <c r="H79" s="304">
        <v>2.6235582594943574E-2</v>
      </c>
      <c r="I79" s="304"/>
      <c r="J79" s="304">
        <v>0.20388089852535504</v>
      </c>
      <c r="K79" s="304">
        <v>0.30744833464228533</v>
      </c>
      <c r="L79" s="304">
        <v>0.4683825362986298</v>
      </c>
      <c r="M79" s="304"/>
      <c r="N79" s="304">
        <v>0.39245306781899109</v>
      </c>
      <c r="O79" s="304">
        <v>0.43837340588753809</v>
      </c>
      <c r="P79" s="304">
        <v>0.51798736252557764</v>
      </c>
      <c r="Q79" s="304"/>
      <c r="R79" s="304">
        <v>0.15692576120870189</v>
      </c>
      <c r="S79" s="304">
        <v>0.18001172201626572</v>
      </c>
      <c r="T79" s="304">
        <v>0.23532923506998937</v>
      </c>
      <c r="U79" s="304"/>
      <c r="V79" s="304">
        <v>0.18402901282521977</v>
      </c>
      <c r="W79" s="304">
        <v>0.19489636766568738</v>
      </c>
      <c r="X79" s="304">
        <v>0.20789543662980964</v>
      </c>
      <c r="Y79" s="304"/>
      <c r="Z79" s="304">
        <v>0.66401587123662265</v>
      </c>
      <c r="AA79" s="304">
        <v>0.68226878057485574</v>
      </c>
      <c r="AB79" s="304">
        <v>0.64289524492797834</v>
      </c>
      <c r="AC79" s="304"/>
      <c r="AD79" s="304">
        <v>0.63128161222864232</v>
      </c>
      <c r="AE79" s="304">
        <v>0.66241459822613413</v>
      </c>
      <c r="AF79" s="304">
        <v>0.57678440424125055</v>
      </c>
      <c r="AG79" s="304"/>
      <c r="AH79" s="304">
        <v>0.41788291548137657</v>
      </c>
      <c r="AI79" s="304">
        <v>0.3835638795962642</v>
      </c>
      <c r="AJ79" s="304">
        <v>0.25700913402101799</v>
      </c>
      <c r="AK79" s="304"/>
      <c r="AL79" s="304">
        <v>0.36974098054635218</v>
      </c>
      <c r="AM79" s="304">
        <v>0.31601820751281617</v>
      </c>
      <c r="AN79" s="304">
        <v>0.23477192080350712</v>
      </c>
    </row>
    <row r="80" spans="1:40" x14ac:dyDescent="0.25">
      <c r="A80" s="13" t="str">
        <f t="shared" si="76"/>
        <v>Caring, leisure and other service occupations</v>
      </c>
      <c r="B80" s="305">
        <f t="shared" si="79"/>
        <v>8.2351224592008592</v>
      </c>
      <c r="C80" s="305">
        <f t="shared" si="77"/>
        <v>8.4267950420431745</v>
      </c>
      <c r="D80" s="305">
        <f t="shared" si="78"/>
        <v>8.8345997429657732</v>
      </c>
      <c r="E80" s="304"/>
      <c r="F80" s="304">
        <v>6.1816575733633448E-3</v>
      </c>
      <c r="G80" s="304">
        <v>8.761903163110393E-3</v>
      </c>
      <c r="H80" s="304">
        <v>1.5923014555057603E-2</v>
      </c>
      <c r="I80" s="304"/>
      <c r="J80" s="304">
        <v>0.38595014646300657</v>
      </c>
      <c r="K80" s="304">
        <v>0.53978656851493956</v>
      </c>
      <c r="L80" s="304">
        <v>1.0048505005488655</v>
      </c>
      <c r="M80" s="304"/>
      <c r="N80" s="304">
        <v>1.0866929110838022</v>
      </c>
      <c r="O80" s="304">
        <v>1.2883363334088291</v>
      </c>
      <c r="P80" s="304">
        <v>1.7391107039567855</v>
      </c>
      <c r="Q80" s="304"/>
      <c r="R80" s="304">
        <v>0.77854238091792716</v>
      </c>
      <c r="S80" s="304">
        <v>0.87101973009163269</v>
      </c>
      <c r="T80" s="304">
        <v>1.0715419515516504</v>
      </c>
      <c r="U80" s="304"/>
      <c r="V80" s="304">
        <v>0.46445949643704443</v>
      </c>
      <c r="W80" s="304">
        <v>0.53192667628007106</v>
      </c>
      <c r="X80" s="304">
        <v>0.72100333730474686</v>
      </c>
      <c r="Y80" s="304"/>
      <c r="Z80" s="304">
        <v>1.9800629176565898</v>
      </c>
      <c r="AA80" s="304">
        <v>1.9496204841050679</v>
      </c>
      <c r="AB80" s="304">
        <v>1.8447841354746468</v>
      </c>
      <c r="AC80" s="304"/>
      <c r="AD80" s="304">
        <v>1.859389758477926</v>
      </c>
      <c r="AE80" s="304">
        <v>1.8265045220095246</v>
      </c>
      <c r="AF80" s="304">
        <v>1.4606308094855176</v>
      </c>
      <c r="AG80" s="304"/>
      <c r="AH80" s="304">
        <v>1.1699593430181789</v>
      </c>
      <c r="AI80" s="304">
        <v>1.0613973749126515</v>
      </c>
      <c r="AJ80" s="304">
        <v>0.73351671546167907</v>
      </c>
      <c r="AK80" s="304"/>
      <c r="AL80" s="304">
        <v>0.50388384757302151</v>
      </c>
      <c r="AM80" s="304">
        <v>0.34944144955734679</v>
      </c>
      <c r="AN80" s="304">
        <v>0.24323857462682374</v>
      </c>
    </row>
    <row r="81" spans="1:40" x14ac:dyDescent="0.25">
      <c r="A81" s="13" t="str">
        <f t="shared" si="76"/>
        <v>Sales and customer service occupations</v>
      </c>
      <c r="B81" s="305">
        <f t="shared" si="79"/>
        <v>8.0151553966101581</v>
      </c>
      <c r="C81" s="305">
        <f t="shared" si="77"/>
        <v>8.9980497143860863</v>
      </c>
      <c r="D81" s="305">
        <f t="shared" si="78"/>
        <v>9.6866976657133943</v>
      </c>
      <c r="E81" s="304"/>
      <c r="F81" s="304">
        <v>3.7052397796609689E-2</v>
      </c>
      <c r="G81" s="304">
        <v>5.4780213693189174E-2</v>
      </c>
      <c r="H81" s="304">
        <v>9.5354576938597474E-2</v>
      </c>
      <c r="I81" s="304"/>
      <c r="J81" s="304">
        <v>0.39081913616554964</v>
      </c>
      <c r="K81" s="304">
        <v>0.55344898499717099</v>
      </c>
      <c r="L81" s="304">
        <v>0.92148915952671462</v>
      </c>
      <c r="M81" s="304"/>
      <c r="N81" s="304">
        <v>1.4377861243193093</v>
      </c>
      <c r="O81" s="304">
        <v>1.6793347671322747</v>
      </c>
      <c r="P81" s="304">
        <v>2.0874064833156263</v>
      </c>
      <c r="Q81" s="304"/>
      <c r="R81" s="304">
        <v>0.44214175591378035</v>
      </c>
      <c r="S81" s="304">
        <v>0.49839367301230958</v>
      </c>
      <c r="T81" s="304">
        <v>0.63908611045138008</v>
      </c>
      <c r="U81" s="304"/>
      <c r="V81" s="304">
        <v>0.67612073645741999</v>
      </c>
      <c r="W81" s="304">
        <v>0.81518240410117337</v>
      </c>
      <c r="X81" s="304">
        <v>0.97298847113445386</v>
      </c>
      <c r="Y81" s="304"/>
      <c r="Z81" s="304">
        <v>1.6864437223552977</v>
      </c>
      <c r="AA81" s="304">
        <v>1.9161314309536437</v>
      </c>
      <c r="AB81" s="304">
        <v>1.9315612305840608</v>
      </c>
      <c r="AC81" s="304"/>
      <c r="AD81" s="304">
        <v>1.8724724029617874</v>
      </c>
      <c r="AE81" s="304">
        <v>2.1635135995711159</v>
      </c>
      <c r="AF81" s="304">
        <v>1.9969640121752568</v>
      </c>
      <c r="AG81" s="304"/>
      <c r="AH81" s="304">
        <v>0.99190816765587908</v>
      </c>
      <c r="AI81" s="304">
        <v>0.93466948343984191</v>
      </c>
      <c r="AJ81" s="304">
        <v>0.72267715226000206</v>
      </c>
      <c r="AK81" s="304"/>
      <c r="AL81" s="304">
        <v>0.48041095298452435</v>
      </c>
      <c r="AM81" s="304">
        <v>0.38259515748536771</v>
      </c>
      <c r="AN81" s="304">
        <v>0.31917046932730159</v>
      </c>
    </row>
    <row r="82" spans="1:40" x14ac:dyDescent="0.25">
      <c r="A82" s="13" t="str">
        <f t="shared" si="76"/>
        <v>Process, plant and machine operatives</v>
      </c>
      <c r="B82" s="305">
        <f t="shared" si="79"/>
        <v>2.1558204839955435</v>
      </c>
      <c r="C82" s="305">
        <f t="shared" si="77"/>
        <v>2.3670145672548331</v>
      </c>
      <c r="D82" s="305">
        <f t="shared" si="78"/>
        <v>2.2022441523083831</v>
      </c>
      <c r="E82" s="304"/>
      <c r="F82" s="304">
        <v>5.789292797602227E-3</v>
      </c>
      <c r="G82" s="304">
        <v>9.9050179845974091E-3</v>
      </c>
      <c r="H82" s="304">
        <v>1.4626512033723076E-2</v>
      </c>
      <c r="I82" s="304"/>
      <c r="J82" s="304">
        <v>7.1719370128429119E-2</v>
      </c>
      <c r="K82" s="304">
        <v>0.10976927112945903</v>
      </c>
      <c r="L82" s="304">
        <v>0.17311106274400198</v>
      </c>
      <c r="M82" s="304"/>
      <c r="N82" s="304">
        <v>0.13419068293276271</v>
      </c>
      <c r="O82" s="304">
        <v>0.18153518586095402</v>
      </c>
      <c r="P82" s="304">
        <v>0.2272371340670129</v>
      </c>
      <c r="Q82" s="304"/>
      <c r="R82" s="304">
        <v>4.7406763145370907E-2</v>
      </c>
      <c r="S82" s="304">
        <v>6.1046807689183642E-2</v>
      </c>
      <c r="T82" s="304">
        <v>7.4060222576670762E-2</v>
      </c>
      <c r="U82" s="304"/>
      <c r="V82" s="304">
        <v>6.2127114374196386E-2</v>
      </c>
      <c r="W82" s="304">
        <v>8.0297757356518742E-2</v>
      </c>
      <c r="X82" s="304">
        <v>9.9428157392777883E-2</v>
      </c>
      <c r="Y82" s="304"/>
      <c r="Z82" s="304">
        <v>0.4475866532979863</v>
      </c>
      <c r="AA82" s="304">
        <v>0.56084249655297047</v>
      </c>
      <c r="AB82" s="304">
        <v>0.64282309816465422</v>
      </c>
      <c r="AC82" s="304"/>
      <c r="AD82" s="304">
        <v>0.4410719068146578</v>
      </c>
      <c r="AE82" s="304">
        <v>0.55563183746360878</v>
      </c>
      <c r="AF82" s="304">
        <v>0.53108236145032905</v>
      </c>
      <c r="AG82" s="304"/>
      <c r="AH82" s="304">
        <v>0.43113326061099722</v>
      </c>
      <c r="AI82" s="304">
        <v>0.40983205653690352</v>
      </c>
      <c r="AJ82" s="304">
        <v>0.26391894315461034</v>
      </c>
      <c r="AK82" s="304"/>
      <c r="AL82" s="304">
        <v>0.51479543989354093</v>
      </c>
      <c r="AM82" s="304">
        <v>0.3981541366806377</v>
      </c>
      <c r="AN82" s="304">
        <v>0.17595666072460281</v>
      </c>
    </row>
    <row r="83" spans="1:40" x14ac:dyDescent="0.25">
      <c r="A83" s="39" t="str">
        <f t="shared" si="76"/>
        <v>Elementary occupations</v>
      </c>
      <c r="B83" s="307">
        <f t="shared" si="79"/>
        <v>11.960110933192619</v>
      </c>
      <c r="C83" s="307">
        <f t="shared" si="77"/>
        <v>12.279405494149199</v>
      </c>
      <c r="D83" s="307">
        <f t="shared" si="78"/>
        <v>12.062593378683369</v>
      </c>
      <c r="E83" s="307"/>
      <c r="F83" s="307">
        <v>1.5004979018906293E-2</v>
      </c>
      <c r="G83" s="307">
        <v>2.411671481088087E-2</v>
      </c>
      <c r="H83" s="307">
        <v>4.2623589429212572E-2</v>
      </c>
      <c r="I83" s="307"/>
      <c r="J83" s="307">
        <v>0.26384745423190187</v>
      </c>
      <c r="K83" s="307">
        <v>0.41317087483148529</v>
      </c>
      <c r="L83" s="307">
        <v>0.76661015469811022</v>
      </c>
      <c r="M83" s="307"/>
      <c r="N83" s="307">
        <v>0.74650691541273306</v>
      </c>
      <c r="O83" s="307">
        <v>0.88839358469643792</v>
      </c>
      <c r="P83" s="307">
        <v>1.1327221037819222</v>
      </c>
      <c r="Q83" s="307"/>
      <c r="R83" s="307">
        <v>0.37683337153657032</v>
      </c>
      <c r="S83" s="307">
        <v>0.46804666699177561</v>
      </c>
      <c r="T83" s="307">
        <v>0.59895489552399395</v>
      </c>
      <c r="U83" s="307"/>
      <c r="V83" s="307">
        <v>0.22959485255582043</v>
      </c>
      <c r="W83" s="307">
        <v>0.24741496021874554</v>
      </c>
      <c r="X83" s="307">
        <v>0.32526587885965408</v>
      </c>
      <c r="Y83" s="307"/>
      <c r="Z83" s="307">
        <v>1.248907767167692</v>
      </c>
      <c r="AA83" s="307">
        <v>1.2181629219397012</v>
      </c>
      <c r="AB83" s="307">
        <v>1.1717671117106678</v>
      </c>
      <c r="AC83" s="307"/>
      <c r="AD83" s="307">
        <v>3.4705361552091762</v>
      </c>
      <c r="AE83" s="307">
        <v>4.1637254016653245</v>
      </c>
      <c r="AF83" s="307">
        <v>4.4071867825082665</v>
      </c>
      <c r="AG83" s="307"/>
      <c r="AH83" s="307">
        <v>3.8730928092384822</v>
      </c>
      <c r="AI83" s="307">
        <v>3.8022357809805434</v>
      </c>
      <c r="AJ83" s="307">
        <v>3.0616245037524785</v>
      </c>
      <c r="AK83" s="307"/>
      <c r="AL83" s="307">
        <v>1.7357866288213351</v>
      </c>
      <c r="AM83" s="307">
        <v>1.054138588014303</v>
      </c>
      <c r="AN83" s="307">
        <v>0.55583835841906226</v>
      </c>
    </row>
    <row r="84" spans="1:40" x14ac:dyDescent="0.25">
      <c r="B84" s="32"/>
      <c r="C84" s="32"/>
      <c r="D84" s="32"/>
    </row>
    <row r="85" spans="1:40" ht="15.5" x14ac:dyDescent="0.35">
      <c r="A85" s="19" t="str">
        <f>CONCATENATE(A1," (Continued)")</f>
        <v>Basic Table 1  Employment by Industry Sector, Occupation Group and Qualification, 2020-2035, Black Country (Continued)</v>
      </c>
    </row>
    <row r="86" spans="1:40" ht="12.75" customHeight="1" x14ac:dyDescent="0.35">
      <c r="A86" s="19"/>
    </row>
    <row r="87" spans="1:40" ht="12.75" customHeight="1" x14ac:dyDescent="0.35">
      <c r="A87" s="19"/>
    </row>
    <row r="88" spans="1:40" ht="26.25" customHeight="1" x14ac:dyDescent="0.25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ht="13" x14ac:dyDescent="0.3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5">
      <c r="B90" s="32"/>
      <c r="C90" s="32"/>
      <c r="D90" s="32"/>
    </row>
    <row r="91" spans="1:40" ht="13" x14ac:dyDescent="0.3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5">
      <c r="A92" s="13" t="str">
        <f t="shared" ref="A92:A101" si="80">A8</f>
        <v>All occupations</v>
      </c>
      <c r="B92" s="305">
        <f>SUM(B93:B101)</f>
        <v>132.11400000000012</v>
      </c>
      <c r="C92" s="305">
        <f>SUM(C93:C101)</f>
        <v>138.34699999999989</v>
      </c>
      <c r="D92" s="305">
        <f>SUM(D93:D101)</f>
        <v>146.59199999999993</v>
      </c>
      <c r="E92" s="304"/>
      <c r="F92" s="305">
        <f>SUM(F93:F101)</f>
        <v>4.2439173796924567</v>
      </c>
      <c r="G92" s="305">
        <f>SUM(G93:G101)</f>
        <v>5.4290490571383909</v>
      </c>
      <c r="H92" s="305">
        <f>SUM(H93:H101)</f>
        <v>7.7691097337284356</v>
      </c>
      <c r="I92" s="304"/>
      <c r="J92" s="305">
        <f>SUM(J93:J101)</f>
        <v>23.50725849113422</v>
      </c>
      <c r="K92" s="305">
        <f>SUM(K93:K101)</f>
        <v>28.952334504915708</v>
      </c>
      <c r="L92" s="305">
        <f>SUM(L93:L101)</f>
        <v>39.650523184782685</v>
      </c>
      <c r="M92" s="304"/>
      <c r="N92" s="305">
        <f>SUM(N93:N101)</f>
        <v>32.245204942419775</v>
      </c>
      <c r="O92" s="305">
        <f>SUM(O93:O101)</f>
        <v>34.690583226807632</v>
      </c>
      <c r="P92" s="305">
        <f>SUM(P93:P101)</f>
        <v>38.860004789793187</v>
      </c>
      <c r="Q92" s="304"/>
      <c r="R92" s="305">
        <f>SUM(R93:R101)</f>
        <v>13.037910354778592</v>
      </c>
      <c r="S92" s="305">
        <f>SUM(S93:S101)</f>
        <v>11.170326179456245</v>
      </c>
      <c r="T92" s="305">
        <f>SUM(T93:T101)</f>
        <v>9.9186820239495592</v>
      </c>
      <c r="U92" s="304"/>
      <c r="V92" s="305">
        <f>SUM(V93:V101)</f>
        <v>5.7957394539797775</v>
      </c>
      <c r="W92" s="305">
        <f>SUM(W93:W101)</f>
        <v>5.8325944425707519</v>
      </c>
      <c r="X92" s="305">
        <f>SUM(X93:X101)</f>
        <v>6.4354824768065537</v>
      </c>
      <c r="Y92" s="304"/>
      <c r="Z92" s="305">
        <f>SUM(Z93:Z101)</f>
        <v>25.856893805312357</v>
      </c>
      <c r="AA92" s="305">
        <f>SUM(AA93:AA101)</f>
        <v>27.566707029552486</v>
      </c>
      <c r="AB92" s="305">
        <f>SUM(AB93:AB101)</f>
        <v>27.141545428403337</v>
      </c>
      <c r="AC92" s="304"/>
      <c r="AD92" s="305">
        <f>SUM(AD93:AD101)</f>
        <v>19.234114612001132</v>
      </c>
      <c r="AE92" s="305">
        <f>SUM(AE93:AE101)</f>
        <v>18.988471132621363</v>
      </c>
      <c r="AF92" s="305">
        <f>SUM(AF93:AF101)</f>
        <v>13.79050277194148</v>
      </c>
      <c r="AG92" s="304"/>
      <c r="AH92" s="305">
        <f>SUM(AH93:AH101)</f>
        <v>6.3434030563054939</v>
      </c>
      <c r="AI92" s="305">
        <f>SUM(AI93:AI101)</f>
        <v>4.5469181741395523</v>
      </c>
      <c r="AJ92" s="305">
        <f>SUM(AJ93:AJ101)</f>
        <v>2.1342514957690661</v>
      </c>
      <c r="AK92" s="304"/>
      <c r="AL92" s="305">
        <f>SUM(AL93:AL101)</f>
        <v>1.8495579043763155</v>
      </c>
      <c r="AM92" s="305">
        <f>SUM(AM93:AM101)</f>
        <v>1.1700162527977824</v>
      </c>
      <c r="AN92" s="305">
        <f>SUM(AN93:AN101)</f>
        <v>0.89189809482564164</v>
      </c>
    </row>
    <row r="93" spans="1:40" x14ac:dyDescent="0.25">
      <c r="A93" s="13" t="str">
        <f t="shared" si="80"/>
        <v>Managers, directors and senior officials</v>
      </c>
      <c r="B93" s="305">
        <f>SUM(F93,J93,N93,R93,V93,Z93,AD93,AH93,AL93)</f>
        <v>5.5462955043451068</v>
      </c>
      <c r="C93" s="305">
        <f t="shared" ref="C93:D93" si="81">SUM(G93,K93,O93,S93,W93,AA93,AE93,AI93,AM93)</f>
        <v>5.7658535954366412</v>
      </c>
      <c r="D93" s="305">
        <f t="shared" si="81"/>
        <v>6.5150590533154675</v>
      </c>
      <c r="E93" s="304"/>
      <c r="F93" s="304">
        <v>0.11586444354423357</v>
      </c>
      <c r="G93" s="304">
        <v>0.15009816707946302</v>
      </c>
      <c r="H93" s="304">
        <v>0.24580517286409098</v>
      </c>
      <c r="I93" s="304"/>
      <c r="J93" s="304">
        <v>1.0805945368655032</v>
      </c>
      <c r="K93" s="304">
        <v>1.26890409724482</v>
      </c>
      <c r="L93" s="304">
        <v>1.7280224376964697</v>
      </c>
      <c r="M93" s="304"/>
      <c r="N93" s="304">
        <v>1.6545754386844307</v>
      </c>
      <c r="O93" s="304">
        <v>1.729732930452909</v>
      </c>
      <c r="P93" s="304">
        <v>1.9995552328705826</v>
      </c>
      <c r="Q93" s="304"/>
      <c r="R93" s="304">
        <v>0.970991605870131</v>
      </c>
      <c r="S93" s="304">
        <v>0.97450516467675563</v>
      </c>
      <c r="T93" s="304">
        <v>1.0472749763267304</v>
      </c>
      <c r="U93" s="304"/>
      <c r="V93" s="304">
        <v>0.21534556651359926</v>
      </c>
      <c r="W93" s="304">
        <v>0.19674534057428542</v>
      </c>
      <c r="X93" s="304">
        <v>0.19323684237807376</v>
      </c>
      <c r="Y93" s="304"/>
      <c r="Z93" s="304">
        <v>0.82554115871731071</v>
      </c>
      <c r="AA93" s="304">
        <v>0.79387114383057045</v>
      </c>
      <c r="AB93" s="304">
        <v>0.73820045177702254</v>
      </c>
      <c r="AC93" s="304"/>
      <c r="AD93" s="304">
        <v>0.40196980284222905</v>
      </c>
      <c r="AE93" s="304">
        <v>0.40993716450774287</v>
      </c>
      <c r="AF93" s="304">
        <v>0.36003750478955271</v>
      </c>
      <c r="AG93" s="304"/>
      <c r="AH93" s="304">
        <v>0.14385731449705658</v>
      </c>
      <c r="AI93" s="304">
        <v>0.12074178468192787</v>
      </c>
      <c r="AJ93" s="304">
        <v>8.2399093536165785E-2</v>
      </c>
      <c r="AK93" s="304"/>
      <c r="AL93" s="304">
        <v>0.1375556368106125</v>
      </c>
      <c r="AM93" s="304">
        <v>0.12131780238816726</v>
      </c>
      <c r="AN93" s="304">
        <v>0.12052734107677811</v>
      </c>
    </row>
    <row r="94" spans="1:40" x14ac:dyDescent="0.25">
      <c r="A94" s="13" t="str">
        <f t="shared" si="80"/>
        <v>Professional occupations</v>
      </c>
      <c r="B94" s="305">
        <f t="shared" ref="B94:B101" si="82">SUM(F94,J94,N94,R94,V94,Z94,AD94,AH94,AL94)</f>
        <v>49.615175674107249</v>
      </c>
      <c r="C94" s="305">
        <f t="shared" ref="C94:C101" si="83">SUM(G94,K94,O94,S94,W94,AA94,AE94,AI94,AM94)</f>
        <v>54.082075804685779</v>
      </c>
      <c r="D94" s="305">
        <f t="shared" ref="D94:D101" si="84">SUM(H94,L94,P94,T94,X94,AB94,AF94,AJ94,AN94)</f>
        <v>60.745192329498458</v>
      </c>
      <c r="E94" s="305"/>
      <c r="F94" s="304">
        <v>3.8307247004089846</v>
      </c>
      <c r="G94" s="304">
        <v>4.8940123465113379</v>
      </c>
      <c r="H94" s="304">
        <v>6.8905066645941737</v>
      </c>
      <c r="I94" s="304"/>
      <c r="J94" s="304">
        <v>17.313501933964673</v>
      </c>
      <c r="K94" s="304">
        <v>21.277142596106732</v>
      </c>
      <c r="L94" s="304">
        <v>28.192020709558388</v>
      </c>
      <c r="M94" s="304"/>
      <c r="N94" s="304">
        <v>17.016360169558812</v>
      </c>
      <c r="O94" s="304">
        <v>17.779976161973959</v>
      </c>
      <c r="P94" s="304">
        <v>18.040835541191733</v>
      </c>
      <c r="Q94" s="304"/>
      <c r="R94" s="304">
        <v>3.8611770543286994</v>
      </c>
      <c r="S94" s="304">
        <v>2.3217946104068532</v>
      </c>
      <c r="T94" s="304">
        <v>0.97532153228892937</v>
      </c>
      <c r="U94" s="304"/>
      <c r="V94" s="304">
        <v>1.0346694535950363</v>
      </c>
      <c r="W94" s="304">
        <v>1.046801245244074</v>
      </c>
      <c r="X94" s="304">
        <v>1.0930797454589771</v>
      </c>
      <c r="Y94" s="304"/>
      <c r="Z94" s="304">
        <v>3.1286865944797011</v>
      </c>
      <c r="AA94" s="304">
        <v>3.3791219601245626</v>
      </c>
      <c r="AB94" s="304">
        <v>3.162966808690336</v>
      </c>
      <c r="AC94" s="304"/>
      <c r="AD94" s="304">
        <v>1.9983056664304939</v>
      </c>
      <c r="AE94" s="304">
        <v>2.1183226572477101</v>
      </c>
      <c r="AF94" s="304">
        <v>1.6404136688277691</v>
      </c>
      <c r="AG94" s="304"/>
      <c r="AH94" s="304">
        <v>1.1799919397430703</v>
      </c>
      <c r="AI94" s="304">
        <v>1.0563569551214718</v>
      </c>
      <c r="AJ94" s="304">
        <v>0.56899121357598315</v>
      </c>
      <c r="AK94" s="304"/>
      <c r="AL94" s="304">
        <v>0.2517581615977707</v>
      </c>
      <c r="AM94" s="304">
        <v>0.2085472719490713</v>
      </c>
      <c r="AN94" s="304">
        <v>0.18105644531216283</v>
      </c>
    </row>
    <row r="95" spans="1:40" x14ac:dyDescent="0.25">
      <c r="A95" s="13" t="str">
        <f t="shared" si="80"/>
        <v>Associate professional occupations</v>
      </c>
      <c r="B95" s="305">
        <f t="shared" si="82"/>
        <v>19.13542492543197</v>
      </c>
      <c r="C95" s="305">
        <f t="shared" si="83"/>
        <v>19.586321151423792</v>
      </c>
      <c r="D95" s="305">
        <f t="shared" si="84"/>
        <v>21.543895028476705</v>
      </c>
      <c r="E95" s="305"/>
      <c r="F95" s="304">
        <v>0.15455714230785769</v>
      </c>
      <c r="G95" s="304">
        <v>0.20645024310713939</v>
      </c>
      <c r="H95" s="304">
        <v>0.37768664267722835</v>
      </c>
      <c r="I95" s="304"/>
      <c r="J95" s="304">
        <v>2.4333777115025428</v>
      </c>
      <c r="K95" s="304">
        <v>2.9588213549715863</v>
      </c>
      <c r="L95" s="304">
        <v>4.5307598062410834</v>
      </c>
      <c r="M95" s="304"/>
      <c r="N95" s="304">
        <v>5.8210111063387631</v>
      </c>
      <c r="O95" s="304">
        <v>6.3710339328588406</v>
      </c>
      <c r="P95" s="304">
        <v>7.8055699270533703</v>
      </c>
      <c r="Q95" s="304"/>
      <c r="R95" s="304">
        <v>2.5896313574035879</v>
      </c>
      <c r="S95" s="304">
        <v>2.1719264423975031</v>
      </c>
      <c r="T95" s="304">
        <v>1.7623130452403397</v>
      </c>
      <c r="U95" s="304"/>
      <c r="V95" s="304">
        <v>0.99893647361189775</v>
      </c>
      <c r="W95" s="304">
        <v>0.92050334496553343</v>
      </c>
      <c r="X95" s="304">
        <v>1.0105837585132267</v>
      </c>
      <c r="Y95" s="304"/>
      <c r="Z95" s="304">
        <v>3.4674469156951169</v>
      </c>
      <c r="AA95" s="304">
        <v>3.5154416213891611</v>
      </c>
      <c r="AB95" s="304">
        <v>3.4927192011654791</v>
      </c>
      <c r="AC95" s="304"/>
      <c r="AD95" s="304">
        <v>2.4022785086991938</v>
      </c>
      <c r="AE95" s="304">
        <v>2.3886535242130735</v>
      </c>
      <c r="AF95" s="304">
        <v>1.85464213596586</v>
      </c>
      <c r="AG95" s="304"/>
      <c r="AH95" s="304">
        <v>1.0575765655860638</v>
      </c>
      <c r="AI95" s="304">
        <v>0.9033555154952827</v>
      </c>
      <c r="AJ95" s="304">
        <v>0.52388251270261976</v>
      </c>
      <c r="AK95" s="304"/>
      <c r="AL95" s="304">
        <v>0.21060914428694405</v>
      </c>
      <c r="AM95" s="304">
        <v>0.15013517202567592</v>
      </c>
      <c r="AN95" s="304">
        <v>0.18573799891749437</v>
      </c>
    </row>
    <row r="96" spans="1:40" x14ac:dyDescent="0.25">
      <c r="A96" s="13" t="str">
        <f t="shared" si="80"/>
        <v>Administrative and secretarial occupations</v>
      </c>
      <c r="B96" s="305">
        <f t="shared" si="82"/>
        <v>13.359698577469432</v>
      </c>
      <c r="C96" s="305">
        <f t="shared" si="83"/>
        <v>11.982672438939707</v>
      </c>
      <c r="D96" s="305">
        <f t="shared" si="84"/>
        <v>8.4403815983663186</v>
      </c>
      <c r="E96" s="305"/>
      <c r="F96" s="304">
        <v>8.8703050857304719E-2</v>
      </c>
      <c r="G96" s="304">
        <v>0.10439526066092171</v>
      </c>
      <c r="H96" s="304">
        <v>0.14513303248118037</v>
      </c>
      <c r="I96" s="304"/>
      <c r="J96" s="304">
        <v>1.0006282427329594</v>
      </c>
      <c r="K96" s="304">
        <v>1.111016841114153</v>
      </c>
      <c r="L96" s="304">
        <v>0.92493974259088785</v>
      </c>
      <c r="M96" s="304"/>
      <c r="N96" s="304">
        <v>2.5309443134020242</v>
      </c>
      <c r="O96" s="304">
        <v>2.5738815632202221</v>
      </c>
      <c r="P96" s="304">
        <v>2.7434471104994609</v>
      </c>
      <c r="Q96" s="304"/>
      <c r="R96" s="304">
        <v>1.5028569049704654</v>
      </c>
      <c r="S96" s="304">
        <v>1.5642568160874548</v>
      </c>
      <c r="T96" s="304">
        <v>1.6232773189508316</v>
      </c>
      <c r="U96" s="304"/>
      <c r="V96" s="304">
        <v>0.94621539179128122</v>
      </c>
      <c r="W96" s="304">
        <v>0.92215657500144066</v>
      </c>
      <c r="X96" s="304">
        <v>0.91148317737687368</v>
      </c>
      <c r="Y96" s="304"/>
      <c r="Z96" s="304">
        <v>2.868454963177645</v>
      </c>
      <c r="AA96" s="304">
        <v>2.7249729901872692</v>
      </c>
      <c r="AB96" s="304">
        <v>1.4206891293390407</v>
      </c>
      <c r="AC96" s="304"/>
      <c r="AD96" s="304">
        <v>2.7089542427748818</v>
      </c>
      <c r="AE96" s="304">
        <v>2.0133505344557219</v>
      </c>
      <c r="AF96" s="304">
        <v>0.57538340628402029</v>
      </c>
      <c r="AG96" s="304"/>
      <c r="AH96" s="304">
        <v>1.4304461152173436</v>
      </c>
      <c r="AI96" s="304">
        <v>0.83821849248155567</v>
      </c>
      <c r="AJ96" s="304">
        <v>7.7852530325181191E-2</v>
      </c>
      <c r="AK96" s="304"/>
      <c r="AL96" s="304">
        <v>0.2824953525455271</v>
      </c>
      <c r="AM96" s="304">
        <v>0.13042336573096688</v>
      </c>
      <c r="AN96" s="304">
        <v>1.8176150518841493E-2</v>
      </c>
    </row>
    <row r="97" spans="1:40" x14ac:dyDescent="0.25">
      <c r="A97" s="13" t="str">
        <f t="shared" si="80"/>
        <v>Skilled trades occupations</v>
      </c>
      <c r="B97" s="305">
        <f t="shared" si="82"/>
        <v>1.6515677053061018</v>
      </c>
      <c r="C97" s="305">
        <f t="shared" si="83"/>
        <v>1.5904846063919154</v>
      </c>
      <c r="D97" s="305">
        <f t="shared" si="84"/>
        <v>1.4242167739300742</v>
      </c>
      <c r="E97" s="304"/>
      <c r="F97" s="304">
        <v>1.3905013984263474E-2</v>
      </c>
      <c r="G97" s="304">
        <v>1.5555655068926446E-2</v>
      </c>
      <c r="H97" s="304">
        <v>1.4717932472358621E-2</v>
      </c>
      <c r="I97" s="304"/>
      <c r="J97" s="304">
        <v>3.7530200776312861E-2</v>
      </c>
      <c r="K97" s="304">
        <v>5.2090323703214723E-2</v>
      </c>
      <c r="L97" s="304">
        <v>6.7370340258779166E-2</v>
      </c>
      <c r="M97" s="304"/>
      <c r="N97" s="304">
        <v>0.17769065090974889</v>
      </c>
      <c r="O97" s="304">
        <v>0.24520147298122927</v>
      </c>
      <c r="P97" s="304">
        <v>0.34277756197391596</v>
      </c>
      <c r="Q97" s="304"/>
      <c r="R97" s="304">
        <v>7.4297061943971732E-2</v>
      </c>
      <c r="S97" s="304">
        <v>7.9060627345097362E-2</v>
      </c>
      <c r="T97" s="304">
        <v>8.6634649178293513E-2</v>
      </c>
      <c r="U97" s="304"/>
      <c r="V97" s="304">
        <v>5.6650303113075409E-2</v>
      </c>
      <c r="W97" s="304">
        <v>5.3025785131804323E-2</v>
      </c>
      <c r="X97" s="304">
        <v>5.8642124281330213E-2</v>
      </c>
      <c r="Y97" s="304"/>
      <c r="Z97" s="304">
        <v>0.37687619651367071</v>
      </c>
      <c r="AA97" s="304">
        <v>0.33401948485344835</v>
      </c>
      <c r="AB97" s="304">
        <v>0.28322154881838763</v>
      </c>
      <c r="AC97" s="304"/>
      <c r="AD97" s="304">
        <v>0.5186504111428063</v>
      </c>
      <c r="AE97" s="304">
        <v>0.47497826103451646</v>
      </c>
      <c r="AF97" s="304">
        <v>0.29544020813112881</v>
      </c>
      <c r="AG97" s="304"/>
      <c r="AH97" s="304">
        <v>0.30326062302188789</v>
      </c>
      <c r="AI97" s="304">
        <v>0.27666485399913365</v>
      </c>
      <c r="AJ97" s="304">
        <v>0.24268939396165079</v>
      </c>
      <c r="AK97" s="304"/>
      <c r="AL97" s="304">
        <v>9.2707243900364347E-2</v>
      </c>
      <c r="AM97" s="304">
        <v>5.9888142274544809E-2</v>
      </c>
      <c r="AN97" s="304">
        <v>3.2723014854229751E-2</v>
      </c>
    </row>
    <row r="98" spans="1:40" x14ac:dyDescent="0.25">
      <c r="A98" s="13" t="str">
        <f t="shared" si="80"/>
        <v>Caring, leisure and other service occupations</v>
      </c>
      <c r="B98" s="305">
        <f t="shared" si="82"/>
        <v>36.278024941772628</v>
      </c>
      <c r="C98" s="305">
        <f t="shared" si="83"/>
        <v>39.477443418384603</v>
      </c>
      <c r="D98" s="305">
        <f t="shared" si="84"/>
        <v>43.155370656015776</v>
      </c>
      <c r="E98" s="304"/>
      <c r="F98" s="304">
        <v>2.1683723822810939E-2</v>
      </c>
      <c r="G98" s="304">
        <v>3.058659476698844E-2</v>
      </c>
      <c r="H98" s="304">
        <v>5.4940009063279893E-2</v>
      </c>
      <c r="I98" s="304"/>
      <c r="J98" s="304">
        <v>1.4049530363832836</v>
      </c>
      <c r="K98" s="304">
        <v>1.9854807519691982</v>
      </c>
      <c r="L98" s="304">
        <v>3.8313595582262781</v>
      </c>
      <c r="M98" s="304"/>
      <c r="N98" s="304">
        <v>4.4289726026733076</v>
      </c>
      <c r="O98" s="304">
        <v>5.2636859032582795</v>
      </c>
      <c r="P98" s="304">
        <v>7.0406984276505202</v>
      </c>
      <c r="Q98" s="304"/>
      <c r="R98" s="304">
        <v>3.6601798408719608</v>
      </c>
      <c r="S98" s="304">
        <v>3.6779288843027125</v>
      </c>
      <c r="T98" s="304">
        <v>4.0162742356818208</v>
      </c>
      <c r="U98" s="304"/>
      <c r="V98" s="304">
        <v>2.2065085958493231</v>
      </c>
      <c r="W98" s="304">
        <v>2.3060505707454095</v>
      </c>
      <c r="X98" s="304">
        <v>2.7046010340390079</v>
      </c>
      <c r="Y98" s="304"/>
      <c r="Z98" s="304">
        <v>13.837275690072358</v>
      </c>
      <c r="AA98" s="304">
        <v>15.462494025124236</v>
      </c>
      <c r="AB98" s="304">
        <v>16.90454645024176</v>
      </c>
      <c r="AC98" s="304"/>
      <c r="AD98" s="304">
        <v>9.4584383238701815</v>
      </c>
      <c r="AE98" s="304">
        <v>10.021899936116341</v>
      </c>
      <c r="AF98" s="304">
        <v>8.1848119282531702</v>
      </c>
      <c r="AG98" s="304"/>
      <c r="AH98" s="304">
        <v>1.0221631834605918</v>
      </c>
      <c r="AI98" s="304">
        <v>0.57277318812023814</v>
      </c>
      <c r="AJ98" s="304">
        <v>0.3401994034050756</v>
      </c>
      <c r="AK98" s="304"/>
      <c r="AL98" s="304">
        <v>0.23784994476881</v>
      </c>
      <c r="AM98" s="304">
        <v>0.15654356398120353</v>
      </c>
      <c r="AN98" s="304">
        <v>7.7939609454867054E-2</v>
      </c>
    </row>
    <row r="99" spans="1:40" x14ac:dyDescent="0.25">
      <c r="A99" s="13" t="str">
        <f t="shared" si="80"/>
        <v>Sales and customer service occupations</v>
      </c>
      <c r="B99" s="305">
        <f t="shared" si="82"/>
        <v>1.5305421613585863</v>
      </c>
      <c r="C99" s="305">
        <f t="shared" si="83"/>
        <v>1.7239464196367822</v>
      </c>
      <c r="D99" s="305">
        <f>SUM(H99,L99,P99,T99,X99,AB99,AF99,AJ99,AN99)</f>
        <v>1.76747585709613</v>
      </c>
      <c r="E99" s="304"/>
      <c r="F99" s="304">
        <v>8.162381528131436E-3</v>
      </c>
      <c r="G99" s="304">
        <v>1.1470315139866852E-2</v>
      </c>
      <c r="H99" s="304">
        <v>1.6744028576157085E-2</v>
      </c>
      <c r="I99" s="304"/>
      <c r="J99" s="304">
        <v>0.1605364116261209</v>
      </c>
      <c r="K99" s="304">
        <v>0.21061345381046043</v>
      </c>
      <c r="L99" s="304">
        <v>0.27122632198670105</v>
      </c>
      <c r="M99" s="304"/>
      <c r="N99" s="304">
        <v>0.35988981302375489</v>
      </c>
      <c r="O99" s="304">
        <v>0.42003786837597124</v>
      </c>
      <c r="P99" s="304">
        <v>0.48962983263243465</v>
      </c>
      <c r="Q99" s="304"/>
      <c r="R99" s="304">
        <v>0.19810959114549923</v>
      </c>
      <c r="S99" s="304">
        <v>0.19686201953318141</v>
      </c>
      <c r="T99" s="304">
        <v>0.20849735291464241</v>
      </c>
      <c r="U99" s="304"/>
      <c r="V99" s="304">
        <v>0.1226751616171339</v>
      </c>
      <c r="W99" s="304">
        <v>0.14010399786567068</v>
      </c>
      <c r="X99" s="304">
        <v>0.16215674208415942</v>
      </c>
      <c r="Y99" s="304"/>
      <c r="Z99" s="304">
        <v>0.30104723239120218</v>
      </c>
      <c r="AA99" s="304">
        <v>0.34586129694469941</v>
      </c>
      <c r="AB99" s="304">
        <v>0.34209070431332878</v>
      </c>
      <c r="AC99" s="304"/>
      <c r="AD99" s="304">
        <v>0.25101556357619226</v>
      </c>
      <c r="AE99" s="304">
        <v>0.27991207312213057</v>
      </c>
      <c r="AF99" s="304">
        <v>0.19025078806381379</v>
      </c>
      <c r="AG99" s="304"/>
      <c r="AH99" s="304">
        <v>7.902095714922959E-2</v>
      </c>
      <c r="AI99" s="304">
        <v>7.0528511683127473E-2</v>
      </c>
      <c r="AJ99" s="304">
        <v>3.7650063393767523E-2</v>
      </c>
      <c r="AK99" s="304"/>
      <c r="AL99" s="304">
        <v>5.0085049301321988E-2</v>
      </c>
      <c r="AM99" s="304">
        <v>4.8556883161674107E-2</v>
      </c>
      <c r="AN99" s="304">
        <v>4.9230023131125261E-2</v>
      </c>
    </row>
    <row r="100" spans="1:40" x14ac:dyDescent="0.25">
      <c r="A100" s="13" t="str">
        <f t="shared" si="80"/>
        <v>Process, plant and machine operatives</v>
      </c>
      <c r="B100" s="305">
        <f t="shared" si="82"/>
        <v>1.3601056265819116</v>
      </c>
      <c r="C100" s="305">
        <f t="shared" si="83"/>
        <v>1.5375847508462683</v>
      </c>
      <c r="D100" s="305">
        <f t="shared" si="84"/>
        <v>1.4847997307142413</v>
      </c>
      <c r="E100" s="304"/>
      <c r="F100" s="304">
        <v>8.7557351564711075E-3</v>
      </c>
      <c r="G100" s="304">
        <v>1.4279169241572331E-2</v>
      </c>
      <c r="H100" s="304">
        <v>2.1277695824102605E-2</v>
      </c>
      <c r="I100" s="304"/>
      <c r="J100" s="304">
        <v>2.8731328264413065E-2</v>
      </c>
      <c r="K100" s="304">
        <v>4.7733442563561684E-2</v>
      </c>
      <c r="L100" s="304">
        <v>7.9267540023431851E-2</v>
      </c>
      <c r="M100" s="304"/>
      <c r="N100" s="304">
        <v>9.163958455542906E-2</v>
      </c>
      <c r="O100" s="304">
        <v>0.13029399993092408</v>
      </c>
      <c r="P100" s="304">
        <v>0.17760254630019318</v>
      </c>
      <c r="Q100" s="304"/>
      <c r="R100" s="304">
        <v>4.0770666766936484E-2</v>
      </c>
      <c r="S100" s="304">
        <v>5.8652261869802463E-2</v>
      </c>
      <c r="T100" s="304">
        <v>7.2960694053703853E-2</v>
      </c>
      <c r="U100" s="304"/>
      <c r="V100" s="304">
        <v>0.11264917413457814</v>
      </c>
      <c r="W100" s="304">
        <v>0.14288843919920863</v>
      </c>
      <c r="X100" s="304">
        <v>0.17912909658362178</v>
      </c>
      <c r="Y100" s="304"/>
      <c r="Z100" s="304">
        <v>0.38016379858816302</v>
      </c>
      <c r="AA100" s="304">
        <v>0.45792170164358026</v>
      </c>
      <c r="AB100" s="304">
        <v>0.48773258919979956</v>
      </c>
      <c r="AC100" s="304"/>
      <c r="AD100" s="304">
        <v>0.27895241529278375</v>
      </c>
      <c r="AE100" s="304">
        <v>0.31827102216080488</v>
      </c>
      <c r="AF100" s="304">
        <v>0.22876210261087984</v>
      </c>
      <c r="AG100" s="304"/>
      <c r="AH100" s="304">
        <v>0.29417340161313466</v>
      </c>
      <c r="AI100" s="304">
        <v>0.2823139648361207</v>
      </c>
      <c r="AJ100" s="304">
        <v>0.16992443849686259</v>
      </c>
      <c r="AK100" s="304"/>
      <c r="AL100" s="304">
        <v>0.12426952221000233</v>
      </c>
      <c r="AM100" s="304">
        <v>8.5230749400693376E-2</v>
      </c>
      <c r="AN100" s="304">
        <v>6.8143027621646049E-2</v>
      </c>
    </row>
    <row r="101" spans="1:40" x14ac:dyDescent="0.25">
      <c r="A101" s="39" t="str">
        <f t="shared" si="80"/>
        <v>Elementary occupations</v>
      </c>
      <c r="B101" s="307">
        <f t="shared" si="82"/>
        <v>3.63716488362713</v>
      </c>
      <c r="C101" s="307">
        <f t="shared" si="83"/>
        <v>2.6006178142544236</v>
      </c>
      <c r="D101" s="307">
        <f t="shared" si="84"/>
        <v>1.5156089725867865</v>
      </c>
      <c r="E101" s="307"/>
      <c r="F101" s="307">
        <v>1.5611880823981547E-3</v>
      </c>
      <c r="G101" s="307">
        <v>2.2013055621757627E-3</v>
      </c>
      <c r="H101" s="307">
        <v>2.2985551758644748E-3</v>
      </c>
      <c r="I101" s="307"/>
      <c r="J101" s="307">
        <v>4.7405089018407849E-2</v>
      </c>
      <c r="K101" s="307">
        <v>4.0531643431978424E-2</v>
      </c>
      <c r="L101" s="307">
        <v>2.5556728200671931E-2</v>
      </c>
      <c r="M101" s="307"/>
      <c r="N101" s="307">
        <v>0.16412126327349918</v>
      </c>
      <c r="O101" s="307">
        <v>0.17673939375530098</v>
      </c>
      <c r="P101" s="307">
        <v>0.21988860962097806</v>
      </c>
      <c r="Q101" s="307"/>
      <c r="R101" s="307">
        <v>0.1398962714773378</v>
      </c>
      <c r="S101" s="307">
        <v>0.12533935283688433</v>
      </c>
      <c r="T101" s="307">
        <v>0.12612821931426693</v>
      </c>
      <c r="U101" s="307"/>
      <c r="V101" s="307">
        <v>0.10208933375385279</v>
      </c>
      <c r="W101" s="307">
        <v>0.10431914384332532</v>
      </c>
      <c r="X101" s="307">
        <v>0.12256995609128372</v>
      </c>
      <c r="Y101" s="307"/>
      <c r="Z101" s="307">
        <v>0.67140125567718822</v>
      </c>
      <c r="AA101" s="307">
        <v>0.55300280545495573</v>
      </c>
      <c r="AB101" s="307">
        <v>0.30937854485818173</v>
      </c>
      <c r="AC101" s="307"/>
      <c r="AD101" s="307">
        <v>1.2155496773723675</v>
      </c>
      <c r="AE101" s="307">
        <v>0.96314595976332362</v>
      </c>
      <c r="AF101" s="307">
        <v>0.46076102901528326</v>
      </c>
      <c r="AG101" s="307"/>
      <c r="AH101" s="307">
        <v>0.83291295601711557</v>
      </c>
      <c r="AI101" s="307">
        <v>0.42596490772069429</v>
      </c>
      <c r="AJ101" s="307">
        <v>9.0662846371759628E-2</v>
      </c>
      <c r="AK101" s="307"/>
      <c r="AL101" s="307">
        <v>0.46222784895496249</v>
      </c>
      <c r="AM101" s="307">
        <v>0.20937330188578515</v>
      </c>
      <c r="AN101" s="307">
        <v>0.15836448393849673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topLeftCell="A98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Black Country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Black Country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Black Country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Black Country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Black Country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Black Country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Black Country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Black Country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Black Country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3">
      <c r="A2" s="365" t="s">
        <v>525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ht="13" x14ac:dyDescent="0.3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5">
      <c r="A8" s="10" t="str">
        <f>name!D4</f>
        <v>11 Corporate managers and directors</v>
      </c>
      <c r="B8" s="69">
        <v>0.32952629992394966</v>
      </c>
      <c r="C8" s="69">
        <v>0.43510609943742629</v>
      </c>
      <c r="D8" s="69">
        <v>0.40211463992171392</v>
      </c>
      <c r="E8" s="69">
        <v>0.4810596353283873</v>
      </c>
      <c r="F8" s="69">
        <v>0.74257702087434996</v>
      </c>
      <c r="G8" s="10"/>
      <c r="H8" s="69">
        <f>F8-D8</f>
        <v>0.34046238095263603</v>
      </c>
      <c r="I8" s="69">
        <f>'RD T1'!E36</f>
        <v>0.28282175720124053</v>
      </c>
      <c r="J8" s="69">
        <f>SUM(H8:I8)</f>
        <v>0.62328413815387651</v>
      </c>
      <c r="L8" t="str">
        <f>A8</f>
        <v>11 Corporate managers and directors</v>
      </c>
      <c r="M8" s="69">
        <v>2.6603163445567111</v>
      </c>
      <c r="N8" s="69">
        <v>3.9405446932787109</v>
      </c>
      <c r="O8" s="69">
        <v>3.7941479027392155</v>
      </c>
      <c r="P8" s="69">
        <v>4.4250965604693295</v>
      </c>
      <c r="Q8" s="69">
        <v>6.7076572645207788</v>
      </c>
      <c r="R8" s="10"/>
      <c r="S8" s="69">
        <f>Q8-O8</f>
        <v>2.9135093617815633</v>
      </c>
      <c r="T8" s="69">
        <f>'RD T1'!E65</f>
        <v>2.606447578411542</v>
      </c>
      <c r="U8" s="69">
        <f>SUM(S8:T8)</f>
        <v>5.5199569401931052</v>
      </c>
      <c r="W8" t="str">
        <f>A8</f>
        <v>11 Corporate managers and directors</v>
      </c>
      <c r="X8" s="69">
        <v>8.0053953834364915</v>
      </c>
      <c r="Y8" s="69">
        <v>8.4444456869783586</v>
      </c>
      <c r="Z8" s="69">
        <v>9.0617102317223139</v>
      </c>
      <c r="AA8" s="69">
        <v>8.8012574003750519</v>
      </c>
      <c r="AB8" s="69">
        <v>10.15758263099333</v>
      </c>
      <c r="AC8" s="69"/>
      <c r="AD8" s="69">
        <f>AB8-Z8</f>
        <v>1.0958723992710162</v>
      </c>
      <c r="AE8" s="69">
        <f>'RD T1'!E94</f>
        <v>5.3924244831118182</v>
      </c>
      <c r="AF8" s="69">
        <f>SUM(AD8:AE8)</f>
        <v>6.4882968823828344</v>
      </c>
      <c r="AH8" t="str">
        <f>L8</f>
        <v>11 Corporate managers and directors</v>
      </c>
      <c r="AI8" s="69">
        <v>1.6119410646429835</v>
      </c>
      <c r="AJ8" s="69">
        <v>1.7216431146204518</v>
      </c>
      <c r="AK8" s="69">
        <v>1.9011556830275471</v>
      </c>
      <c r="AL8" s="69">
        <v>1.746614056653548</v>
      </c>
      <c r="AM8" s="69">
        <v>1.9074874702068472</v>
      </c>
      <c r="AN8" s="69"/>
      <c r="AO8" s="69">
        <f>AM8-AK8</f>
        <v>6.3317871793000524E-3</v>
      </c>
      <c r="AP8" s="69">
        <f>'RD T1'!E123</f>
        <v>0.97414294973606064</v>
      </c>
      <c r="AQ8" s="69">
        <f>SUM(AO8:AP8)</f>
        <v>0.98047473691536069</v>
      </c>
      <c r="AS8" t="str">
        <f>W8</f>
        <v>11 Corporate managers and directors</v>
      </c>
      <c r="AT8" s="69">
        <v>2.5052896304501857</v>
      </c>
      <c r="AU8" s="69">
        <v>2.4979953086488145</v>
      </c>
      <c r="AV8" s="69">
        <v>2.6516372773475458</v>
      </c>
      <c r="AW8" s="69">
        <v>2.3746421185031021</v>
      </c>
      <c r="AX8" s="69">
        <v>2.5445200187385559</v>
      </c>
      <c r="AY8" s="69"/>
      <c r="AZ8" s="69">
        <f>AX8-AV8</f>
        <v>-0.10711725860898991</v>
      </c>
      <c r="BA8" s="69">
        <f>'RD T1'!E152</f>
        <v>1.3132823170291312</v>
      </c>
      <c r="BB8" s="69">
        <f>SUM(AZ8:BA8)</f>
        <v>1.2061650584201413</v>
      </c>
      <c r="BD8" t="str">
        <f>AH8</f>
        <v>11 Corporate managers and directors</v>
      </c>
      <c r="BE8" s="69">
        <v>5.3003854030503748</v>
      </c>
      <c r="BF8" s="69">
        <v>6.4420865934037481</v>
      </c>
      <c r="BG8" s="69">
        <v>6.5904534497367191</v>
      </c>
      <c r="BH8" s="69">
        <v>6.0155756687860045</v>
      </c>
      <c r="BI8" s="69">
        <v>6.5121191168320323</v>
      </c>
      <c r="BJ8" s="69"/>
      <c r="BK8" s="69">
        <f>BI8-BG8</f>
        <v>-7.8334332904686832E-2</v>
      </c>
      <c r="BL8" s="69">
        <f>'RD T1'!E181</f>
        <v>2.7719367363590091</v>
      </c>
      <c r="BM8" s="69">
        <f>SUM(BK8:BL8)</f>
        <v>2.6936024034543222</v>
      </c>
      <c r="BO8" t="str">
        <f>AS8</f>
        <v>11 Corporate managers and directors</v>
      </c>
      <c r="BP8" s="69">
        <v>4.8570519320931016</v>
      </c>
      <c r="BQ8" s="69">
        <v>5.4434442200519975</v>
      </c>
      <c r="BR8" s="69">
        <v>5.0708515929233204</v>
      </c>
      <c r="BS8" s="69">
        <v>4.5818798281536939</v>
      </c>
      <c r="BT8" s="69">
        <v>4.0010076369637568</v>
      </c>
      <c r="BU8" s="69"/>
      <c r="BV8" s="69">
        <f>BT8-BR8</f>
        <v>-1.0698439559595636</v>
      </c>
      <c r="BW8" s="69">
        <f>'RD T1'!E210</f>
        <v>2.1566676184579943</v>
      </c>
      <c r="BX8" s="69">
        <f>SUM(BV8:BW8)</f>
        <v>1.0868236624984307</v>
      </c>
      <c r="BZ8" t="str">
        <f>BD8</f>
        <v>11 Corporate managers and directors</v>
      </c>
      <c r="CA8" s="69">
        <v>3.5652597531715249</v>
      </c>
      <c r="CB8" s="69">
        <v>3.678665356197945</v>
      </c>
      <c r="CC8" s="69">
        <v>3.8149208320877004</v>
      </c>
      <c r="CD8" s="69">
        <v>3.0925447209602472</v>
      </c>
      <c r="CE8" s="69">
        <v>2.2642948379315904</v>
      </c>
      <c r="CF8" s="69"/>
      <c r="CG8" s="69">
        <f>CE8-CC8</f>
        <v>-1.55062599415611</v>
      </c>
      <c r="CH8" s="69">
        <f>'RD T1'!E239</f>
        <v>1.3028035697507563</v>
      </c>
      <c r="CI8" s="69">
        <f>SUM(CG8:CH8)</f>
        <v>-0.24782242440535374</v>
      </c>
      <c r="CK8" t="str">
        <f>BO8</f>
        <v>11 Corporate managers and directors</v>
      </c>
      <c r="CL8" s="69">
        <v>1.0456199895560971</v>
      </c>
      <c r="CM8" s="69">
        <v>1.0668500770303144</v>
      </c>
      <c r="CN8" s="69">
        <v>1.1712916050525883</v>
      </c>
      <c r="CO8" s="69">
        <v>0.70748844175926118</v>
      </c>
      <c r="CP8" s="69">
        <v>0.57090519925070382</v>
      </c>
      <c r="CQ8" s="69"/>
      <c r="CR8" s="69">
        <f>CP8-CN8</f>
        <v>-0.60038640580188452</v>
      </c>
      <c r="CS8" s="69">
        <f>'RD T1'!E268</f>
        <v>0.24764563632211165</v>
      </c>
      <c r="CT8" s="69">
        <f>SUM(CR8:CS8)</f>
        <v>-0.35274076947977284</v>
      </c>
    </row>
    <row r="9" spans="1:98" x14ac:dyDescent="0.25">
      <c r="A9" s="10" t="str">
        <f>name!D5</f>
        <v>12 Other managers and proprietors</v>
      </c>
      <c r="B9" s="69">
        <v>0.11090071235374159</v>
      </c>
      <c r="C9" s="69">
        <v>0.14643252306643242</v>
      </c>
      <c r="D9" s="69">
        <v>0.13049482101401563</v>
      </c>
      <c r="E9" s="69">
        <v>0.20970612066007988</v>
      </c>
      <c r="F9" s="69">
        <v>0.36111182591821783</v>
      </c>
      <c r="H9" s="69">
        <f t="shared" ref="H9:H32" si="26">F9-D9</f>
        <v>0.2306170049042022</v>
      </c>
      <c r="I9" s="69">
        <f>'RD T1'!E37</f>
        <v>0.1506976559425762</v>
      </c>
      <c r="J9" s="69">
        <f t="shared" ref="J9:J32" si="27">SUM(H9:I9)</f>
        <v>0.3813146608467784</v>
      </c>
      <c r="L9" t="str">
        <f t="shared" ref="L9:L32" si="28">A9</f>
        <v>12 Other managers and proprietors</v>
      </c>
      <c r="M9" s="69">
        <v>0.9502376423865152</v>
      </c>
      <c r="N9" s="69">
        <v>1.2821517033710386</v>
      </c>
      <c r="O9" s="69">
        <v>1.3034627633437299</v>
      </c>
      <c r="P9" s="69">
        <v>2.0544114815873034</v>
      </c>
      <c r="Q9" s="69">
        <v>3.5472372968167343</v>
      </c>
      <c r="S9" s="69">
        <f t="shared" ref="S9:S35" si="29">Q9-O9</f>
        <v>2.2437745334730046</v>
      </c>
      <c r="T9" s="69">
        <f>'RD T1'!E66</f>
        <v>1.4365641825105828</v>
      </c>
      <c r="U9" s="69">
        <f t="shared" ref="U9:U32" si="30">SUM(S9:T9)</f>
        <v>3.6803387159835874</v>
      </c>
      <c r="W9" t="str">
        <f t="shared" ref="W9:W32" si="31">A9</f>
        <v>12 Other managers and proprietors</v>
      </c>
      <c r="X9" s="69">
        <v>2.5632033798567857</v>
      </c>
      <c r="Y9" s="69">
        <v>2.4818139210139702</v>
      </c>
      <c r="Z9" s="69">
        <v>2.8406548428583043</v>
      </c>
      <c r="AA9" s="69">
        <v>3.6758951729592821</v>
      </c>
      <c r="AB9" s="69">
        <v>4.6313284460184869</v>
      </c>
      <c r="AC9" s="69"/>
      <c r="AD9" s="69">
        <f t="shared" ref="AD9:AD32" si="32">AB9-Z9</f>
        <v>1.7906736031601826</v>
      </c>
      <c r="AE9" s="69">
        <f>'RD T1'!E95</f>
        <v>2.6219471425105327</v>
      </c>
      <c r="AF9" s="69">
        <f t="shared" ref="AF9:AF32" si="33">SUM(AD9:AE9)</f>
        <v>4.4126207456707149</v>
      </c>
      <c r="AH9" t="str">
        <f t="shared" ref="AH9:AH32" si="34">L9</f>
        <v>12 Other managers and proprietors</v>
      </c>
      <c r="AI9" s="69">
        <v>0.74066317121287761</v>
      </c>
      <c r="AJ9" s="69">
        <v>0.7192802744769593</v>
      </c>
      <c r="AK9" s="69">
        <v>0.8485764129150063</v>
      </c>
      <c r="AL9" s="69">
        <v>1.0241014272869102</v>
      </c>
      <c r="AM9" s="69">
        <v>1.2637308976684858</v>
      </c>
      <c r="AN9" s="69"/>
      <c r="AO9" s="69">
        <f t="shared" ref="AO9:AO32" si="35">AM9-AK9</f>
        <v>0.41515448475347949</v>
      </c>
      <c r="AP9" s="69">
        <f>'RD T1'!E124</f>
        <v>0.71415892011888127</v>
      </c>
      <c r="AQ9" s="69">
        <f t="shared" ref="AQ9:AQ32" si="36">SUM(AO9:AP9)</f>
        <v>1.1293134048723608</v>
      </c>
      <c r="AS9" t="str">
        <f t="shared" ref="AS9:AS32" si="37">W9</f>
        <v>12 Other managers and proprietors</v>
      </c>
      <c r="AT9" s="69">
        <v>0.8763351745712189</v>
      </c>
      <c r="AU9" s="69">
        <v>0.82888317783508636</v>
      </c>
      <c r="AV9" s="69">
        <v>0.93932857918245216</v>
      </c>
      <c r="AW9" s="69">
        <v>1.1733168796901832</v>
      </c>
      <c r="AX9" s="69">
        <v>1.4025176963714088</v>
      </c>
      <c r="AY9" s="69"/>
      <c r="AZ9" s="69">
        <f t="shared" ref="AZ9:AZ32" si="38">AX9-AV9</f>
        <v>0.46318911718895661</v>
      </c>
      <c r="BA9" s="69">
        <f>'RD T1'!E153</f>
        <v>0.75050990860633071</v>
      </c>
      <c r="BB9" s="69">
        <f t="shared" ref="BB9:BB32" si="39">SUM(AZ9:BA9)</f>
        <v>1.2136990257952873</v>
      </c>
      <c r="BD9" t="str">
        <f t="shared" ref="BD9:BD32" si="40">AH9</f>
        <v>12 Other managers and proprietors</v>
      </c>
      <c r="BE9" s="69">
        <v>2.2466478544764228</v>
      </c>
      <c r="BF9" s="69">
        <v>2.3208351129364355</v>
      </c>
      <c r="BG9" s="69">
        <v>2.2843568184125962</v>
      </c>
      <c r="BH9" s="69">
        <v>2.7517294050543075</v>
      </c>
      <c r="BI9" s="69">
        <v>2.9931448914244059</v>
      </c>
      <c r="BJ9" s="69"/>
      <c r="BK9" s="69">
        <f t="shared" ref="BK9:BK32" si="41">BI9-BG9</f>
        <v>0.70878807301180968</v>
      </c>
      <c r="BL9" s="69">
        <f>'RD T1'!E182</f>
        <v>1.3040905879418367</v>
      </c>
      <c r="BM9" s="69">
        <f t="shared" ref="BM9:BM32" si="42">SUM(BK9:BL9)</f>
        <v>2.0128786609536462</v>
      </c>
      <c r="BO9" t="str">
        <f t="shared" ref="BO9:BO32" si="43">AS9</f>
        <v>12 Other managers and proprietors</v>
      </c>
      <c r="BP9" s="69">
        <v>2.5094494597288488</v>
      </c>
      <c r="BQ9" s="69">
        <v>2.5768022714671037</v>
      </c>
      <c r="BR9" s="69">
        <v>2.5186952239648499</v>
      </c>
      <c r="BS9" s="69">
        <v>3.176360605380816</v>
      </c>
      <c r="BT9" s="69">
        <v>3.0735866225709478</v>
      </c>
      <c r="BU9" s="69"/>
      <c r="BV9" s="69">
        <f t="shared" ref="BV9:BV32" si="44">BT9-BR9</f>
        <v>0.55489139860609793</v>
      </c>
      <c r="BW9" s="69">
        <f>'RD T1'!E211</f>
        <v>1.8032913793125935</v>
      </c>
      <c r="BX9" s="69">
        <f t="shared" ref="BX9:BX32" si="45">SUM(BV9:BW9)</f>
        <v>2.3581827779186915</v>
      </c>
      <c r="BZ9" t="str">
        <f t="shared" ref="BZ9:BZ32" si="46">BD9</f>
        <v>12 Other managers and proprietors</v>
      </c>
      <c r="CA9" s="69">
        <v>1.6908695032650658</v>
      </c>
      <c r="CB9" s="69">
        <v>1.5881545083148925</v>
      </c>
      <c r="CC9" s="69">
        <v>1.5925012680852835</v>
      </c>
      <c r="CD9" s="69">
        <v>1.6458309094975219</v>
      </c>
      <c r="CE9" s="69">
        <v>1.1881508527163331</v>
      </c>
      <c r="CF9" s="69"/>
      <c r="CG9" s="69">
        <f t="shared" ref="CG9:CG32" si="47">CE9-CC9</f>
        <v>-0.40435041536895033</v>
      </c>
      <c r="CH9" s="69">
        <f>'RD T1'!E240</f>
        <v>0.73462016679615283</v>
      </c>
      <c r="CI9" s="69">
        <f t="shared" ref="CI9:CI32" si="48">SUM(CG9:CH9)</f>
        <v>0.3302697514272025</v>
      </c>
      <c r="CK9" t="str">
        <f t="shared" ref="CK9:CK32" si="49">BO9</f>
        <v>12 Other managers and proprietors</v>
      </c>
      <c r="CL9" s="69">
        <v>0.8236279172674652</v>
      </c>
      <c r="CM9" s="69">
        <v>0.73001336744757239</v>
      </c>
      <c r="CN9" s="69">
        <v>0.74587932734944973</v>
      </c>
      <c r="CO9" s="69">
        <v>0.68733693430964649</v>
      </c>
      <c r="CP9" s="69">
        <v>0.47093057358879803</v>
      </c>
      <c r="CQ9" s="69"/>
      <c r="CR9" s="69">
        <f t="shared" ref="CR9:CR32" si="50">CP9-CN9</f>
        <v>-0.2749487537606517</v>
      </c>
      <c r="CS9" s="69">
        <f>'RD T1'!E269</f>
        <v>0.23769329647313497</v>
      </c>
      <c r="CT9" s="69">
        <f t="shared" ref="CT9:CT32" si="51">SUM(CR9:CS9)</f>
        <v>-3.7255457287516724E-2</v>
      </c>
    </row>
    <row r="10" spans="1:98" x14ac:dyDescent="0.25">
      <c r="A10" s="10" t="str">
        <f>name!D6</f>
        <v>21 Science, research, engineering and technology professionals</v>
      </c>
      <c r="B10" s="69">
        <v>1.0399451750158992</v>
      </c>
      <c r="C10" s="69">
        <v>1.3628446896094959</v>
      </c>
      <c r="D10" s="69">
        <v>1.2288221919230395</v>
      </c>
      <c r="E10" s="69">
        <v>1.5713461081433371</v>
      </c>
      <c r="F10" s="69">
        <v>2.2284767290650818</v>
      </c>
      <c r="G10" s="11"/>
      <c r="H10" s="69">
        <f t="shared" si="26"/>
        <v>0.99965453714204222</v>
      </c>
      <c r="I10" s="69">
        <f>'RD T1'!E38</f>
        <v>0.63024563616590012</v>
      </c>
      <c r="J10" s="69">
        <f t="shared" si="27"/>
        <v>1.6299001733079423</v>
      </c>
      <c r="L10" t="str">
        <f t="shared" si="28"/>
        <v>21 Science, research, engineering and technology professionals</v>
      </c>
      <c r="M10" s="69">
        <v>3.5047539909738092</v>
      </c>
      <c r="N10" s="69">
        <v>4.7238752386180201</v>
      </c>
      <c r="O10" s="69">
        <v>4.4679255757124636</v>
      </c>
      <c r="P10" s="69">
        <v>5.7694575396047254</v>
      </c>
      <c r="Q10" s="69">
        <v>8.2326054520455418</v>
      </c>
      <c r="R10" s="11"/>
      <c r="S10" s="69">
        <f t="shared" si="29"/>
        <v>3.7646798763330782</v>
      </c>
      <c r="T10" s="69">
        <f>'RD T1'!E67</f>
        <v>2.4493177916260742</v>
      </c>
      <c r="U10" s="69">
        <f t="shared" si="30"/>
        <v>6.213997667959152</v>
      </c>
      <c r="W10" t="str">
        <f t="shared" si="31"/>
        <v>21 Science, research, engineering and technology professionals</v>
      </c>
      <c r="X10" s="69">
        <v>7.9581804236608722</v>
      </c>
      <c r="Y10" s="69">
        <v>7.5621441795730702</v>
      </c>
      <c r="Z10" s="69">
        <v>8.2832208886154746</v>
      </c>
      <c r="AA10" s="69">
        <v>8.3719309625150053</v>
      </c>
      <c r="AB10" s="69">
        <v>8.7098446222072248</v>
      </c>
      <c r="AC10" s="69"/>
      <c r="AD10" s="69">
        <f t="shared" si="32"/>
        <v>0.42662373359175021</v>
      </c>
      <c r="AE10" s="69">
        <f>'RD T1'!E96</f>
        <v>3.3529268920623791</v>
      </c>
      <c r="AF10" s="69">
        <f t="shared" si="33"/>
        <v>3.7795506256541294</v>
      </c>
      <c r="AH10" t="str">
        <f t="shared" si="34"/>
        <v>21 Science, research, engineering and technology professionals</v>
      </c>
      <c r="AI10" s="69">
        <v>0.88439478892663637</v>
      </c>
      <c r="AJ10" s="69">
        <v>0.80511886590288084</v>
      </c>
      <c r="AK10" s="69">
        <v>0.91840753442355216</v>
      </c>
      <c r="AL10" s="69">
        <v>0.90218218243859194</v>
      </c>
      <c r="AM10" s="69">
        <v>0.95290013799956785</v>
      </c>
      <c r="AN10" s="69"/>
      <c r="AO10" s="69">
        <f t="shared" si="35"/>
        <v>3.449260357601569E-2</v>
      </c>
      <c r="AP10" s="69">
        <f>'RD T1'!E125</f>
        <v>0.35498965780111225</v>
      </c>
      <c r="AQ10" s="69">
        <f t="shared" si="36"/>
        <v>0.38948226137712794</v>
      </c>
      <c r="AS10" t="str">
        <f t="shared" si="37"/>
        <v>21 Science, research, engineering and technology professionals</v>
      </c>
      <c r="AT10" s="69">
        <v>2.5386019429364799</v>
      </c>
      <c r="AU10" s="69">
        <v>2.3790033575668237</v>
      </c>
      <c r="AV10" s="69">
        <v>2.5907536934591509</v>
      </c>
      <c r="AW10" s="69">
        <v>2.3971705763146582</v>
      </c>
      <c r="AX10" s="69">
        <v>2.3157116278181031</v>
      </c>
      <c r="AY10" s="69"/>
      <c r="AZ10" s="69">
        <f t="shared" si="38"/>
        <v>-0.27504206564104772</v>
      </c>
      <c r="BA10" s="69">
        <f>'RD T1'!E154</f>
        <v>0.83904156181526246</v>
      </c>
      <c r="BB10" s="69">
        <f t="shared" si="39"/>
        <v>0.56399949617421474</v>
      </c>
      <c r="BD10" t="str">
        <f t="shared" si="40"/>
        <v>21 Science, research, engineering and technology professionals</v>
      </c>
      <c r="BE10" s="69">
        <v>3.3115592108585115</v>
      </c>
      <c r="BF10" s="69">
        <v>3.8605079980293615</v>
      </c>
      <c r="BG10" s="69">
        <v>4.1244978391238991</v>
      </c>
      <c r="BH10" s="69">
        <v>3.990043528287301</v>
      </c>
      <c r="BI10" s="69">
        <v>4.0556175337647149</v>
      </c>
      <c r="BJ10" s="69"/>
      <c r="BK10" s="69">
        <f t="shared" si="41"/>
        <v>-6.8880305359184213E-2</v>
      </c>
      <c r="BL10" s="69">
        <f>'RD T1'!E183</f>
        <v>1.2115480991549159</v>
      </c>
      <c r="BM10" s="69">
        <f t="shared" si="42"/>
        <v>1.1426677937957317</v>
      </c>
      <c r="BO10" t="str">
        <f t="shared" si="43"/>
        <v>21 Science, research, engineering and technology professionals</v>
      </c>
      <c r="BP10" s="69">
        <v>2.492355942335398</v>
      </c>
      <c r="BQ10" s="69">
        <v>2.7989036590314633</v>
      </c>
      <c r="BR10" s="69">
        <v>2.8178686666048871</v>
      </c>
      <c r="BS10" s="69">
        <v>2.7862480090747166</v>
      </c>
      <c r="BT10" s="69">
        <v>2.4220071185685641</v>
      </c>
      <c r="BU10" s="69"/>
      <c r="BV10" s="69">
        <f t="shared" si="44"/>
        <v>-0.39586154803632301</v>
      </c>
      <c r="BW10" s="69">
        <f>'RD T1'!E212</f>
        <v>0.92634366403316037</v>
      </c>
      <c r="BX10" s="69">
        <f t="shared" si="45"/>
        <v>0.53048211599683737</v>
      </c>
      <c r="BZ10" t="str">
        <f t="shared" si="46"/>
        <v>21 Science, research, engineering and technology professionals</v>
      </c>
      <c r="CA10" s="69">
        <v>1.4795117370381798</v>
      </c>
      <c r="CB10" s="69">
        <v>1.5103047799988509</v>
      </c>
      <c r="CC10" s="69">
        <v>1.6519689597028775</v>
      </c>
      <c r="CD10" s="69">
        <v>1.4163022206181894</v>
      </c>
      <c r="CE10" s="69">
        <v>0.9791838126276553</v>
      </c>
      <c r="CF10" s="69"/>
      <c r="CG10" s="69">
        <f t="shared" si="47"/>
        <v>-0.67278514707522219</v>
      </c>
      <c r="CH10" s="69">
        <f>'RD T1'!E241</f>
        <v>0.40460567788324303</v>
      </c>
      <c r="CI10" s="69">
        <f t="shared" si="48"/>
        <v>-0.26817946919197916</v>
      </c>
      <c r="CK10" t="str">
        <f t="shared" si="49"/>
        <v>21 Science, research, engineering and technology professionals</v>
      </c>
      <c r="CL10" s="69">
        <v>0.48326410229176625</v>
      </c>
      <c r="CM10" s="69">
        <v>0.51973970087880506</v>
      </c>
      <c r="CN10" s="69">
        <v>0.60219636547158029</v>
      </c>
      <c r="CO10" s="69">
        <v>0.46924171450132413</v>
      </c>
      <c r="CP10" s="69">
        <v>0.37881685741852178</v>
      </c>
      <c r="CQ10" s="69"/>
      <c r="CR10" s="69">
        <f t="shared" si="50"/>
        <v>-0.22337950805305851</v>
      </c>
      <c r="CS10" s="69">
        <f>'RD T1'!E270</f>
        <v>0.14428575031050936</v>
      </c>
      <c r="CT10" s="69">
        <f t="shared" si="51"/>
        <v>-7.9093757742549148E-2</v>
      </c>
    </row>
    <row r="11" spans="1:98" x14ac:dyDescent="0.25">
      <c r="A11" s="10" t="str">
        <f>name!D7</f>
        <v>22 Health professionals</v>
      </c>
      <c r="B11" s="69">
        <v>1.0184021408769768</v>
      </c>
      <c r="C11" s="69">
        <v>1.7658274516087233</v>
      </c>
      <c r="D11" s="69">
        <v>1.716898386190332</v>
      </c>
      <c r="E11" s="69">
        <v>2.3297764090353503</v>
      </c>
      <c r="F11" s="69">
        <v>3.5159152087892749</v>
      </c>
      <c r="G11" s="11"/>
      <c r="H11" s="69">
        <f t="shared" si="26"/>
        <v>1.7990168225989429</v>
      </c>
      <c r="I11" s="69">
        <f>'RD T1'!E39</f>
        <v>1.2602981757378102</v>
      </c>
      <c r="J11" s="69">
        <f t="shared" si="27"/>
        <v>3.0593149983367534</v>
      </c>
      <c r="L11" t="str">
        <f t="shared" si="28"/>
        <v>22 Health professionals</v>
      </c>
      <c r="M11" s="69">
        <v>3.0769924448177606</v>
      </c>
      <c r="N11" s="69">
        <v>5.2907635274904701</v>
      </c>
      <c r="O11" s="69">
        <v>5.2257769020888833</v>
      </c>
      <c r="P11" s="69">
        <v>6.8586561393165768</v>
      </c>
      <c r="Q11" s="69">
        <v>10.109856701539204</v>
      </c>
      <c r="R11" s="11"/>
      <c r="S11" s="69">
        <f t="shared" si="29"/>
        <v>4.8840797994503209</v>
      </c>
      <c r="T11" s="69">
        <f>'RD T1'!E68</f>
        <v>3.873166770743854</v>
      </c>
      <c r="U11" s="69">
        <f t="shared" si="30"/>
        <v>8.7572465701941749</v>
      </c>
      <c r="W11" t="str">
        <f t="shared" si="31"/>
        <v>22 Health professionals</v>
      </c>
      <c r="X11" s="69">
        <v>7.7174327006498871</v>
      </c>
      <c r="Y11" s="69">
        <v>9.279941670560552</v>
      </c>
      <c r="Z11" s="69">
        <v>9.8304533361184561</v>
      </c>
      <c r="AA11" s="69">
        <v>10.906574051638891</v>
      </c>
      <c r="AB11" s="69">
        <v>11.590268736029472</v>
      </c>
      <c r="AC11" s="69"/>
      <c r="AD11" s="69">
        <f t="shared" si="32"/>
        <v>1.759815399911016</v>
      </c>
      <c r="AE11" s="69">
        <f>'RD T1'!E97</f>
        <v>6.4623446901330999</v>
      </c>
      <c r="AF11" s="69">
        <f t="shared" si="33"/>
        <v>8.2221600900441167</v>
      </c>
      <c r="AH11" t="str">
        <f t="shared" si="34"/>
        <v>22 Health professionals</v>
      </c>
      <c r="AI11" s="69">
        <v>4.0768489710853792</v>
      </c>
      <c r="AJ11" s="69">
        <v>3.4559533034185428</v>
      </c>
      <c r="AK11" s="69">
        <v>3.3751206489515146</v>
      </c>
      <c r="AL11" s="69">
        <v>2.0540323382623318</v>
      </c>
      <c r="AM11" s="69">
        <v>0.7438060812436097</v>
      </c>
      <c r="AN11" s="69"/>
      <c r="AO11" s="69">
        <f t="shared" si="35"/>
        <v>-2.6313145677079048</v>
      </c>
      <c r="AP11" s="69">
        <f>'RD T1'!E126</f>
        <v>0.68900503956306869</v>
      </c>
      <c r="AQ11" s="69">
        <f t="shared" si="36"/>
        <v>-1.9423095281448362</v>
      </c>
      <c r="AS11" t="str">
        <f t="shared" si="37"/>
        <v>22 Health professionals</v>
      </c>
      <c r="AT11" s="69">
        <v>0.50120250855413317</v>
      </c>
      <c r="AU11" s="69">
        <v>0.55932406312205063</v>
      </c>
      <c r="AV11" s="69">
        <v>0.63448614872768261</v>
      </c>
      <c r="AW11" s="69">
        <v>0.66563330602615722</v>
      </c>
      <c r="AX11" s="69">
        <v>0.71418122473502288</v>
      </c>
      <c r="AY11" s="69"/>
      <c r="AZ11" s="69">
        <f t="shared" si="38"/>
        <v>7.9695076007340271E-2</v>
      </c>
      <c r="BA11" s="69">
        <f>'RD T1'!E155</f>
        <v>0.34701060487674151</v>
      </c>
      <c r="BB11" s="69">
        <f t="shared" si="39"/>
        <v>0.42670568088408178</v>
      </c>
      <c r="BD11" t="str">
        <f t="shared" si="40"/>
        <v>22 Health professionals</v>
      </c>
      <c r="BE11" s="69">
        <v>2.1716832216071822</v>
      </c>
      <c r="BF11" s="69">
        <v>3.0624273811279443</v>
      </c>
      <c r="BG11" s="69">
        <v>2.791747767193117</v>
      </c>
      <c r="BH11" s="69">
        <v>3.1216848759847755</v>
      </c>
      <c r="BI11" s="69">
        <v>2.9557989792061425</v>
      </c>
      <c r="BJ11" s="69"/>
      <c r="BK11" s="69">
        <f t="shared" si="41"/>
        <v>0.16405121201302553</v>
      </c>
      <c r="BL11" s="69">
        <f>'RD T1'!E184</f>
        <v>1.7203471575192832</v>
      </c>
      <c r="BM11" s="69">
        <f t="shared" si="42"/>
        <v>1.8843983695323088</v>
      </c>
      <c r="BO11" t="str">
        <f t="shared" si="43"/>
        <v>22 Health professionals</v>
      </c>
      <c r="BP11" s="69">
        <v>1.8980051363573933</v>
      </c>
      <c r="BQ11" s="69">
        <v>2.4208164080558645</v>
      </c>
      <c r="BR11" s="69">
        <v>2.0069135379067085</v>
      </c>
      <c r="BS11" s="69">
        <v>2.1989114233437412</v>
      </c>
      <c r="BT11" s="69">
        <v>1.7742197364447445</v>
      </c>
      <c r="BU11" s="69"/>
      <c r="BV11" s="69">
        <f t="shared" si="44"/>
        <v>-0.23269380146196394</v>
      </c>
      <c r="BW11" s="69">
        <f>'RD T1'!E213</f>
        <v>1.0824934998231457</v>
      </c>
      <c r="BX11" s="69">
        <f t="shared" si="45"/>
        <v>0.84979969836118174</v>
      </c>
      <c r="BZ11" t="str">
        <f t="shared" si="46"/>
        <v>22 Health professionals</v>
      </c>
      <c r="CA11" s="69">
        <v>1.0023143616318708</v>
      </c>
      <c r="CB11" s="69">
        <v>1.2364397158061078</v>
      </c>
      <c r="CC11" s="69">
        <v>0.93874080174198105</v>
      </c>
      <c r="CD11" s="69">
        <v>0.83307061358240109</v>
      </c>
      <c r="CE11" s="69">
        <v>0.40717000694408517</v>
      </c>
      <c r="CF11" s="69"/>
      <c r="CG11" s="69">
        <f t="shared" si="47"/>
        <v>-0.53157079479789582</v>
      </c>
      <c r="CH11" s="69">
        <f>'RD T1'!E242</f>
        <v>0.3029269560947781</v>
      </c>
      <c r="CI11" s="69">
        <f t="shared" si="48"/>
        <v>-0.22864383870311772</v>
      </c>
      <c r="CK11" t="str">
        <f t="shared" si="49"/>
        <v>22 Health professionals</v>
      </c>
      <c r="CL11" s="69">
        <v>0.21189042031160618</v>
      </c>
      <c r="CM11" s="69">
        <v>0.24430914200521464</v>
      </c>
      <c r="CN11" s="69">
        <v>0.30889333010236442</v>
      </c>
      <c r="CO11" s="69">
        <v>0.28641941132836424</v>
      </c>
      <c r="CP11" s="69">
        <v>0.34081838167318823</v>
      </c>
      <c r="CQ11" s="69"/>
      <c r="CR11" s="69">
        <f t="shared" si="50"/>
        <v>3.1925051570823815E-2</v>
      </c>
      <c r="CS11" s="69">
        <f>'RD T1'!E271</f>
        <v>0.13911640679078691</v>
      </c>
      <c r="CT11" s="69">
        <f t="shared" si="51"/>
        <v>0.17104145836161072</v>
      </c>
    </row>
    <row r="12" spans="1:98" x14ac:dyDescent="0.25">
      <c r="A12" s="10" t="str">
        <f>name!D8</f>
        <v>23 Teaching and other educational professionals</v>
      </c>
      <c r="B12" s="69">
        <v>1.5125209876939794</v>
      </c>
      <c r="C12" s="69">
        <v>1.9013350259674544</v>
      </c>
      <c r="D12" s="69">
        <v>1.9646321612036162</v>
      </c>
      <c r="E12" s="69">
        <v>2.3662494885057197</v>
      </c>
      <c r="F12" s="69">
        <v>3.0174778687865733</v>
      </c>
      <c r="G12" s="11"/>
      <c r="H12" s="69">
        <f t="shared" si="26"/>
        <v>1.0528457075829571</v>
      </c>
      <c r="I12" s="69">
        <f>'RD T1'!E40</f>
        <v>1.2450775210006504</v>
      </c>
      <c r="J12" s="69">
        <f t="shared" si="27"/>
        <v>2.2979232285836075</v>
      </c>
      <c r="L12" t="str">
        <f t="shared" si="28"/>
        <v>23 Teaching and other educational professionals</v>
      </c>
      <c r="M12" s="69">
        <v>8.380327766800308</v>
      </c>
      <c r="N12" s="69">
        <v>10.996825643831658</v>
      </c>
      <c r="O12" s="69">
        <v>11.47388925534997</v>
      </c>
      <c r="P12" s="69">
        <v>13.651475048007782</v>
      </c>
      <c r="Q12" s="69">
        <v>17.340716433448851</v>
      </c>
      <c r="R12" s="11"/>
      <c r="S12" s="69">
        <f t="shared" si="29"/>
        <v>5.8668271780988803</v>
      </c>
      <c r="T12" s="69">
        <f>'RD T1'!E69</f>
        <v>7.4233403136245562</v>
      </c>
      <c r="U12" s="69">
        <f t="shared" si="30"/>
        <v>13.290167491723437</v>
      </c>
      <c r="W12" t="str">
        <f t="shared" si="31"/>
        <v>23 Teaching and other educational professionals</v>
      </c>
      <c r="X12" s="69">
        <v>6.3417129448134997</v>
      </c>
      <c r="Y12" s="69">
        <v>5.049580406483944</v>
      </c>
      <c r="Z12" s="69">
        <v>5.6577297443242376</v>
      </c>
      <c r="AA12" s="69">
        <v>4.7783988904211254</v>
      </c>
      <c r="AB12" s="69">
        <v>3.499859928725352</v>
      </c>
      <c r="AC12" s="69"/>
      <c r="AD12" s="69">
        <f t="shared" si="32"/>
        <v>-2.1578698155988856</v>
      </c>
      <c r="AE12" s="69">
        <f>'RD T1'!E98</f>
        <v>2.4217231484622999</v>
      </c>
      <c r="AF12" s="69">
        <f t="shared" si="33"/>
        <v>0.26385333286341428</v>
      </c>
      <c r="AH12" t="str">
        <f t="shared" si="34"/>
        <v>23 Teaching and other educational professionals</v>
      </c>
      <c r="AI12" s="69">
        <v>0.88752835298294042</v>
      </c>
      <c r="AJ12" s="69">
        <v>0.4328494839292234</v>
      </c>
      <c r="AK12" s="69">
        <v>0.42561969427254731</v>
      </c>
      <c r="AL12" s="69">
        <v>0.26508984654996853</v>
      </c>
      <c r="AM12" s="69">
        <v>0.26224666208830616</v>
      </c>
      <c r="AN12" s="69"/>
      <c r="AO12" s="69">
        <f t="shared" si="35"/>
        <v>-0.16337303218424115</v>
      </c>
      <c r="AP12" s="69">
        <f>'RD T1'!E127</f>
        <v>8.2475946916987938E-2</v>
      </c>
      <c r="AQ12" s="69">
        <f t="shared" si="36"/>
        <v>-8.0897085267253213E-2</v>
      </c>
      <c r="AS12" t="str">
        <f t="shared" si="37"/>
        <v>23 Teaching and other educational professionals</v>
      </c>
      <c r="AT12" s="69">
        <v>0.21357954908766932</v>
      </c>
      <c r="AU12" s="69">
        <v>0.1684953364009</v>
      </c>
      <c r="AV12" s="69">
        <v>0.19311574085151217</v>
      </c>
      <c r="AW12" s="69">
        <v>0.15538631208607653</v>
      </c>
      <c r="AX12" s="69">
        <v>0.12648440630287461</v>
      </c>
      <c r="AY12" s="69"/>
      <c r="AZ12" s="69">
        <f t="shared" si="38"/>
        <v>-6.6631334548637566E-2</v>
      </c>
      <c r="BA12" s="69">
        <f>'RD T1'!E156</f>
        <v>7.3269913662671007E-2</v>
      </c>
      <c r="BB12" s="69">
        <f t="shared" si="39"/>
        <v>6.638579114033441E-3</v>
      </c>
      <c r="BD12" t="str">
        <f t="shared" si="40"/>
        <v>23 Teaching and other educational professionals</v>
      </c>
      <c r="BE12" s="69">
        <v>0.80299403888137044</v>
      </c>
      <c r="BF12" s="69">
        <v>0.82392083007677042</v>
      </c>
      <c r="BG12" s="69">
        <v>0.8929047094704996</v>
      </c>
      <c r="BH12" s="69">
        <v>0.89402442345010646</v>
      </c>
      <c r="BI12" s="69">
        <v>0.90518082476026718</v>
      </c>
      <c r="BJ12" s="69"/>
      <c r="BK12" s="69">
        <f t="shared" si="41"/>
        <v>1.2276115289767575E-2</v>
      </c>
      <c r="BL12" s="69">
        <f>'RD T1'!E185</f>
        <v>0.39747805720828883</v>
      </c>
      <c r="BM12" s="69">
        <f t="shared" si="42"/>
        <v>0.4097541724980564</v>
      </c>
      <c r="BO12" t="str">
        <f t="shared" si="43"/>
        <v>23 Teaching and other educational professionals</v>
      </c>
      <c r="BP12" s="69">
        <v>0.77565629236151301</v>
      </c>
      <c r="BQ12" s="69">
        <v>0.77337348192975464</v>
      </c>
      <c r="BR12" s="69">
        <v>0.69471857059087339</v>
      </c>
      <c r="BS12" s="69">
        <v>0.68589321386802438</v>
      </c>
      <c r="BT12" s="69">
        <v>0.53007122987866384</v>
      </c>
      <c r="BU12" s="69"/>
      <c r="BV12" s="69">
        <f t="shared" si="44"/>
        <v>-0.16464734071220954</v>
      </c>
      <c r="BW12" s="69">
        <f>'RD T1'!E214</f>
        <v>0.33320699390189285</v>
      </c>
      <c r="BX12" s="69">
        <f t="shared" si="45"/>
        <v>0.1685596531896833</v>
      </c>
      <c r="BZ12" t="str">
        <f t="shared" si="46"/>
        <v>23 Teaching and other educational professionals</v>
      </c>
      <c r="CA12" s="69">
        <v>0.48163905842800109</v>
      </c>
      <c r="CB12" s="69">
        <v>0.46659877816221251</v>
      </c>
      <c r="CC12" s="69">
        <v>0.46897455808995336</v>
      </c>
      <c r="CD12" s="69">
        <v>0.40430824916242997</v>
      </c>
      <c r="CE12" s="69">
        <v>0.23673994359572539</v>
      </c>
      <c r="CF12" s="69"/>
      <c r="CG12" s="69">
        <f t="shared" si="47"/>
        <v>-0.23223461449422797</v>
      </c>
      <c r="CH12" s="69">
        <f>'RD T1'!E243</f>
        <v>0.16745070043577051</v>
      </c>
      <c r="CI12" s="69">
        <f t="shared" si="48"/>
        <v>-6.4783914058457459E-2</v>
      </c>
      <c r="CK12" t="str">
        <f t="shared" si="49"/>
        <v>23 Teaching and other educational professionals</v>
      </c>
      <c r="CL12" s="69">
        <v>0.14441577462198338</v>
      </c>
      <c r="CM12" s="69">
        <v>0.15261886837862532</v>
      </c>
      <c r="CN12" s="69">
        <v>0.21135450634508687</v>
      </c>
      <c r="CO12" s="69">
        <v>0.16586303784805137</v>
      </c>
      <c r="CP12" s="69">
        <v>0.12996690798533128</v>
      </c>
      <c r="CQ12" s="69"/>
      <c r="CR12" s="69">
        <f t="shared" si="50"/>
        <v>-8.1387598359755592E-2</v>
      </c>
      <c r="CS12" s="69">
        <f>'RD T1'!E272</f>
        <v>7.0895439802644525E-2</v>
      </c>
      <c r="CT12" s="69">
        <f t="shared" si="51"/>
        <v>-1.0492158557111067E-2</v>
      </c>
    </row>
    <row r="13" spans="1:98" x14ac:dyDescent="0.25">
      <c r="A13" s="10" t="str">
        <f>name!D9</f>
        <v>24 Business, media and public service professionals</v>
      </c>
      <c r="B13" s="69">
        <v>0.32506971877894869</v>
      </c>
      <c r="C13" s="69">
        <v>0.45288798223190829</v>
      </c>
      <c r="D13" s="69">
        <v>0.45898318953332035</v>
      </c>
      <c r="E13" s="69">
        <v>0.64716828335969834</v>
      </c>
      <c r="F13" s="69">
        <v>1.0119019393833204</v>
      </c>
      <c r="G13" s="11"/>
      <c r="H13" s="69">
        <f t="shared" si="26"/>
        <v>0.55291874985000011</v>
      </c>
      <c r="I13" s="69">
        <f>'RD T1'!E41</f>
        <v>0.35269952728767745</v>
      </c>
      <c r="J13" s="69">
        <f t="shared" si="27"/>
        <v>0.90561827713767751</v>
      </c>
      <c r="L13" t="str">
        <f t="shared" si="28"/>
        <v>24 Business, media and public service professionals</v>
      </c>
      <c r="M13" s="69">
        <v>3.8956482536978867</v>
      </c>
      <c r="N13" s="69">
        <v>5.6663368496490349</v>
      </c>
      <c r="O13" s="69">
        <v>5.6874323710150545</v>
      </c>
      <c r="P13" s="69">
        <v>7.4096842591336021</v>
      </c>
      <c r="Q13" s="69">
        <v>10.474631904640543</v>
      </c>
      <c r="R13" s="11"/>
      <c r="S13" s="69">
        <f t="shared" si="29"/>
        <v>4.787199533625488</v>
      </c>
      <c r="T13" s="69">
        <f>'RD T1'!E70</f>
        <v>3.8981945781198455</v>
      </c>
      <c r="U13" s="69">
        <f t="shared" si="30"/>
        <v>8.6853941117453335</v>
      </c>
      <c r="W13" t="str">
        <f t="shared" si="31"/>
        <v>24 Business, media and public service professionals</v>
      </c>
      <c r="X13" s="69">
        <v>8.4214880317833849</v>
      </c>
      <c r="Y13" s="69">
        <v>8.3713612802347299</v>
      </c>
      <c r="Z13" s="69">
        <v>9.8367788396884102</v>
      </c>
      <c r="AA13" s="69">
        <v>10.774325580202534</v>
      </c>
      <c r="AB13" s="69">
        <v>11.888115933687047</v>
      </c>
      <c r="AC13" s="69"/>
      <c r="AD13" s="69">
        <f t="shared" si="32"/>
        <v>2.0513370939986366</v>
      </c>
      <c r="AE13" s="69">
        <f>'RD T1'!E99</f>
        <v>5.8095198903705443</v>
      </c>
      <c r="AF13" s="69">
        <f t="shared" si="33"/>
        <v>7.8608569843691809</v>
      </c>
      <c r="AH13" t="str">
        <f t="shared" si="34"/>
        <v>24 Business, media and public service professionals</v>
      </c>
      <c r="AI13" s="69">
        <v>1.0140540762620116</v>
      </c>
      <c r="AJ13" s="69">
        <v>0.91948924188391423</v>
      </c>
      <c r="AK13" s="69">
        <v>1.0952353304805718</v>
      </c>
      <c r="AL13" s="69">
        <v>1.0516965303803458</v>
      </c>
      <c r="AM13" s="69">
        <v>1.090849988073191</v>
      </c>
      <c r="AN13" s="69"/>
      <c r="AO13" s="69">
        <f t="shared" si="35"/>
        <v>-4.3853424073807545E-3</v>
      </c>
      <c r="AP13" s="69">
        <f>'RD T1'!E128</f>
        <v>0.41169403306460162</v>
      </c>
      <c r="AQ13" s="69">
        <f t="shared" si="36"/>
        <v>0.40730869065722086</v>
      </c>
      <c r="AS13" t="str">
        <f t="shared" si="37"/>
        <v>24 Business, media and public service professionals</v>
      </c>
      <c r="AT13" s="69">
        <v>1.4601368543394195</v>
      </c>
      <c r="AU13" s="69">
        <v>1.3824948101097707</v>
      </c>
      <c r="AV13" s="69">
        <v>1.6226013707608027</v>
      </c>
      <c r="AW13" s="69">
        <v>1.7386224698505517</v>
      </c>
      <c r="AX13" s="69">
        <v>1.9107559096988442</v>
      </c>
      <c r="AY13" s="69"/>
      <c r="AZ13" s="69">
        <f t="shared" si="38"/>
        <v>0.28815453893804155</v>
      </c>
      <c r="BA13" s="69">
        <f>'RD T1'!E157</f>
        <v>0.8686677147840185</v>
      </c>
      <c r="BB13" s="69">
        <f t="shared" si="39"/>
        <v>1.15682225372206</v>
      </c>
      <c r="BD13" t="str">
        <f t="shared" si="40"/>
        <v>24 Business, media and public service professionals</v>
      </c>
      <c r="BE13" s="69">
        <v>3.1344464220730428</v>
      </c>
      <c r="BF13" s="69">
        <v>3.824081776652871</v>
      </c>
      <c r="BG13" s="69">
        <v>4.2077584234590555</v>
      </c>
      <c r="BH13" s="69">
        <v>4.6960136521101701</v>
      </c>
      <c r="BI13" s="69">
        <v>5.1173798094819887</v>
      </c>
      <c r="BJ13" s="69"/>
      <c r="BK13" s="69">
        <f t="shared" si="41"/>
        <v>0.90962138602293319</v>
      </c>
      <c r="BL13" s="69">
        <f>'RD T1'!E186</f>
        <v>2.0336089000181783</v>
      </c>
      <c r="BM13" s="69">
        <f t="shared" si="42"/>
        <v>2.9432302860411115</v>
      </c>
      <c r="BO13" t="str">
        <f t="shared" si="43"/>
        <v>24 Business, media and public service professionals</v>
      </c>
      <c r="BP13" s="69">
        <v>2.4949589713625304</v>
      </c>
      <c r="BQ13" s="69">
        <v>2.7088780164430588</v>
      </c>
      <c r="BR13" s="69">
        <v>2.6501166859957737</v>
      </c>
      <c r="BS13" s="69">
        <v>2.74991850596586</v>
      </c>
      <c r="BT13" s="69">
        <v>2.3609562777271003</v>
      </c>
      <c r="BU13" s="69"/>
      <c r="BV13" s="69">
        <f t="shared" si="44"/>
        <v>-0.2891604082686734</v>
      </c>
      <c r="BW13" s="69">
        <f>'RD T1'!E215</f>
        <v>1.1385525432333676</v>
      </c>
      <c r="BX13" s="69">
        <f t="shared" si="45"/>
        <v>0.84939213496469423</v>
      </c>
      <c r="BZ13" t="str">
        <f t="shared" si="46"/>
        <v>24 Business, media and public service professionals</v>
      </c>
      <c r="CA13" s="69">
        <v>1.5416876798950394</v>
      </c>
      <c r="CB13" s="69">
        <v>1.599716678532626</v>
      </c>
      <c r="CC13" s="69">
        <v>1.682820210031621</v>
      </c>
      <c r="CD13" s="69">
        <v>1.5300368321647233</v>
      </c>
      <c r="CE13" s="69">
        <v>0.98306408580241111</v>
      </c>
      <c r="CF13" s="69"/>
      <c r="CG13" s="69">
        <f t="shared" si="47"/>
        <v>-0.69975612422920985</v>
      </c>
      <c r="CH13" s="69">
        <f>'RD T1'!E244</f>
        <v>0.54046951539169463</v>
      </c>
      <c r="CI13" s="69">
        <f t="shared" si="48"/>
        <v>-0.15928660883751522</v>
      </c>
      <c r="CK13" t="str">
        <f t="shared" si="49"/>
        <v>24 Business, media and public service professionals</v>
      </c>
      <c r="CL13" s="69">
        <v>0.5187036509670645</v>
      </c>
      <c r="CM13" s="69">
        <v>0.53108692622220155</v>
      </c>
      <c r="CN13" s="69">
        <v>0.64449478869839283</v>
      </c>
      <c r="CO13" s="69">
        <v>0.48352457817938582</v>
      </c>
      <c r="CP13" s="69">
        <v>0.37040416775730184</v>
      </c>
      <c r="CQ13" s="69"/>
      <c r="CR13" s="69">
        <f t="shared" si="50"/>
        <v>-0.27409062094109099</v>
      </c>
      <c r="CS13" s="69">
        <f>'RD T1'!E273</f>
        <v>0.17071374822049243</v>
      </c>
      <c r="CT13" s="69">
        <f t="shared" si="51"/>
        <v>-0.10337687272059856</v>
      </c>
    </row>
    <row r="14" spans="1:98" x14ac:dyDescent="0.25">
      <c r="A14" s="10" t="str">
        <f>name!D10</f>
        <v>31 Science, engineering and technology associate professionals</v>
      </c>
      <c r="B14" s="69">
        <v>0.1093717508050106</v>
      </c>
      <c r="C14" s="69">
        <v>0.14038239305226233</v>
      </c>
      <c r="D14" s="69">
        <v>0.13424439512140601</v>
      </c>
      <c r="E14" s="69">
        <v>0.16215587693833053</v>
      </c>
      <c r="F14" s="69">
        <v>0.26509767785588256</v>
      </c>
      <c r="G14" s="11"/>
      <c r="H14" s="69">
        <f t="shared" si="26"/>
        <v>0.13085328273447655</v>
      </c>
      <c r="I14" s="69">
        <f>'RD T1'!E42</f>
        <v>8.4698015201408905E-2</v>
      </c>
      <c r="J14" s="69">
        <f t="shared" si="27"/>
        <v>0.21555129793588546</v>
      </c>
      <c r="L14" t="str">
        <f t="shared" si="28"/>
        <v>31 Science, engineering and technology associate professionals</v>
      </c>
      <c r="M14" s="69">
        <v>0.67739886167173646</v>
      </c>
      <c r="N14" s="69">
        <v>0.9377717141865346</v>
      </c>
      <c r="O14" s="69">
        <v>0.89678256615296614</v>
      </c>
      <c r="P14" s="69">
        <v>0.94934533347745309</v>
      </c>
      <c r="Q14" s="69">
        <v>1.3235411374741606</v>
      </c>
      <c r="R14" s="11"/>
      <c r="S14" s="69">
        <f t="shared" si="29"/>
        <v>0.42675857132119444</v>
      </c>
      <c r="T14" s="69">
        <f>'RD T1'!E71</f>
        <v>0.43761655993362647</v>
      </c>
      <c r="U14" s="69">
        <f t="shared" si="30"/>
        <v>0.86437513125482091</v>
      </c>
      <c r="W14" t="str">
        <f t="shared" si="31"/>
        <v>31 Science, engineering and technology associate professionals</v>
      </c>
      <c r="X14" s="69">
        <v>1.8139972897861216</v>
      </c>
      <c r="Y14" s="69">
        <v>1.764980889329661</v>
      </c>
      <c r="Z14" s="69">
        <v>1.9576452759019725</v>
      </c>
      <c r="AA14" s="69">
        <v>1.753623453881233</v>
      </c>
      <c r="AB14" s="69">
        <v>1.8997258456484774</v>
      </c>
      <c r="AC14" s="69"/>
      <c r="AD14" s="69">
        <f t="shared" si="32"/>
        <v>-5.7919430253495108E-2</v>
      </c>
      <c r="AE14" s="69">
        <f>'RD T1'!E100</f>
        <v>0.8060632654777905</v>
      </c>
      <c r="AF14" s="69">
        <f t="shared" si="33"/>
        <v>0.74814383522429539</v>
      </c>
      <c r="AH14" t="str">
        <f t="shared" si="34"/>
        <v>31 Science, engineering and technology associate professionals</v>
      </c>
      <c r="AI14" s="69">
        <v>0.3226219673215775</v>
      </c>
      <c r="AJ14" s="69">
        <v>0.33778337908363915</v>
      </c>
      <c r="AK14" s="69">
        <v>0.39801048005971296</v>
      </c>
      <c r="AL14" s="69">
        <v>0.38421144430859577</v>
      </c>
      <c r="AM14" s="69">
        <v>0.49122456523129587</v>
      </c>
      <c r="AN14" s="69"/>
      <c r="AO14" s="69">
        <f t="shared" si="35"/>
        <v>9.3214085171582917E-2</v>
      </c>
      <c r="AP14" s="69">
        <f>'RD T1'!E129</f>
        <v>0.19386381718812579</v>
      </c>
      <c r="AQ14" s="69">
        <f t="shared" si="36"/>
        <v>0.2870779023597087</v>
      </c>
      <c r="AS14" t="str">
        <f t="shared" si="37"/>
        <v>31 Science, engineering and technology associate professionals</v>
      </c>
      <c r="AT14" s="69">
        <v>0.90991231793981053</v>
      </c>
      <c r="AU14" s="69">
        <v>0.85400637859743278</v>
      </c>
      <c r="AV14" s="69">
        <v>0.92835823606294898</v>
      </c>
      <c r="AW14" s="69">
        <v>0.74249872696558039</v>
      </c>
      <c r="AX14" s="69">
        <v>0.72097853915068633</v>
      </c>
      <c r="AY14" s="69"/>
      <c r="AZ14" s="69">
        <f t="shared" si="38"/>
        <v>-0.20737969691226266</v>
      </c>
      <c r="BA14" s="69">
        <f>'RD T1'!E158</f>
        <v>0.28178984218717623</v>
      </c>
      <c r="BB14" s="69">
        <f t="shared" si="39"/>
        <v>7.4410145274913575E-2</v>
      </c>
      <c r="BD14" t="str">
        <f t="shared" si="40"/>
        <v>31 Science, engineering and technology associate professionals</v>
      </c>
      <c r="BE14" s="69">
        <v>1.5383212138356519</v>
      </c>
      <c r="BF14" s="69">
        <v>1.5521480420703793</v>
      </c>
      <c r="BG14" s="69">
        <v>1.6831931149646644</v>
      </c>
      <c r="BH14" s="69">
        <v>1.3198295367616502</v>
      </c>
      <c r="BI14" s="69">
        <v>1.128409689770814</v>
      </c>
      <c r="BJ14" s="69"/>
      <c r="BK14" s="69">
        <f t="shared" si="41"/>
        <v>-0.55478342519385038</v>
      </c>
      <c r="BL14" s="69">
        <f>'RD T1'!E187</f>
        <v>0.44209562273838054</v>
      </c>
      <c r="BM14" s="69">
        <f t="shared" si="42"/>
        <v>-0.11268780245546983</v>
      </c>
      <c r="BO14" t="str">
        <f t="shared" si="43"/>
        <v>31 Science, engineering and technology associate professionals</v>
      </c>
      <c r="BP14" s="69">
        <v>1.1658634701916268</v>
      </c>
      <c r="BQ14" s="69">
        <v>1.3343705630355982</v>
      </c>
      <c r="BR14" s="69">
        <v>1.3714863979673269</v>
      </c>
      <c r="BS14" s="69">
        <v>1.1873792090197719</v>
      </c>
      <c r="BT14" s="69">
        <v>1.0998394315701208</v>
      </c>
      <c r="BU14" s="69"/>
      <c r="BV14" s="69">
        <f t="shared" si="44"/>
        <v>-0.27164696639720609</v>
      </c>
      <c r="BW14" s="69">
        <f>'RD T1'!E216</f>
        <v>0.45152892902472408</v>
      </c>
      <c r="BX14" s="69">
        <f t="shared" si="45"/>
        <v>0.17988196262751799</v>
      </c>
      <c r="BZ14" t="str">
        <f t="shared" si="46"/>
        <v>31 Science, engineering and technology associate professionals</v>
      </c>
      <c r="CA14" s="69">
        <v>0.87501643931220707</v>
      </c>
      <c r="CB14" s="69">
        <v>0.91037958778492423</v>
      </c>
      <c r="CC14" s="69">
        <v>1.0625642589367763</v>
      </c>
      <c r="CD14" s="69">
        <v>0.7626285448236968</v>
      </c>
      <c r="CE14" s="69">
        <v>0.57920490330175967</v>
      </c>
      <c r="CF14" s="69"/>
      <c r="CG14" s="69">
        <f t="shared" si="47"/>
        <v>-0.48335935563501664</v>
      </c>
      <c r="CH14" s="69">
        <f>'RD T1'!E245</f>
        <v>0.26179275777269334</v>
      </c>
      <c r="CI14" s="69">
        <f t="shared" si="48"/>
        <v>-0.2215665978623233</v>
      </c>
      <c r="CK14" t="str">
        <f t="shared" si="49"/>
        <v>31 Science, engineering and technology associate professionals</v>
      </c>
      <c r="CL14" s="69">
        <v>0.22713045670077833</v>
      </c>
      <c r="CM14" s="69">
        <v>0.24599479696113066</v>
      </c>
      <c r="CN14" s="69">
        <v>0.32609836183695945</v>
      </c>
      <c r="CO14" s="69">
        <v>0.25421432874159233</v>
      </c>
      <c r="CP14" s="69">
        <v>0.28496086771275586</v>
      </c>
      <c r="CQ14" s="69"/>
      <c r="CR14" s="69">
        <f t="shared" si="50"/>
        <v>-4.1137494124203589E-2</v>
      </c>
      <c r="CS14" s="69">
        <f>'RD T1'!E274</f>
        <v>0.10588573748690286</v>
      </c>
      <c r="CT14" s="69">
        <f t="shared" si="51"/>
        <v>6.474824336269927E-2</v>
      </c>
    </row>
    <row r="15" spans="1:98" x14ac:dyDescent="0.25">
      <c r="A15" s="10" t="str">
        <f>name!D11</f>
        <v>32 Health and social care associate professionals</v>
      </c>
      <c r="B15" s="69">
        <v>2.8160541695273694E-2</v>
      </c>
      <c r="C15" s="69">
        <v>4.3319498603377249E-2</v>
      </c>
      <c r="D15" s="69">
        <v>3.8693959952058855E-2</v>
      </c>
      <c r="E15" s="69">
        <v>5.563100570650896E-2</v>
      </c>
      <c r="F15" s="69">
        <v>0.10871506684439076</v>
      </c>
      <c r="G15" s="11"/>
      <c r="H15" s="69">
        <f t="shared" si="26"/>
        <v>7.0021106892331902E-2</v>
      </c>
      <c r="I15" s="69">
        <f>'RD T1'!E43</f>
        <v>3.9456542778628728E-2</v>
      </c>
      <c r="J15" s="69">
        <f t="shared" si="27"/>
        <v>0.10947764967096063</v>
      </c>
      <c r="L15" t="str">
        <f t="shared" si="28"/>
        <v>32 Health and social care associate professionals</v>
      </c>
      <c r="M15" s="69">
        <v>0.71097589101669945</v>
      </c>
      <c r="N15" s="69">
        <v>1.2135484369270695</v>
      </c>
      <c r="O15" s="69">
        <v>1.2464310321006769</v>
      </c>
      <c r="P15" s="69">
        <v>1.6494140120970269</v>
      </c>
      <c r="Q15" s="69">
        <v>2.9266383693116476</v>
      </c>
      <c r="R15" s="11"/>
      <c r="S15" s="69">
        <f t="shared" si="29"/>
        <v>1.6802073372109707</v>
      </c>
      <c r="T15" s="69">
        <f>'RD T1'!E72</f>
        <v>1.0900851975505332</v>
      </c>
      <c r="U15" s="69">
        <f t="shared" si="30"/>
        <v>2.7702925347615039</v>
      </c>
      <c r="W15" t="str">
        <f t="shared" si="31"/>
        <v>32 Health and social care associate professionals</v>
      </c>
      <c r="X15" s="69">
        <v>2.555504539866388</v>
      </c>
      <c r="Y15" s="69">
        <v>3.1259089141109109</v>
      </c>
      <c r="Z15" s="69">
        <v>3.4818020837896437</v>
      </c>
      <c r="AA15" s="69">
        <v>3.8764032037213854</v>
      </c>
      <c r="AB15" s="69">
        <v>4.6574779754583107</v>
      </c>
      <c r="AC15" s="69"/>
      <c r="AD15" s="69">
        <f t="shared" si="32"/>
        <v>1.1756758916686669</v>
      </c>
      <c r="AE15" s="69">
        <f>'RD T1'!E101</f>
        <v>2.6441063542114223</v>
      </c>
      <c r="AF15" s="69">
        <f t="shared" si="33"/>
        <v>3.8197822458800892</v>
      </c>
      <c r="AH15" t="str">
        <f t="shared" si="34"/>
        <v>32 Health and social care associate professionals</v>
      </c>
      <c r="AI15" s="69">
        <v>1.8685919645425797</v>
      </c>
      <c r="AJ15" s="69">
        <v>1.7400323362998238</v>
      </c>
      <c r="AK15" s="69">
        <v>1.8365058932421012</v>
      </c>
      <c r="AL15" s="69">
        <v>1.3924145837413475</v>
      </c>
      <c r="AM15" s="69">
        <v>0.84937382840592879</v>
      </c>
      <c r="AN15" s="69"/>
      <c r="AO15" s="69">
        <f t="shared" si="35"/>
        <v>-0.98713206483617244</v>
      </c>
      <c r="AP15" s="69">
        <f>'RD T1'!E130</f>
        <v>0.55939113245513017</v>
      </c>
      <c r="AQ15" s="69">
        <f t="shared" si="36"/>
        <v>-0.42774093238104227</v>
      </c>
      <c r="AS15" t="str">
        <f t="shared" si="37"/>
        <v>32 Health and social care associate professionals</v>
      </c>
      <c r="AT15" s="69">
        <v>0.38101691405621163</v>
      </c>
      <c r="AU15" s="69">
        <v>0.41689668760247189</v>
      </c>
      <c r="AV15" s="69">
        <v>0.48835617092457639</v>
      </c>
      <c r="AW15" s="69">
        <v>0.46521865470308826</v>
      </c>
      <c r="AX15" s="69">
        <v>0.51372123078230758</v>
      </c>
      <c r="AY15" s="69"/>
      <c r="AZ15" s="69">
        <f t="shared" si="38"/>
        <v>2.5365059857731187E-2</v>
      </c>
      <c r="BA15" s="69">
        <f>'RD T1'!E159</f>
        <v>0.27575484482653978</v>
      </c>
      <c r="BB15" s="69">
        <f t="shared" si="39"/>
        <v>0.30111990468427097</v>
      </c>
      <c r="BD15" t="str">
        <f t="shared" si="40"/>
        <v>32 Health and social care associate professionals</v>
      </c>
      <c r="BE15" s="69">
        <v>1.4975563253138693</v>
      </c>
      <c r="BF15" s="69">
        <v>2.0867469327437287</v>
      </c>
      <c r="BG15" s="69">
        <v>1.9783046826406447</v>
      </c>
      <c r="BH15" s="69">
        <v>2.0701864692826528</v>
      </c>
      <c r="BI15" s="69">
        <v>2.1319502154555372</v>
      </c>
      <c r="BJ15" s="69"/>
      <c r="BK15" s="69">
        <f t="shared" si="41"/>
        <v>0.15364553281489246</v>
      </c>
      <c r="BL15" s="69">
        <f>'RD T1'!E188</f>
        <v>1.1915231449270074</v>
      </c>
      <c r="BM15" s="69">
        <f t="shared" si="42"/>
        <v>1.3451686777418999</v>
      </c>
      <c r="BO15" t="str">
        <f t="shared" si="43"/>
        <v>32 Health and social care associate professionals</v>
      </c>
      <c r="BP15" s="69">
        <v>1.3596234482459582</v>
      </c>
      <c r="BQ15" s="69">
        <v>1.6895357051992286</v>
      </c>
      <c r="BR15" s="69">
        <v>1.3982287088146053</v>
      </c>
      <c r="BS15" s="69">
        <v>1.4104363286593014</v>
      </c>
      <c r="BT15" s="69">
        <v>1.1184581442456263</v>
      </c>
      <c r="BU15" s="69"/>
      <c r="BV15" s="69">
        <f t="shared" si="44"/>
        <v>-0.27977056456897897</v>
      </c>
      <c r="BW15" s="69">
        <f>'RD T1'!E217</f>
        <v>0.71968924056584638</v>
      </c>
      <c r="BX15" s="69">
        <f t="shared" si="45"/>
        <v>0.4399186759968674</v>
      </c>
      <c r="BZ15" t="str">
        <f t="shared" si="46"/>
        <v>32 Health and social care associate professionals</v>
      </c>
      <c r="CA15" s="69">
        <v>0.53073894577593461</v>
      </c>
      <c r="CB15" s="69">
        <v>0.53726334765403982</v>
      </c>
      <c r="CC15" s="69">
        <v>0.44315824607727017</v>
      </c>
      <c r="CD15" s="69">
        <v>0.35019476005505307</v>
      </c>
      <c r="CE15" s="69">
        <v>0.19251775317974096</v>
      </c>
      <c r="CF15" s="69"/>
      <c r="CG15" s="69">
        <f t="shared" si="47"/>
        <v>-0.25064049289752921</v>
      </c>
      <c r="CH15" s="69">
        <f>'RD T1'!E246</f>
        <v>0.1343341687746703</v>
      </c>
      <c r="CI15" s="69">
        <f t="shared" si="48"/>
        <v>-0.11630632412285891</v>
      </c>
      <c r="CK15" t="str">
        <f t="shared" si="49"/>
        <v>32 Health and social care associate professionals</v>
      </c>
      <c r="CL15" s="69">
        <v>0.10072118747074421</v>
      </c>
      <c r="CM15" s="69">
        <v>0.10347791128767374</v>
      </c>
      <c r="CN15" s="69">
        <v>0.12215277790263956</v>
      </c>
      <c r="CO15" s="69">
        <v>9.2506920474029253E-2</v>
      </c>
      <c r="CP15" s="69">
        <v>8.9414926008015413E-2</v>
      </c>
      <c r="CQ15" s="69"/>
      <c r="CR15" s="69">
        <f t="shared" si="50"/>
        <v>-3.2737851894624151E-2</v>
      </c>
      <c r="CS15" s="69">
        <f>'RD T1'!E275</f>
        <v>3.9328916604637013E-2</v>
      </c>
      <c r="CT15" s="69">
        <f t="shared" si="51"/>
        <v>6.5910647100128616E-3</v>
      </c>
    </row>
    <row r="16" spans="1:98" x14ac:dyDescent="0.25">
      <c r="A16" s="10" t="str">
        <f>name!D12</f>
        <v>33 Protective service occupations</v>
      </c>
      <c r="B16" s="69">
        <v>1.6644422375191155E-2</v>
      </c>
      <c r="C16" s="69">
        <v>2.4924163911466464E-2</v>
      </c>
      <c r="D16" s="69">
        <v>2.2556664348817271E-2</v>
      </c>
      <c r="E16" s="69">
        <v>3.67080558781736E-2</v>
      </c>
      <c r="F16" s="69">
        <v>6.7038060312270609E-2</v>
      </c>
      <c r="G16" s="11"/>
      <c r="H16" s="69">
        <f t="shared" si="26"/>
        <v>4.4481395963453338E-2</v>
      </c>
      <c r="I16" s="69">
        <f>'RD T1'!E44</f>
        <v>1.6845335136915742E-2</v>
      </c>
      <c r="J16" s="69">
        <f t="shared" si="27"/>
        <v>6.1326731100369083E-2</v>
      </c>
      <c r="L16" t="str">
        <f t="shared" si="28"/>
        <v>33 Protective service occupations</v>
      </c>
      <c r="M16" s="69">
        <v>0.20785401319091446</v>
      </c>
      <c r="N16" s="69">
        <v>0.28541465615357275</v>
      </c>
      <c r="O16" s="69">
        <v>0.26413399935912896</v>
      </c>
      <c r="P16" s="69">
        <v>0.41263853675767453</v>
      </c>
      <c r="Q16" s="69">
        <v>0.7239510072422578</v>
      </c>
      <c r="R16" s="11"/>
      <c r="S16" s="69">
        <f t="shared" si="29"/>
        <v>0.45981700788312885</v>
      </c>
      <c r="T16" s="69">
        <f>'RD T1'!E73</f>
        <v>0.1616683359971994</v>
      </c>
      <c r="U16" s="69">
        <f t="shared" si="30"/>
        <v>0.62148534388032828</v>
      </c>
      <c r="W16" t="str">
        <f t="shared" si="31"/>
        <v>33 Protective service occupations</v>
      </c>
      <c r="X16" s="69">
        <v>0.95608290117505623</v>
      </c>
      <c r="Y16" s="69">
        <v>0.95757043214211235</v>
      </c>
      <c r="Z16" s="69">
        <v>1.1289328951745237</v>
      </c>
      <c r="AA16" s="69">
        <v>1.4784809465279694</v>
      </c>
      <c r="AB16" s="69">
        <v>2.1614471761772567</v>
      </c>
      <c r="AC16" s="69"/>
      <c r="AD16" s="69">
        <f t="shared" si="32"/>
        <v>1.032514281002733</v>
      </c>
      <c r="AE16" s="69">
        <f>'RD T1'!E102</f>
        <v>0.71364849075037617</v>
      </c>
      <c r="AF16" s="69">
        <f t="shared" si="33"/>
        <v>1.7461627717531092</v>
      </c>
      <c r="AH16" t="str">
        <f t="shared" si="34"/>
        <v>33 Protective service occupations</v>
      </c>
      <c r="AI16" s="69">
        <v>0.29390943476556441</v>
      </c>
      <c r="AJ16" s="69">
        <v>0.28715269173222091</v>
      </c>
      <c r="AK16" s="69">
        <v>0.33305814145364371</v>
      </c>
      <c r="AL16" s="69">
        <v>0.43060989401886807</v>
      </c>
      <c r="AM16" s="69">
        <v>0.60816347896196976</v>
      </c>
      <c r="AN16" s="69"/>
      <c r="AO16" s="69">
        <f t="shared" si="35"/>
        <v>0.27510533750832605</v>
      </c>
      <c r="AP16" s="69">
        <f>'RD T1'!E131</f>
        <v>0.17824092964710359</v>
      </c>
      <c r="AQ16" s="69">
        <f t="shared" si="36"/>
        <v>0.45334626715542964</v>
      </c>
      <c r="AS16" t="str">
        <f t="shared" si="37"/>
        <v>33 Protective service occupations</v>
      </c>
      <c r="AT16" s="69">
        <v>0.26631789233432801</v>
      </c>
      <c r="AU16" s="69">
        <v>0.23738394149475781</v>
      </c>
      <c r="AV16" s="69">
        <v>0.26848027271093161</v>
      </c>
      <c r="AW16" s="69">
        <v>0.30529891143075688</v>
      </c>
      <c r="AX16" s="69">
        <v>0.36849650328159156</v>
      </c>
      <c r="AY16" s="69"/>
      <c r="AZ16" s="69">
        <f t="shared" si="38"/>
        <v>0.10001623057065995</v>
      </c>
      <c r="BA16" s="69">
        <f>'RD T1'!E160</f>
        <v>0.12667332233765655</v>
      </c>
      <c r="BB16" s="69">
        <f t="shared" si="39"/>
        <v>0.22668955290831649</v>
      </c>
      <c r="BD16" t="str">
        <f t="shared" si="40"/>
        <v>33 Protective service occupations</v>
      </c>
      <c r="BE16" s="69">
        <v>0.85767162178892631</v>
      </c>
      <c r="BF16" s="69">
        <v>0.83724990443675984</v>
      </c>
      <c r="BG16" s="69">
        <v>0.8830557130197928</v>
      </c>
      <c r="BH16" s="69">
        <v>1.0354021524231733</v>
      </c>
      <c r="BI16" s="69">
        <v>1.1081402230370567</v>
      </c>
      <c r="BJ16" s="69"/>
      <c r="BK16" s="69">
        <f t="shared" si="41"/>
        <v>0.22508451001726393</v>
      </c>
      <c r="BL16" s="69">
        <f>'RD T1'!E189</f>
        <v>0.27100341130694028</v>
      </c>
      <c r="BM16" s="69">
        <f t="shared" si="42"/>
        <v>0.49608792132420421</v>
      </c>
      <c r="BO16" t="str">
        <f t="shared" si="43"/>
        <v>33 Protective service occupations</v>
      </c>
      <c r="BP16" s="69">
        <v>1.0749364035975038</v>
      </c>
      <c r="BQ16" s="69">
        <v>1.1122874836303864</v>
      </c>
      <c r="BR16" s="69">
        <v>1.0816361819894651</v>
      </c>
      <c r="BS16" s="69">
        <v>1.290511703587816</v>
      </c>
      <c r="BT16" s="69">
        <v>1.1964280891169117</v>
      </c>
      <c r="BU16" s="69"/>
      <c r="BV16" s="69">
        <f t="shared" si="44"/>
        <v>0.11479190712744658</v>
      </c>
      <c r="BW16" s="69">
        <f>'RD T1'!E218</f>
        <v>0.38715389307299092</v>
      </c>
      <c r="BX16" s="69">
        <f t="shared" si="45"/>
        <v>0.50194580020043755</v>
      </c>
      <c r="BZ16" t="str">
        <f t="shared" si="46"/>
        <v>33 Protective service occupations</v>
      </c>
      <c r="CA16" s="69">
        <v>0.61543490600842365</v>
      </c>
      <c r="CB16" s="69">
        <v>0.56690344779439794</v>
      </c>
      <c r="CC16" s="69">
        <v>0.58565034146724004</v>
      </c>
      <c r="CD16" s="69">
        <v>0.60422333256999183</v>
      </c>
      <c r="CE16" s="69">
        <v>0.3877414841681609</v>
      </c>
      <c r="CF16" s="69"/>
      <c r="CG16" s="69">
        <f t="shared" si="47"/>
        <v>-0.19790885729907914</v>
      </c>
      <c r="CH16" s="69">
        <f>'RD T1'!E247</f>
        <v>0.18484243318008786</v>
      </c>
      <c r="CI16" s="69">
        <f t="shared" si="48"/>
        <v>-1.3066424118991282E-2</v>
      </c>
      <c r="CK16" t="str">
        <f t="shared" si="49"/>
        <v>33 Protective service occupations</v>
      </c>
      <c r="CL16" s="69">
        <v>0.1555716989151589</v>
      </c>
      <c r="CM16" s="69">
        <v>0.11812186801944331</v>
      </c>
      <c r="CN16" s="69">
        <v>0.13269501519398252</v>
      </c>
      <c r="CO16" s="69">
        <v>0.10347759236225498</v>
      </c>
      <c r="CP16" s="69">
        <v>8.4338292437729084E-2</v>
      </c>
      <c r="CQ16" s="69"/>
      <c r="CR16" s="69">
        <f t="shared" si="50"/>
        <v>-4.835672275625344E-2</v>
      </c>
      <c r="CS16" s="69">
        <f>'RD T1'!E276</f>
        <v>2.4158205659939688E-2</v>
      </c>
      <c r="CT16" s="69">
        <f t="shared" si="51"/>
        <v>-2.4198517096313751E-2</v>
      </c>
    </row>
    <row r="17" spans="1:98" x14ac:dyDescent="0.25">
      <c r="A17" s="10" t="str">
        <f>name!D13</f>
        <v>34 Culture, media and sports occupations</v>
      </c>
      <c r="B17" s="69">
        <v>5.1654317387206203E-2</v>
      </c>
      <c r="C17" s="69">
        <v>7.4316559948856789E-2</v>
      </c>
      <c r="D17" s="69">
        <v>7.6044888685729353E-2</v>
      </c>
      <c r="E17" s="69">
        <v>9.1669233830126748E-2</v>
      </c>
      <c r="F17" s="69">
        <v>0.13298251618171975</v>
      </c>
      <c r="G17" s="11"/>
      <c r="H17" s="69">
        <f t="shared" si="26"/>
        <v>5.6937627495990392E-2</v>
      </c>
      <c r="I17" s="69">
        <f>'RD T1'!E45</f>
        <v>5.1434967867387313E-2</v>
      </c>
      <c r="J17" s="69">
        <f t="shared" si="27"/>
        <v>0.10837259536337771</v>
      </c>
      <c r="L17" t="str">
        <f t="shared" si="28"/>
        <v>34 Culture, media and sports occupations</v>
      </c>
      <c r="M17" s="69">
        <v>0.98851283997539152</v>
      </c>
      <c r="N17" s="69">
        <v>1.3390081744575906</v>
      </c>
      <c r="O17" s="69">
        <v>1.333902864452752</v>
      </c>
      <c r="P17" s="69">
        <v>1.4732507452946988</v>
      </c>
      <c r="Q17" s="69">
        <v>2.0049241463725442</v>
      </c>
      <c r="R17" s="11"/>
      <c r="S17" s="69">
        <f t="shared" si="29"/>
        <v>0.67102128191979227</v>
      </c>
      <c r="T17" s="69">
        <f>'RD T1'!E74</f>
        <v>0.80462648787807889</v>
      </c>
      <c r="U17" s="69">
        <f t="shared" si="30"/>
        <v>1.4756477697978712</v>
      </c>
      <c r="W17" t="str">
        <f t="shared" si="31"/>
        <v>34 Culture, media and sports occupations</v>
      </c>
      <c r="X17" s="69">
        <v>2.8348597716919475</v>
      </c>
      <c r="Y17" s="69">
        <v>2.6409239617206874</v>
      </c>
      <c r="Z17" s="69">
        <v>2.774635479959902</v>
      </c>
      <c r="AA17" s="69">
        <v>2.6335517674380888</v>
      </c>
      <c r="AB17" s="69">
        <v>2.8982740740947825</v>
      </c>
      <c r="AC17" s="69"/>
      <c r="AD17" s="69">
        <f t="shared" si="32"/>
        <v>0.12363859413488054</v>
      </c>
      <c r="AE17" s="69">
        <f>'RD T1'!E103</f>
        <v>1.3368866616279176</v>
      </c>
      <c r="AF17" s="69">
        <f t="shared" si="33"/>
        <v>1.4605252557627981</v>
      </c>
      <c r="AH17" t="str">
        <f t="shared" si="34"/>
        <v>34 Culture, media and sports occupations</v>
      </c>
      <c r="AI17" s="69">
        <v>0.4076009197758354</v>
      </c>
      <c r="AJ17" s="69">
        <v>0.33262213733114276</v>
      </c>
      <c r="AK17" s="69">
        <v>0.40163409740402412</v>
      </c>
      <c r="AL17" s="69">
        <v>0.39797418520656769</v>
      </c>
      <c r="AM17" s="69">
        <v>0.51866105855683475</v>
      </c>
      <c r="AN17" s="69"/>
      <c r="AO17" s="69">
        <f t="shared" si="35"/>
        <v>0.11702696115281064</v>
      </c>
      <c r="AP17" s="69">
        <f>'RD T1'!E132</f>
        <v>0.22440561712592216</v>
      </c>
      <c r="AQ17" s="69">
        <f t="shared" si="36"/>
        <v>0.3414325782787328</v>
      </c>
      <c r="AS17" t="str">
        <f t="shared" si="37"/>
        <v>34 Culture, media and sports occupations</v>
      </c>
      <c r="AT17" s="69">
        <v>0.47934304354206653</v>
      </c>
      <c r="AU17" s="69">
        <v>0.42662747965012154</v>
      </c>
      <c r="AV17" s="69">
        <v>0.44719092658619553</v>
      </c>
      <c r="AW17" s="69">
        <v>0.39038607532525244</v>
      </c>
      <c r="AX17" s="69">
        <v>0.40469367182838628</v>
      </c>
      <c r="AY17" s="69"/>
      <c r="AZ17" s="69">
        <f t="shared" si="38"/>
        <v>-4.2497254757809244E-2</v>
      </c>
      <c r="BA17" s="69">
        <f>'RD T1'!E161</f>
        <v>0.19034400619973374</v>
      </c>
      <c r="BB17" s="69">
        <f t="shared" si="39"/>
        <v>0.1478467514419245</v>
      </c>
      <c r="BD17" t="str">
        <f t="shared" si="40"/>
        <v>34 Culture, media and sports occupations</v>
      </c>
      <c r="BE17" s="69">
        <v>1.2538755975475304</v>
      </c>
      <c r="BF17" s="69">
        <v>1.297397782908337</v>
      </c>
      <c r="BG17" s="69">
        <v>1.3358395018838547</v>
      </c>
      <c r="BH17" s="69">
        <v>1.2634092140592681</v>
      </c>
      <c r="BI17" s="69">
        <v>1.407884374639099</v>
      </c>
      <c r="BJ17" s="69"/>
      <c r="BK17" s="69">
        <f t="shared" si="41"/>
        <v>7.2044872755244294E-2</v>
      </c>
      <c r="BL17" s="69">
        <f>'RD T1'!E190</f>
        <v>0.52265067433821477</v>
      </c>
      <c r="BM17" s="69">
        <f t="shared" si="42"/>
        <v>0.59469554709345906</v>
      </c>
      <c r="BO17" t="str">
        <f t="shared" si="43"/>
        <v>34 Culture, media and sports occupations</v>
      </c>
      <c r="BP17" s="69">
        <v>0.69360904207765894</v>
      </c>
      <c r="BQ17" s="69">
        <v>0.64435161874153857</v>
      </c>
      <c r="BR17" s="69">
        <v>0.56955219620906328</v>
      </c>
      <c r="BS17" s="69">
        <v>0.47591187288563658</v>
      </c>
      <c r="BT17" s="69">
        <v>0.34329359563636797</v>
      </c>
      <c r="BU17" s="69"/>
      <c r="BV17" s="69">
        <f t="shared" si="44"/>
        <v>-0.22625860057269531</v>
      </c>
      <c r="BW17" s="69">
        <f>'RD T1'!E219</f>
        <v>0.16885768348001801</v>
      </c>
      <c r="BX17" s="69">
        <f t="shared" si="45"/>
        <v>-5.7400917092677306E-2</v>
      </c>
      <c r="BZ17" t="str">
        <f t="shared" si="46"/>
        <v>34 Culture, media and sports occupations</v>
      </c>
      <c r="CA17" s="69">
        <v>0.53695878566744693</v>
      </c>
      <c r="CB17" s="69">
        <v>0.45175287313527052</v>
      </c>
      <c r="CC17" s="69">
        <v>0.44079325699994654</v>
      </c>
      <c r="CD17" s="69">
        <v>0.31452521136076322</v>
      </c>
      <c r="CE17" s="69">
        <v>0.16957311080927318</v>
      </c>
      <c r="CF17" s="69"/>
      <c r="CG17" s="69">
        <f t="shared" si="47"/>
        <v>-0.27122014619067336</v>
      </c>
      <c r="CH17" s="69">
        <f>'RD T1'!E248</f>
        <v>0.10058137099258195</v>
      </c>
      <c r="CI17" s="69">
        <f t="shared" si="48"/>
        <v>-0.1706387751980914</v>
      </c>
      <c r="CK17" t="str">
        <f t="shared" si="49"/>
        <v>34 Culture, media and sports occupations</v>
      </c>
      <c r="CL17" s="69">
        <v>0.28058319820101701</v>
      </c>
      <c r="CM17" s="69">
        <v>0.26371153865939484</v>
      </c>
      <c r="CN17" s="69">
        <v>0.28665070173064033</v>
      </c>
      <c r="CO17" s="69">
        <v>0.18162844022427702</v>
      </c>
      <c r="CP17" s="69">
        <v>0.14521933489937153</v>
      </c>
      <c r="CQ17" s="69"/>
      <c r="CR17" s="69">
        <f t="shared" si="50"/>
        <v>-0.14143136683126881</v>
      </c>
      <c r="CS17" s="69">
        <f>'RD T1'!E277</f>
        <v>6.6599725741200183E-2</v>
      </c>
      <c r="CT17" s="69">
        <f t="shared" si="51"/>
        <v>-7.4831641090068624E-2</v>
      </c>
    </row>
    <row r="18" spans="1:98" x14ac:dyDescent="0.25">
      <c r="A18" s="10" t="str">
        <f>name!D14</f>
        <v>35 Business and public service associate professionals</v>
      </c>
      <c r="B18" s="69">
        <v>0.26623343650298015</v>
      </c>
      <c r="C18" s="69">
        <v>0.34422880676693601</v>
      </c>
      <c r="D18" s="69">
        <v>0.32593345516851402</v>
      </c>
      <c r="E18" s="69">
        <v>0.4082898310230208</v>
      </c>
      <c r="F18" s="69">
        <v>0.65130598735254386</v>
      </c>
      <c r="G18" s="11"/>
      <c r="H18" s="69">
        <f t="shared" si="26"/>
        <v>0.32537253218402984</v>
      </c>
      <c r="I18" s="69">
        <f>'RD T1'!E46</f>
        <v>0.2196779974036964</v>
      </c>
      <c r="J18" s="69">
        <f t="shared" si="27"/>
        <v>0.54505052958772626</v>
      </c>
      <c r="L18" t="str">
        <f t="shared" si="28"/>
        <v>35 Business and public service associate professionals</v>
      </c>
      <c r="M18" s="69">
        <v>2.6740290378626432</v>
      </c>
      <c r="N18" s="69">
        <v>3.5206142866940562</v>
      </c>
      <c r="O18" s="69">
        <v>3.4461216968759119</v>
      </c>
      <c r="P18" s="69">
        <v>4.1388204861876687</v>
      </c>
      <c r="Q18" s="69">
        <v>6.0281329712056548</v>
      </c>
      <c r="R18" s="11"/>
      <c r="S18" s="69">
        <f t="shared" si="29"/>
        <v>2.582011274329743</v>
      </c>
      <c r="T18" s="69">
        <f>'RD T1'!E75</f>
        <v>2.2123334584823979</v>
      </c>
      <c r="U18" s="69">
        <f t="shared" si="30"/>
        <v>4.7943447328121405</v>
      </c>
      <c r="W18" t="str">
        <f t="shared" si="31"/>
        <v>35 Business and public service associate professionals</v>
      </c>
      <c r="X18" s="69">
        <v>7.0720386543720473</v>
      </c>
      <c r="Y18" s="69">
        <v>6.5004711878643029</v>
      </c>
      <c r="Z18" s="69">
        <v>7.2140467664421752</v>
      </c>
      <c r="AA18" s="69">
        <v>6.9715777881406744</v>
      </c>
      <c r="AB18" s="69">
        <v>7.3524735526121621</v>
      </c>
      <c r="AC18" s="69"/>
      <c r="AD18" s="69">
        <f t="shared" si="32"/>
        <v>0.13842678616998683</v>
      </c>
      <c r="AE18" s="69">
        <f>'RD T1'!E104</f>
        <v>3.6731009471998353</v>
      </c>
      <c r="AF18" s="69">
        <f t="shared" si="33"/>
        <v>3.8115277333698221</v>
      </c>
      <c r="AH18" t="str">
        <f t="shared" si="34"/>
        <v>35 Business and public service associate professionals</v>
      </c>
      <c r="AI18" s="69">
        <v>1.9343251803956694</v>
      </c>
      <c r="AJ18" s="69">
        <v>1.883719492820048</v>
      </c>
      <c r="AK18" s="69">
        <v>2.1818504516021529</v>
      </c>
      <c r="AL18" s="69">
        <v>2.1320803855477082</v>
      </c>
      <c r="AM18" s="69">
        <v>2.332756176193481</v>
      </c>
      <c r="AN18" s="69"/>
      <c r="AO18" s="69">
        <f t="shared" si="35"/>
        <v>0.15090572459132812</v>
      </c>
      <c r="AP18" s="69">
        <f>'RD T1'!E133</f>
        <v>1.0906412648021386</v>
      </c>
      <c r="AQ18" s="69">
        <f t="shared" si="36"/>
        <v>1.2415469893934667</v>
      </c>
      <c r="AS18" t="str">
        <f t="shared" si="37"/>
        <v>35 Business and public service associate professionals</v>
      </c>
      <c r="AT18" s="69">
        <v>1.8713965499996588</v>
      </c>
      <c r="AU18" s="69">
        <v>1.7040194060639673</v>
      </c>
      <c r="AV18" s="69">
        <v>1.9044679197285828</v>
      </c>
      <c r="AW18" s="69">
        <v>1.8159760229749624</v>
      </c>
      <c r="AX18" s="69">
        <v>1.9773139639349566</v>
      </c>
      <c r="AY18" s="69"/>
      <c r="AZ18" s="69">
        <f t="shared" si="38"/>
        <v>7.2846044206373861E-2</v>
      </c>
      <c r="BA18" s="69">
        <f>'RD T1'!E162</f>
        <v>0.90494204996837024</v>
      </c>
      <c r="BB18" s="69">
        <f t="shared" si="39"/>
        <v>0.9777880941747441</v>
      </c>
      <c r="BD18" t="str">
        <f t="shared" si="40"/>
        <v>35 Business and public service associate professionals</v>
      </c>
      <c r="BE18" s="69">
        <v>5.1774512965390791</v>
      </c>
      <c r="BF18" s="69">
        <v>5.5465844705959553</v>
      </c>
      <c r="BG18" s="69">
        <v>5.6343764426471505</v>
      </c>
      <c r="BH18" s="69">
        <v>5.2591070362310495</v>
      </c>
      <c r="BI18" s="69">
        <v>5.080619845731273</v>
      </c>
      <c r="BJ18" s="69"/>
      <c r="BK18" s="69">
        <f t="shared" si="41"/>
        <v>-0.55375659691587753</v>
      </c>
      <c r="BL18" s="69">
        <f>'RD T1'!E191</f>
        <v>2.1879637658176847</v>
      </c>
      <c r="BM18" s="69">
        <f t="shared" si="42"/>
        <v>1.6342071689018072</v>
      </c>
      <c r="BO18" t="str">
        <f t="shared" si="43"/>
        <v>35 Business and public service associate professionals</v>
      </c>
      <c r="BP18" s="69">
        <v>4.7226752171239301</v>
      </c>
      <c r="BQ18" s="69">
        <v>4.8011439988853972</v>
      </c>
      <c r="BR18" s="69">
        <v>4.4367425130193014</v>
      </c>
      <c r="BS18" s="69">
        <v>4.1168012581204625</v>
      </c>
      <c r="BT18" s="69">
        <v>3.4320132319407879</v>
      </c>
      <c r="BU18" s="69"/>
      <c r="BV18" s="69">
        <f t="shared" si="44"/>
        <v>-1.0047292810785136</v>
      </c>
      <c r="BW18" s="69">
        <f>'RD T1'!E220</f>
        <v>1.6348367196035041</v>
      </c>
      <c r="BX18" s="69">
        <f t="shared" si="45"/>
        <v>0.63010743852499052</v>
      </c>
      <c r="BZ18" t="str">
        <f t="shared" si="46"/>
        <v>35 Business and public service associate professionals</v>
      </c>
      <c r="CA18" s="69">
        <v>2.8703260018515175</v>
      </c>
      <c r="CB18" s="69">
        <v>2.6403045496580875</v>
      </c>
      <c r="CC18" s="69">
        <v>2.5974272801768752</v>
      </c>
      <c r="CD18" s="69">
        <v>1.9844466784585524</v>
      </c>
      <c r="CE18" s="69">
        <v>1.1766217597741591</v>
      </c>
      <c r="CF18" s="69"/>
      <c r="CG18" s="69">
        <f t="shared" si="47"/>
        <v>-1.4208055204027161</v>
      </c>
      <c r="CH18" s="69">
        <f>'RD T1'!E249</f>
        <v>0.65653805406865051</v>
      </c>
      <c r="CI18" s="69">
        <f t="shared" si="48"/>
        <v>-0.76426746633406561</v>
      </c>
      <c r="CK18" t="str">
        <f t="shared" si="49"/>
        <v>35 Business and public service associate professionals</v>
      </c>
      <c r="CL18" s="69">
        <v>0.89496565362355951</v>
      </c>
      <c r="CM18" s="69">
        <v>0.84302760214692329</v>
      </c>
      <c r="CN18" s="69">
        <v>0.97113682335327389</v>
      </c>
      <c r="CO18" s="69">
        <v>0.61984734451193502</v>
      </c>
      <c r="CP18" s="69">
        <v>0.57013519302864279</v>
      </c>
      <c r="CQ18" s="69"/>
      <c r="CR18" s="69">
        <f t="shared" si="50"/>
        <v>-0.4010016303246311</v>
      </c>
      <c r="CS18" s="69">
        <f>'RD T1'!E278</f>
        <v>0.21611210438406864</v>
      </c>
      <c r="CT18" s="69">
        <f t="shared" si="51"/>
        <v>-0.18488952594056246</v>
      </c>
    </row>
    <row r="19" spans="1:98" x14ac:dyDescent="0.25">
      <c r="A19" s="10" t="str">
        <f>name!D15</f>
        <v>41 Administrative occupations</v>
      </c>
      <c r="B19" s="69">
        <v>0.21886835443276997</v>
      </c>
      <c r="C19" s="69">
        <v>0.26620884302063952</v>
      </c>
      <c r="D19" s="69">
        <v>0.28037837176089742</v>
      </c>
      <c r="E19" s="69">
        <v>0.35209789878138492</v>
      </c>
      <c r="F19" s="69">
        <v>0.57616271652849149</v>
      </c>
      <c r="G19" s="11"/>
      <c r="H19" s="69">
        <f t="shared" si="26"/>
        <v>0.29578434476759408</v>
      </c>
      <c r="I19" s="69">
        <f>'RD T1'!E47</f>
        <v>0.20508034400410954</v>
      </c>
      <c r="J19" s="69">
        <f t="shared" si="27"/>
        <v>0.50086468877170365</v>
      </c>
      <c r="L19" t="str">
        <f t="shared" si="28"/>
        <v>41 Administrative occupations</v>
      </c>
      <c r="M19" s="69">
        <v>2.0835176181443762</v>
      </c>
      <c r="N19" s="69">
        <v>2.6772778056750632</v>
      </c>
      <c r="O19" s="69">
        <v>2.9256183633396677</v>
      </c>
      <c r="P19" s="69">
        <v>3.5247591628515744</v>
      </c>
      <c r="Q19" s="69">
        <v>5.0773610313832895</v>
      </c>
      <c r="R19" s="11"/>
      <c r="S19" s="69">
        <f t="shared" si="29"/>
        <v>2.1517426680436218</v>
      </c>
      <c r="T19" s="69">
        <f>'RD T1'!E76</f>
        <v>2.0026182004208701</v>
      </c>
      <c r="U19" s="69">
        <f t="shared" si="30"/>
        <v>4.1543608684644919</v>
      </c>
      <c r="W19" t="str">
        <f t="shared" si="31"/>
        <v>41 Administrative occupations</v>
      </c>
      <c r="X19" s="69">
        <v>8.4810004813417468</v>
      </c>
      <c r="Y19" s="69">
        <v>7.6268101230053116</v>
      </c>
      <c r="Z19" s="69">
        <v>9.2235756139023692</v>
      </c>
      <c r="AA19" s="69">
        <v>9.3708355395663148</v>
      </c>
      <c r="AB19" s="69">
        <v>10.785310019255533</v>
      </c>
      <c r="AC19" s="69"/>
      <c r="AD19" s="69">
        <f t="shared" si="32"/>
        <v>1.5617344053531639</v>
      </c>
      <c r="AE19" s="69">
        <f>'RD T1'!E105</f>
        <v>5.5566193103814214</v>
      </c>
      <c r="AF19" s="69">
        <f t="shared" si="33"/>
        <v>7.1183537157345853</v>
      </c>
      <c r="AH19" t="str">
        <f t="shared" si="34"/>
        <v>41 Administrative occupations</v>
      </c>
      <c r="AI19" s="69">
        <v>2.9647040605496322</v>
      </c>
      <c r="AJ19" s="69">
        <v>2.8054388220369648</v>
      </c>
      <c r="AK19" s="69">
        <v>3.4346213323330841</v>
      </c>
      <c r="AL19" s="69">
        <v>3.4379806040439087</v>
      </c>
      <c r="AM19" s="69">
        <v>3.9690039658387128</v>
      </c>
      <c r="AN19" s="69"/>
      <c r="AO19" s="69">
        <f t="shared" si="35"/>
        <v>0.53438263350562876</v>
      </c>
      <c r="AP19" s="69">
        <f>'RD T1'!E134</f>
        <v>2.1805871555650693</v>
      </c>
      <c r="AQ19" s="69">
        <f t="shared" si="36"/>
        <v>2.7149697890706981</v>
      </c>
      <c r="AS19" t="str">
        <f t="shared" si="37"/>
        <v>41 Administrative occupations</v>
      </c>
      <c r="AT19" s="69">
        <v>2.9932153826778731</v>
      </c>
      <c r="AU19" s="69">
        <v>2.59441685933042</v>
      </c>
      <c r="AV19" s="69">
        <v>3.1969532295214331</v>
      </c>
      <c r="AW19" s="69">
        <v>3.0936620506942711</v>
      </c>
      <c r="AX19" s="69">
        <v>3.4939386333101408</v>
      </c>
      <c r="AY19" s="69"/>
      <c r="AZ19" s="69">
        <f t="shared" si="38"/>
        <v>0.29698540378870764</v>
      </c>
      <c r="BA19" s="69">
        <f>'RD T1'!E163</f>
        <v>1.7954298744258137</v>
      </c>
      <c r="BB19" s="69">
        <f t="shared" si="39"/>
        <v>2.0924152782145216</v>
      </c>
      <c r="BD19" t="str">
        <f t="shared" si="40"/>
        <v>41 Administrative occupations</v>
      </c>
      <c r="BE19" s="69">
        <v>9.9689734717021228</v>
      </c>
      <c r="BF19" s="69">
        <v>9.685147951341845</v>
      </c>
      <c r="BG19" s="69">
        <v>9.9112151775198516</v>
      </c>
      <c r="BH19" s="69">
        <v>8.9837822341152549</v>
      </c>
      <c r="BI19" s="69">
        <v>7.8742772648958068</v>
      </c>
      <c r="BJ19" s="69"/>
      <c r="BK19" s="69">
        <f t="shared" si="41"/>
        <v>-2.0369379126240448</v>
      </c>
      <c r="BL19" s="69">
        <f>'RD T1'!E192</f>
        <v>4.0255025903586343</v>
      </c>
      <c r="BM19" s="69">
        <f t="shared" si="42"/>
        <v>1.9885646777345896</v>
      </c>
      <c r="BO19" t="str">
        <f t="shared" si="43"/>
        <v>41 Administrative occupations</v>
      </c>
      <c r="BP19" s="69">
        <v>13.245778171663165</v>
      </c>
      <c r="BQ19" s="69">
        <v>12.3449603816674</v>
      </c>
      <c r="BR19" s="69">
        <v>11.401931318881392</v>
      </c>
      <c r="BS19" s="69">
        <v>10.400863161226498</v>
      </c>
      <c r="BT19" s="69">
        <v>7.6736150087425194</v>
      </c>
      <c r="BU19" s="69"/>
      <c r="BV19" s="69">
        <f t="shared" si="44"/>
        <v>-3.7283163101388723</v>
      </c>
      <c r="BW19" s="69">
        <f>'RD T1'!E221</f>
        <v>4.3686181525236059</v>
      </c>
      <c r="BX19" s="69">
        <f t="shared" si="45"/>
        <v>0.64030184238473353</v>
      </c>
      <c r="BZ19" t="str">
        <f t="shared" si="46"/>
        <v>41 Administrative occupations</v>
      </c>
      <c r="CA19" s="69">
        <v>6.7219358265730911</v>
      </c>
      <c r="CB19" s="69">
        <v>5.4168361975942094</v>
      </c>
      <c r="CC19" s="69">
        <v>4.9099988529902703</v>
      </c>
      <c r="CD19" s="69">
        <v>3.3722579065010869</v>
      </c>
      <c r="CE19" s="69">
        <v>1.2185045057924364</v>
      </c>
      <c r="CF19" s="69"/>
      <c r="CG19" s="69">
        <f t="shared" si="47"/>
        <v>-3.6914943471978336</v>
      </c>
      <c r="CH19" s="69">
        <f>'RD T1'!E250</f>
        <v>1.0606634422611847</v>
      </c>
      <c r="CI19" s="69">
        <f t="shared" si="48"/>
        <v>-2.6308309049366487</v>
      </c>
      <c r="CK19" t="str">
        <f t="shared" si="49"/>
        <v>41 Administrative occupations</v>
      </c>
      <c r="CL19" s="69">
        <v>2.4604060895733624</v>
      </c>
      <c r="CM19" s="69">
        <v>1.7480548625745527</v>
      </c>
      <c r="CN19" s="69">
        <v>2.033247315039465</v>
      </c>
      <c r="CO19" s="69">
        <v>1.314055964491909</v>
      </c>
      <c r="CP19" s="69">
        <v>0.94049894170465032</v>
      </c>
      <c r="CQ19" s="69"/>
      <c r="CR19" s="69">
        <f t="shared" si="50"/>
        <v>-1.0927483733348147</v>
      </c>
      <c r="CS19" s="69">
        <f>'RD T1'!E279</f>
        <v>0.4177727523435445</v>
      </c>
      <c r="CT19" s="69">
        <f t="shared" si="51"/>
        <v>-0.67497562099127018</v>
      </c>
    </row>
    <row r="20" spans="1:98" x14ac:dyDescent="0.25">
      <c r="A20" s="10" t="str">
        <f>name!D16</f>
        <v>42 Secretarial and related occupations</v>
      </c>
      <c r="B20" s="69">
        <v>1.6011380874896973E-2</v>
      </c>
      <c r="C20" s="69">
        <v>1.7538786351069178E-2</v>
      </c>
      <c r="D20" s="69">
        <v>2.0592996826313111E-2</v>
      </c>
      <c r="E20" s="69">
        <v>3.1266696527360534E-2</v>
      </c>
      <c r="F20" s="69">
        <v>4.8424425432305941E-2</v>
      </c>
      <c r="G20" s="11"/>
      <c r="H20" s="69">
        <f t="shared" si="26"/>
        <v>2.7831428605992831E-2</v>
      </c>
      <c r="I20" s="69">
        <f>'RD T1'!E48</f>
        <v>2.0544423047864972E-2</v>
      </c>
      <c r="J20" s="69">
        <f t="shared" si="27"/>
        <v>4.8375851653857799E-2</v>
      </c>
      <c r="L20" t="str">
        <f t="shared" si="28"/>
        <v>42 Secretarial and related occupations</v>
      </c>
      <c r="M20" s="69">
        <v>0.33265815111931052</v>
      </c>
      <c r="N20" s="69">
        <v>0.41052479962124716</v>
      </c>
      <c r="O20" s="69">
        <v>0.47344891711814269</v>
      </c>
      <c r="P20" s="69">
        <v>0.6661480840091154</v>
      </c>
      <c r="Q20" s="69">
        <v>0.56744855985751008</v>
      </c>
      <c r="R20" s="11"/>
      <c r="S20" s="69">
        <f t="shared" si="29"/>
        <v>9.3999642739367395E-2</v>
      </c>
      <c r="T20" s="69">
        <f>'RD T1'!E77</f>
        <v>0.33180878688176219</v>
      </c>
      <c r="U20" s="69">
        <f t="shared" si="30"/>
        <v>0.42580842962112958</v>
      </c>
      <c r="W20" t="str">
        <f t="shared" si="31"/>
        <v>42 Secretarial and related occupations</v>
      </c>
      <c r="X20" s="69">
        <v>1.3182841946683541</v>
      </c>
      <c r="Y20" s="69">
        <v>1.1402294109133231</v>
      </c>
      <c r="Z20" s="69">
        <v>1.3748722979682471</v>
      </c>
      <c r="AA20" s="69">
        <v>1.88537571450978</v>
      </c>
      <c r="AB20" s="69">
        <v>2.4167750223889675</v>
      </c>
      <c r="AC20" s="69"/>
      <c r="AD20" s="69">
        <f t="shared" si="32"/>
        <v>1.0419027244207204</v>
      </c>
      <c r="AE20" s="69">
        <f>'RD T1'!E106</f>
        <v>1.270651672180318</v>
      </c>
      <c r="AF20" s="69">
        <f t="shared" si="33"/>
        <v>2.3125543966010387</v>
      </c>
      <c r="AH20" t="str">
        <f t="shared" si="34"/>
        <v>42 Secretarial and related occupations</v>
      </c>
      <c r="AI20" s="69">
        <v>0.64029406261610877</v>
      </c>
      <c r="AJ20" s="69">
        <v>0.56331652295835188</v>
      </c>
      <c r="AK20" s="69">
        <v>0.70683547234435118</v>
      </c>
      <c r="AL20" s="69">
        <v>0.87957593930953237</v>
      </c>
      <c r="AM20" s="69">
        <v>0.92363552789350878</v>
      </c>
      <c r="AN20" s="69"/>
      <c r="AO20" s="69">
        <f t="shared" si="35"/>
        <v>0.2168000555491576</v>
      </c>
      <c r="AP20" s="69">
        <f>'RD T1'!E135</f>
        <v>0.53822228549575446</v>
      </c>
      <c r="AQ20" s="69">
        <f t="shared" si="36"/>
        <v>0.75502234104491206</v>
      </c>
      <c r="AS20" t="str">
        <f t="shared" si="37"/>
        <v>42 Secretarial and related occupations</v>
      </c>
      <c r="AT20" s="69">
        <v>0.54666442258614267</v>
      </c>
      <c r="AU20" s="69">
        <v>0.44465818125912565</v>
      </c>
      <c r="AV20" s="69">
        <v>0.55514762100387227</v>
      </c>
      <c r="AW20" s="69">
        <v>0.6578370446308931</v>
      </c>
      <c r="AX20" s="69">
        <v>0.68538317561614681</v>
      </c>
      <c r="AY20" s="69"/>
      <c r="AZ20" s="69">
        <f t="shared" si="38"/>
        <v>0.13023555461227454</v>
      </c>
      <c r="BA20" s="69">
        <f>'RD T1'!E164</f>
        <v>0.37641645375183885</v>
      </c>
      <c r="BB20" s="69">
        <f t="shared" si="39"/>
        <v>0.50665200836411339</v>
      </c>
      <c r="BD20" t="str">
        <f t="shared" si="40"/>
        <v>42 Secretarial and related occupations</v>
      </c>
      <c r="BE20" s="69">
        <v>2.0327843821946145</v>
      </c>
      <c r="BF20" s="69">
        <v>1.8860342364644616</v>
      </c>
      <c r="BG20" s="69">
        <v>1.7795463417217814</v>
      </c>
      <c r="BH20" s="69">
        <v>1.990138098299999</v>
      </c>
      <c r="BI20" s="69">
        <v>0.68443801443482111</v>
      </c>
      <c r="BJ20" s="69"/>
      <c r="BK20" s="69">
        <f t="shared" si="41"/>
        <v>-1.0951083272869604</v>
      </c>
      <c r="BL20" s="69">
        <f>'RD T1'!E193</f>
        <v>0.73101462619321322</v>
      </c>
      <c r="BM20" s="69">
        <f t="shared" si="42"/>
        <v>-0.36409370109374717</v>
      </c>
      <c r="BO20" t="str">
        <f t="shared" si="43"/>
        <v>42 Secretarial and related occupations</v>
      </c>
      <c r="BP20" s="69">
        <v>2.9525112115322987</v>
      </c>
      <c r="BQ20" s="69">
        <v>2.4225315617221295</v>
      </c>
      <c r="BR20" s="69">
        <v>2.0327402399299297</v>
      </c>
      <c r="BS20" s="69">
        <v>1.7528714024351595</v>
      </c>
      <c r="BT20" s="69">
        <v>0.4822094592268516</v>
      </c>
      <c r="BU20" s="69"/>
      <c r="BV20" s="69">
        <f t="shared" si="44"/>
        <v>-1.5505307807030781</v>
      </c>
      <c r="BW20" s="69">
        <f>'RD T1'!E222</f>
        <v>0.6263982959386194</v>
      </c>
      <c r="BX20" s="69">
        <f t="shared" si="45"/>
        <v>-0.92413248476445875</v>
      </c>
      <c r="BZ20" t="str">
        <f t="shared" si="46"/>
        <v>42 Secretarial and related occupations</v>
      </c>
      <c r="CA20" s="69">
        <v>2.3966285270792795</v>
      </c>
      <c r="CB20" s="69">
        <v>2.039799160789058</v>
      </c>
      <c r="CC20" s="69">
        <v>1.6848815725342332</v>
      </c>
      <c r="CD20" s="69">
        <v>1.3044181028885729</v>
      </c>
      <c r="CE20" s="69">
        <v>0.24921364142973262</v>
      </c>
      <c r="CF20" s="69"/>
      <c r="CG20" s="69">
        <f t="shared" si="47"/>
        <v>-1.4356679311045006</v>
      </c>
      <c r="CH20" s="69">
        <f>'RD T1'!E251</f>
        <v>0.41403336828227499</v>
      </c>
      <c r="CI20" s="69">
        <f t="shared" si="48"/>
        <v>-1.0216345628222256</v>
      </c>
      <c r="CK20" t="str">
        <f t="shared" si="49"/>
        <v>42 Secretarial and related occupations</v>
      </c>
      <c r="CL20" s="69">
        <v>0.76371694653474542</v>
      </c>
      <c r="CM20" s="69">
        <v>0.57023040892136234</v>
      </c>
      <c r="CN20" s="69">
        <v>0.66032392978035137</v>
      </c>
      <c r="CO20" s="69">
        <v>0.58559528594277299</v>
      </c>
      <c r="CP20" s="69">
        <v>0.48264384087760764</v>
      </c>
      <c r="CQ20" s="69"/>
      <c r="CR20" s="69">
        <f t="shared" si="50"/>
        <v>-0.17768008890274373</v>
      </c>
      <c r="CS20" s="69">
        <f>'RD T1'!E280</f>
        <v>0.23340102715501984</v>
      </c>
      <c r="CT20" s="69">
        <f t="shared" si="51"/>
        <v>5.5720938252276114E-2</v>
      </c>
    </row>
    <row r="21" spans="1:98" x14ac:dyDescent="0.25">
      <c r="A21" s="10" t="str">
        <f>name!D17</f>
        <v>51 Skilled agricultural and related trades</v>
      </c>
      <c r="B21" s="69">
        <v>6.4373572753208229E-3</v>
      </c>
      <c r="C21" s="69">
        <v>8.5766930390563101E-3</v>
      </c>
      <c r="D21" s="69">
        <v>6.4725081901144815E-3</v>
      </c>
      <c r="E21" s="69">
        <v>8.206677431136504E-3</v>
      </c>
      <c r="F21" s="69">
        <v>1.5731983663825153E-2</v>
      </c>
      <c r="G21" s="11"/>
      <c r="H21" s="69">
        <f t="shared" si="26"/>
        <v>9.259475473710671E-3</v>
      </c>
      <c r="I21" s="69">
        <f>'RD T1'!E49</f>
        <v>6.3862980094272727E-3</v>
      </c>
      <c r="J21" s="69">
        <f t="shared" si="27"/>
        <v>1.5645773483137945E-2</v>
      </c>
      <c r="L21" t="str">
        <f t="shared" si="28"/>
        <v>51 Skilled agricultural and related trades</v>
      </c>
      <c r="M21" s="69">
        <v>6.0049366594989634E-2</v>
      </c>
      <c r="N21" s="69">
        <v>6.0448766575649314E-2</v>
      </c>
      <c r="O21" s="69">
        <v>5.1006957805719219E-2</v>
      </c>
      <c r="P21" s="69">
        <v>6.2612952062081076E-2</v>
      </c>
      <c r="Q21" s="69">
        <v>8.4036100209355855E-2</v>
      </c>
      <c r="R21" s="11"/>
      <c r="S21" s="69">
        <f t="shared" si="29"/>
        <v>3.3029142403636635E-2</v>
      </c>
      <c r="T21" s="69">
        <f>'RD T1'!E78</f>
        <v>3.5998757412943408E-2</v>
      </c>
      <c r="U21" s="69">
        <f t="shared" si="30"/>
        <v>6.9027899816580043E-2</v>
      </c>
      <c r="W21" t="str">
        <f t="shared" si="31"/>
        <v>51 Skilled agricultural and related trades</v>
      </c>
      <c r="X21" s="69">
        <v>0.50143495329953081</v>
      </c>
      <c r="Y21" s="69">
        <v>0.37215794816625147</v>
      </c>
      <c r="Z21" s="69">
        <v>0.34400352890645813</v>
      </c>
      <c r="AA21" s="69">
        <v>0.39944809225821964</v>
      </c>
      <c r="AB21" s="69">
        <v>0.54036594837729179</v>
      </c>
      <c r="AC21" s="69"/>
      <c r="AD21" s="69">
        <f t="shared" si="32"/>
        <v>0.19636241947083366</v>
      </c>
      <c r="AE21" s="69">
        <f>'RD T1'!E107</f>
        <v>0.29745413495967166</v>
      </c>
      <c r="AF21" s="69">
        <f t="shared" si="33"/>
        <v>0.49381655443050532</v>
      </c>
      <c r="AH21" t="str">
        <f t="shared" si="34"/>
        <v>51 Skilled agricultural and related trades</v>
      </c>
      <c r="AI21" s="69">
        <v>0.18100464711007896</v>
      </c>
      <c r="AJ21" s="69">
        <v>0.15820674700494242</v>
      </c>
      <c r="AK21" s="69">
        <v>0.13707085366700361</v>
      </c>
      <c r="AL21" s="69">
        <v>0.17026725575291096</v>
      </c>
      <c r="AM21" s="69">
        <v>0.23189201513094712</v>
      </c>
      <c r="AN21" s="69"/>
      <c r="AO21" s="69">
        <f t="shared" si="35"/>
        <v>9.482116146394351E-2</v>
      </c>
      <c r="AP21" s="69">
        <f>'RD T1'!E136</f>
        <v>0.13107544765806919</v>
      </c>
      <c r="AQ21" s="69">
        <f t="shared" si="36"/>
        <v>0.2258966091220127</v>
      </c>
      <c r="AS21" t="str">
        <f t="shared" si="37"/>
        <v>51 Skilled agricultural and related trades</v>
      </c>
      <c r="AT21" s="69">
        <v>0.35433668543330582</v>
      </c>
      <c r="AU21" s="69">
        <v>0.30817900586924035</v>
      </c>
      <c r="AV21" s="69">
        <v>0.27327002686508384</v>
      </c>
      <c r="AW21" s="69">
        <v>0.32394589260373197</v>
      </c>
      <c r="AX21" s="69">
        <v>0.49228651633740289</v>
      </c>
      <c r="AY21" s="69"/>
      <c r="AZ21" s="69">
        <f t="shared" si="38"/>
        <v>0.21901648947231905</v>
      </c>
      <c r="BA21" s="69">
        <f>'RD T1'!E165</f>
        <v>0.23181881477128743</v>
      </c>
      <c r="BB21" s="69">
        <f t="shared" si="39"/>
        <v>0.45083530424360652</v>
      </c>
      <c r="BD21" t="str">
        <f t="shared" si="40"/>
        <v>51 Skilled agricultural and related trades</v>
      </c>
      <c r="BE21" s="69">
        <v>0.57116715584792166</v>
      </c>
      <c r="BF21" s="69">
        <v>0.5553018720495404</v>
      </c>
      <c r="BG21" s="69">
        <v>0.42666535905657843</v>
      </c>
      <c r="BH21" s="69">
        <v>0.44652328815994335</v>
      </c>
      <c r="BI21" s="69">
        <v>0.49268541335930094</v>
      </c>
      <c r="BJ21" s="69"/>
      <c r="BK21" s="69">
        <f t="shared" si="41"/>
        <v>6.6020054302722508E-2</v>
      </c>
      <c r="BL21" s="69">
        <f>'RD T1'!E194</f>
        <v>0.24030875630046547</v>
      </c>
      <c r="BM21" s="69">
        <f t="shared" si="42"/>
        <v>0.30632881060318795</v>
      </c>
      <c r="BO21" t="str">
        <f t="shared" si="43"/>
        <v>51 Skilled agricultural and related trades</v>
      </c>
      <c r="BP21" s="69">
        <v>1.0853020846207397</v>
      </c>
      <c r="BQ21" s="69">
        <v>1.0227847776936387</v>
      </c>
      <c r="BR21" s="69">
        <v>0.76172764556322814</v>
      </c>
      <c r="BS21" s="69">
        <v>0.78371716644910627</v>
      </c>
      <c r="BT21" s="69">
        <v>0.73981035517954241</v>
      </c>
      <c r="BU21" s="69"/>
      <c r="BV21" s="69">
        <f t="shared" si="44"/>
        <v>-2.1917290383685728E-2</v>
      </c>
      <c r="BW21" s="69">
        <f>'RD T1'!E223</f>
        <v>0.43291206883796352</v>
      </c>
      <c r="BX21" s="69">
        <f t="shared" si="45"/>
        <v>0.41099477845427779</v>
      </c>
      <c r="BZ21" t="str">
        <f t="shared" si="46"/>
        <v>51 Skilled agricultural and related trades</v>
      </c>
      <c r="CA21" s="69">
        <v>0.8341680566479569</v>
      </c>
      <c r="CB21" s="69">
        <v>0.72166755467820709</v>
      </c>
      <c r="CC21" s="69">
        <v>0.7156809434132323</v>
      </c>
      <c r="CD21" s="69">
        <v>0.72553352077990452</v>
      </c>
      <c r="CE21" s="69">
        <v>0.86961889453615648</v>
      </c>
      <c r="CF21" s="69"/>
      <c r="CG21" s="69">
        <f t="shared" si="47"/>
        <v>0.15393795112292419</v>
      </c>
      <c r="CH21" s="69">
        <f>'RD T1'!E252</f>
        <v>0.3589812114421837</v>
      </c>
      <c r="CI21" s="69">
        <f t="shared" si="48"/>
        <v>0.51291916256510794</v>
      </c>
      <c r="CK21" t="str">
        <f t="shared" si="49"/>
        <v>51 Skilled agricultural and related trades</v>
      </c>
      <c r="CL21" s="69">
        <v>0.73741558389356376</v>
      </c>
      <c r="CM21" s="69">
        <v>0.59926791090744769</v>
      </c>
      <c r="CN21" s="69">
        <v>0.47001644394319703</v>
      </c>
      <c r="CO21" s="69">
        <v>0.39671138735807537</v>
      </c>
      <c r="CP21" s="69">
        <v>0.24753592205885008</v>
      </c>
      <c r="CQ21" s="69"/>
      <c r="CR21" s="69">
        <f t="shared" si="50"/>
        <v>-0.22248052188434694</v>
      </c>
      <c r="CS21" s="69">
        <f>'RD T1'!E281</f>
        <v>0.13654118636206877</v>
      </c>
      <c r="CT21" s="69">
        <f t="shared" si="51"/>
        <v>-8.5939335522278171E-2</v>
      </c>
    </row>
    <row r="22" spans="1:98" x14ac:dyDescent="0.25">
      <c r="A22" s="10" t="str">
        <f>name!D18</f>
        <v>52 Skilled metal, electrical and electronic trades</v>
      </c>
      <c r="B22" s="69">
        <v>1.7564368201697527E-2</v>
      </c>
      <c r="C22" s="69">
        <v>1.5367076663070517E-2</v>
      </c>
      <c r="D22" s="69">
        <v>1.1528215041746498E-2</v>
      </c>
      <c r="E22" s="69">
        <v>1.4588575022877096E-2</v>
      </c>
      <c r="F22" s="69">
        <v>2.1420243778881097E-2</v>
      </c>
      <c r="G22" s="11"/>
      <c r="H22" s="69">
        <f t="shared" si="26"/>
        <v>9.8920287371345988E-3</v>
      </c>
      <c r="I22" s="69">
        <f>'RD T1'!E50</f>
        <v>6.7160662525239841E-3</v>
      </c>
      <c r="J22" s="69">
        <f t="shared" si="27"/>
        <v>1.6608094989658581E-2</v>
      </c>
      <c r="L22" t="str">
        <f t="shared" si="28"/>
        <v>52 Skilled metal, electrical and electronic trades</v>
      </c>
      <c r="M22" s="69">
        <v>0.40513915141708717</v>
      </c>
      <c r="N22" s="69">
        <v>0.51512517624510545</v>
      </c>
      <c r="O22" s="69">
        <v>0.35303262568292743</v>
      </c>
      <c r="P22" s="69">
        <v>0.59146858689654658</v>
      </c>
      <c r="Q22" s="69">
        <v>0.9757572437613331</v>
      </c>
      <c r="R22" s="11"/>
      <c r="S22" s="69">
        <f t="shared" si="29"/>
        <v>0.62272461807840562</v>
      </c>
      <c r="T22" s="69">
        <f>'RD T1'!E79</f>
        <v>0.31625333852041959</v>
      </c>
      <c r="U22" s="69">
        <f t="shared" si="30"/>
        <v>0.93897795659882521</v>
      </c>
      <c r="W22" t="str">
        <f t="shared" si="31"/>
        <v>52 Skilled metal, electrical and electronic trades</v>
      </c>
      <c r="X22" s="69">
        <v>1.31430356730234</v>
      </c>
      <c r="Y22" s="69">
        <v>1.2206777558925153</v>
      </c>
      <c r="Z22" s="69">
        <v>0.96488283806357245</v>
      </c>
      <c r="AA22" s="69">
        <v>1.2052656585354644</v>
      </c>
      <c r="AB22" s="69">
        <v>1.4804012094503056</v>
      </c>
      <c r="AC22" s="69"/>
      <c r="AD22" s="69">
        <f t="shared" si="32"/>
        <v>0.51551837138673318</v>
      </c>
      <c r="AE22" s="69">
        <f>'RD T1'!E108</f>
        <v>0.62208783099434561</v>
      </c>
      <c r="AF22" s="69">
        <f t="shared" si="33"/>
        <v>1.1376062023810789</v>
      </c>
      <c r="AH22" t="str">
        <f t="shared" si="34"/>
        <v>52 Skilled metal, electrical and electronic trades</v>
      </c>
      <c r="AI22" s="69">
        <v>0.50783586296821004</v>
      </c>
      <c r="AJ22" s="69">
        <v>0.44814052294888657</v>
      </c>
      <c r="AK22" s="69">
        <v>0.37418590687256814</v>
      </c>
      <c r="AL22" s="69">
        <v>0.40174749821329764</v>
      </c>
      <c r="AM22" s="69">
        <v>0.47556892663035999</v>
      </c>
      <c r="AN22" s="69"/>
      <c r="AO22" s="69">
        <f t="shared" si="35"/>
        <v>0.10138301975779185</v>
      </c>
      <c r="AP22" s="69">
        <f>'RD T1'!E137</f>
        <v>0.18217183318065652</v>
      </c>
      <c r="AQ22" s="69">
        <f t="shared" si="36"/>
        <v>0.2835548529384484</v>
      </c>
      <c r="AS22" t="str">
        <f t="shared" si="37"/>
        <v>52 Skilled metal, electrical and electronic trades</v>
      </c>
      <c r="AT22" s="69">
        <v>2.3455198478066741</v>
      </c>
      <c r="AU22" s="69">
        <v>2.0764882654130279</v>
      </c>
      <c r="AV22" s="69">
        <v>1.796186480932439</v>
      </c>
      <c r="AW22" s="69">
        <v>1.8818426077195549</v>
      </c>
      <c r="AX22" s="69">
        <v>2.0771988346486974</v>
      </c>
      <c r="AY22" s="69"/>
      <c r="AZ22" s="69">
        <f t="shared" si="38"/>
        <v>0.28101235371625832</v>
      </c>
      <c r="BA22" s="69">
        <f>'RD T1'!E166</f>
        <v>0.83353321533271141</v>
      </c>
      <c r="BB22" s="69">
        <f t="shared" si="39"/>
        <v>1.1145455690489698</v>
      </c>
      <c r="BD22" t="str">
        <f t="shared" si="40"/>
        <v>52 Skilled metal, electrical and electronic trades</v>
      </c>
      <c r="BE22" s="69">
        <v>11.118161405746637</v>
      </c>
      <c r="BF22" s="69">
        <v>11.864592535065452</v>
      </c>
      <c r="BG22" s="69">
        <v>9.8620255021604315</v>
      </c>
      <c r="BH22" s="69">
        <v>9.7968509396407022</v>
      </c>
      <c r="BI22" s="69">
        <v>9.3752267748879579</v>
      </c>
      <c r="BJ22" s="69"/>
      <c r="BK22" s="69">
        <f t="shared" si="41"/>
        <v>-0.48679872727247364</v>
      </c>
      <c r="BL22" s="69">
        <f>'RD T1'!E195</f>
        <v>3.3827636346561105</v>
      </c>
      <c r="BM22" s="69">
        <f t="shared" si="42"/>
        <v>2.8959649073836369</v>
      </c>
      <c r="BO22" t="str">
        <f t="shared" si="43"/>
        <v>52 Skilled metal, electrical and electronic trades</v>
      </c>
      <c r="BP22" s="69">
        <v>7.0116454827496506</v>
      </c>
      <c r="BQ22" s="69">
        <v>7.1351602011840294</v>
      </c>
      <c r="BR22" s="69">
        <v>5.7055909426220586</v>
      </c>
      <c r="BS22" s="69">
        <v>5.5834917137025499</v>
      </c>
      <c r="BT22" s="69">
        <v>4.7298831009288369</v>
      </c>
      <c r="BU22" s="69"/>
      <c r="BV22" s="69">
        <f t="shared" si="44"/>
        <v>-0.97570784169322167</v>
      </c>
      <c r="BW22" s="69">
        <f>'RD T1'!E224</f>
        <v>2.0152677374302042</v>
      </c>
      <c r="BX22" s="69">
        <f t="shared" si="45"/>
        <v>1.0395598957369825</v>
      </c>
      <c r="BZ22" t="str">
        <f t="shared" si="46"/>
        <v>52 Skilled metal, electrical and electronic trades</v>
      </c>
      <c r="CA22" s="69">
        <v>3.6894510440718182</v>
      </c>
      <c r="CB22" s="69">
        <v>3.2252013322447608</v>
      </c>
      <c r="CC22" s="69">
        <v>2.8156825579285996</v>
      </c>
      <c r="CD22" s="69">
        <v>2.2649808193049989</v>
      </c>
      <c r="CE22" s="69">
        <v>1.2039884726382997</v>
      </c>
      <c r="CF22" s="69"/>
      <c r="CG22" s="69">
        <f t="shared" si="47"/>
        <v>-1.6116940852902999</v>
      </c>
      <c r="CH22" s="69">
        <f>'RD T1'!E253</f>
        <v>0.6977689570859793</v>
      </c>
      <c r="CI22" s="69">
        <f t="shared" si="48"/>
        <v>-0.91392512820432059</v>
      </c>
      <c r="CK22" t="str">
        <f t="shared" si="49"/>
        <v>52 Skilled metal, electrical and electronic trades</v>
      </c>
      <c r="CL22" s="69">
        <v>2.2130571066553535</v>
      </c>
      <c r="CM22" s="69">
        <v>1.8428843212041937</v>
      </c>
      <c r="CN22" s="69">
        <v>1.4538823398802427</v>
      </c>
      <c r="CO22" s="69">
        <v>0.85000384177067645</v>
      </c>
      <c r="CP22" s="69">
        <v>0.50545583117534265</v>
      </c>
      <c r="CQ22" s="69"/>
      <c r="CR22" s="69">
        <f t="shared" si="50"/>
        <v>-0.94842650870490008</v>
      </c>
      <c r="CS22" s="69">
        <f>'RD T1'!E282</f>
        <v>0.28169425025133688</v>
      </c>
      <c r="CT22" s="69">
        <f t="shared" si="51"/>
        <v>-0.66673225845356321</v>
      </c>
    </row>
    <row r="23" spans="1:98" x14ac:dyDescent="0.25">
      <c r="A23" s="10" t="str">
        <f>name!D19</f>
        <v>53 Skilled construction and building trades</v>
      </c>
      <c r="B23" s="69">
        <v>6.7342071858064725E-3</v>
      </c>
      <c r="C23" s="69">
        <v>5.7092123051908708E-3</v>
      </c>
      <c r="D23" s="69">
        <v>3.4674086733359837E-3</v>
      </c>
      <c r="E23" s="69">
        <v>5.0744540733772903E-3</v>
      </c>
      <c r="F23" s="69">
        <v>5.3318611453630361E-3</v>
      </c>
      <c r="G23" s="11"/>
      <c r="H23" s="69">
        <f t="shared" si="26"/>
        <v>1.8644524720270524E-3</v>
      </c>
      <c r="I23" s="69">
        <f>'RD T1'!E51</f>
        <v>1.999527513812454E-3</v>
      </c>
      <c r="J23" s="69">
        <f t="shared" si="27"/>
        <v>3.8639799858395064E-3</v>
      </c>
      <c r="L23" t="str">
        <f t="shared" si="28"/>
        <v>53 Skilled construction and building trades</v>
      </c>
      <c r="M23" s="69">
        <v>0.15899770229418178</v>
      </c>
      <c r="N23" s="69">
        <v>0.19809568834415969</v>
      </c>
      <c r="O23" s="69">
        <v>0.1400095473322128</v>
      </c>
      <c r="P23" s="69">
        <v>0.20056937724520602</v>
      </c>
      <c r="Q23" s="69">
        <v>0.2931868850179592</v>
      </c>
      <c r="R23" s="11"/>
      <c r="S23" s="69">
        <f t="shared" si="29"/>
        <v>0.1531773376857464</v>
      </c>
      <c r="T23" s="69">
        <f>'RD T1'!E80</f>
        <v>0.10046852279033273</v>
      </c>
      <c r="U23" s="69">
        <f t="shared" si="30"/>
        <v>0.25364586047607912</v>
      </c>
      <c r="W23" t="str">
        <f t="shared" si="31"/>
        <v>53 Skilled construction and building trades</v>
      </c>
      <c r="X23" s="69">
        <v>0.65666214624713437</v>
      </c>
      <c r="Y23" s="69">
        <v>0.60011155020937312</v>
      </c>
      <c r="Z23" s="69">
        <v>0.4838400243245799</v>
      </c>
      <c r="AA23" s="69">
        <v>0.60649251667919435</v>
      </c>
      <c r="AB23" s="69">
        <v>0.69135118855651101</v>
      </c>
      <c r="AC23" s="69"/>
      <c r="AD23" s="69">
        <f t="shared" si="32"/>
        <v>0.20751116423193111</v>
      </c>
      <c r="AE23" s="69">
        <f>'RD T1'!E109</f>
        <v>0.30910550904255019</v>
      </c>
      <c r="AF23" s="69">
        <f t="shared" si="33"/>
        <v>0.51661667327448124</v>
      </c>
      <c r="AH23" t="str">
        <f t="shared" si="34"/>
        <v>53 Skilled construction and building trades</v>
      </c>
      <c r="AI23" s="69">
        <v>0.39029949541675096</v>
      </c>
      <c r="AJ23" s="69">
        <v>0.41947807012202049</v>
      </c>
      <c r="AK23" s="69">
        <v>0.36878146763466302</v>
      </c>
      <c r="AL23" s="69">
        <v>0.43958294515039531</v>
      </c>
      <c r="AM23" s="69">
        <v>0.51256676591531825</v>
      </c>
      <c r="AN23" s="69"/>
      <c r="AO23" s="69">
        <f t="shared" si="35"/>
        <v>0.14378529828065523</v>
      </c>
      <c r="AP23" s="69">
        <f>'RD T1'!E138</f>
        <v>0.24150036891415758</v>
      </c>
      <c r="AQ23" s="69">
        <f t="shared" si="36"/>
        <v>0.38528566719481283</v>
      </c>
      <c r="AS23" t="str">
        <f t="shared" si="37"/>
        <v>53 Skilled construction and building trades</v>
      </c>
      <c r="AT23" s="69">
        <v>0.56146256442753306</v>
      </c>
      <c r="AU23" s="69">
        <v>0.62048946618272227</v>
      </c>
      <c r="AV23" s="69">
        <v>0.53110023725598698</v>
      </c>
      <c r="AW23" s="69">
        <v>0.64952318036181356</v>
      </c>
      <c r="AX23" s="69">
        <v>0.69616157516260357</v>
      </c>
      <c r="AY23" s="69"/>
      <c r="AZ23" s="69">
        <f t="shared" si="38"/>
        <v>0.16506133790661659</v>
      </c>
      <c r="BA23" s="69">
        <f>'RD T1'!E167</f>
        <v>0.33085859523827987</v>
      </c>
      <c r="BB23" s="69">
        <f t="shared" si="39"/>
        <v>0.49591993314489646</v>
      </c>
      <c r="BD23" t="str">
        <f t="shared" si="40"/>
        <v>53 Skilled construction and building trades</v>
      </c>
      <c r="BE23" s="69">
        <v>5.8436268472592019</v>
      </c>
      <c r="BF23" s="69">
        <v>6.8925446863192494</v>
      </c>
      <c r="BG23" s="69">
        <v>5.6663392976927263</v>
      </c>
      <c r="BH23" s="69">
        <v>5.8711752918374831</v>
      </c>
      <c r="BI23" s="69">
        <v>5.2849316992930149</v>
      </c>
      <c r="BJ23" s="69"/>
      <c r="BK23" s="69">
        <f t="shared" si="41"/>
        <v>-0.38140759839971139</v>
      </c>
      <c r="BL23" s="69">
        <f>'RD T1'!E196</f>
        <v>2.1674821892004887</v>
      </c>
      <c r="BM23" s="69">
        <f t="shared" si="42"/>
        <v>1.7860745908007774</v>
      </c>
      <c r="BO23" t="str">
        <f t="shared" si="43"/>
        <v>53 Skilled construction and building trades</v>
      </c>
      <c r="BP23" s="69">
        <v>5.5801011449246278</v>
      </c>
      <c r="BQ23" s="69">
        <v>7.0630385101534818</v>
      </c>
      <c r="BR23" s="69">
        <v>5.5840886683597173</v>
      </c>
      <c r="BS23" s="69">
        <v>6.3896295241247918</v>
      </c>
      <c r="BT23" s="69">
        <v>6.0292212017400342</v>
      </c>
      <c r="BU23" s="69"/>
      <c r="BV23" s="69">
        <f t="shared" si="44"/>
        <v>0.44513253338031689</v>
      </c>
      <c r="BW23" s="69">
        <f>'RD T1'!E225</f>
        <v>2.8566857518852351</v>
      </c>
      <c r="BX23" s="69">
        <f t="shared" si="45"/>
        <v>3.301818285265552</v>
      </c>
      <c r="BZ23" t="str">
        <f t="shared" si="46"/>
        <v>53 Skilled construction and building trades</v>
      </c>
      <c r="CA23" s="69">
        <v>3.0904376169304566</v>
      </c>
      <c r="CB23" s="69">
        <v>3.0879249349215763</v>
      </c>
      <c r="CC23" s="69">
        <v>2.6687277158338927</v>
      </c>
      <c r="CD23" s="69">
        <v>2.3582188122100014</v>
      </c>
      <c r="CE23" s="69">
        <v>1.6485381009165818</v>
      </c>
      <c r="CF23" s="69"/>
      <c r="CG23" s="69">
        <f t="shared" si="47"/>
        <v>-1.0201896149173109</v>
      </c>
      <c r="CH23" s="69">
        <f>'RD T1'!E254</f>
        <v>0.85113236036193218</v>
      </c>
      <c r="CI23" s="69">
        <f t="shared" si="48"/>
        <v>-0.16905725455537868</v>
      </c>
      <c r="CK23" t="str">
        <f t="shared" si="49"/>
        <v>53 Skilled construction and building trades</v>
      </c>
      <c r="CL23" s="69">
        <v>2.387308844175219</v>
      </c>
      <c r="CM23" s="69">
        <v>2.4521648394756759</v>
      </c>
      <c r="CN23" s="69">
        <v>1.9872453518954258</v>
      </c>
      <c r="CO23" s="69">
        <v>1.0330484199043775</v>
      </c>
      <c r="CP23" s="69">
        <v>0.19653028291229421</v>
      </c>
      <c r="CQ23" s="69"/>
      <c r="CR23" s="69">
        <f t="shared" si="50"/>
        <v>-1.7907150689831317</v>
      </c>
      <c r="CS23" s="69">
        <f>'RD T1'!E283</f>
        <v>0.24685475335747425</v>
      </c>
      <c r="CT23" s="69">
        <f t="shared" si="51"/>
        <v>-1.5438603156256574</v>
      </c>
    </row>
    <row r="24" spans="1:98" x14ac:dyDescent="0.25">
      <c r="A24" s="10" t="str">
        <f>name!D20</f>
        <v>54 Textiles, printing and other skilled trades</v>
      </c>
      <c r="B24" s="69">
        <v>3.5008807529354938E-2</v>
      </c>
      <c r="C24" s="69">
        <v>3.5188716921286292E-2</v>
      </c>
      <c r="D24" s="69">
        <v>3.1186021219172549E-2</v>
      </c>
      <c r="E24" s="69">
        <v>3.9921749721549687E-2</v>
      </c>
      <c r="F24" s="69">
        <v>5.1043247674777449E-2</v>
      </c>
      <c r="G24" s="11"/>
      <c r="H24" s="69">
        <f t="shared" si="26"/>
        <v>1.98572264556049E-2</v>
      </c>
      <c r="I24" s="69">
        <f>'RD T1'!E52</f>
        <v>1.9631421442100724E-2</v>
      </c>
      <c r="J24" s="69">
        <f t="shared" si="27"/>
        <v>3.948864789770562E-2</v>
      </c>
      <c r="L24" t="str">
        <f t="shared" si="28"/>
        <v>54 Textiles, printing and other skilled trades</v>
      </c>
      <c r="M24" s="69">
        <v>0.22141870909884503</v>
      </c>
      <c r="N24" s="69">
        <v>0.2826885322854068</v>
      </c>
      <c r="O24" s="69">
        <v>0.30057772310758346</v>
      </c>
      <c r="P24" s="69">
        <v>0.39196022951884107</v>
      </c>
      <c r="Q24" s="69">
        <v>0.59004241910454003</v>
      </c>
      <c r="R24" s="11"/>
      <c r="S24" s="69">
        <f t="shared" si="29"/>
        <v>0.28946469599695657</v>
      </c>
      <c r="T24" s="69">
        <f>'RD T1'!E81</f>
        <v>0.23658098282608275</v>
      </c>
      <c r="U24" s="69">
        <f t="shared" si="30"/>
        <v>0.52604567882303932</v>
      </c>
      <c r="W24" t="str">
        <f t="shared" si="31"/>
        <v>54 Textiles, printing and other skilled trades</v>
      </c>
      <c r="X24" s="69">
        <v>0.69250870517751695</v>
      </c>
      <c r="Y24" s="69">
        <v>0.5844284098479825</v>
      </c>
      <c r="Z24" s="69">
        <v>0.65123166168838897</v>
      </c>
      <c r="AA24" s="69">
        <v>0.77185206434140508</v>
      </c>
      <c r="AB24" s="69">
        <v>0.9708761121511732</v>
      </c>
      <c r="AC24" s="69"/>
      <c r="AD24" s="69">
        <f t="shared" si="32"/>
        <v>0.31964445046278422</v>
      </c>
      <c r="AE24" s="69">
        <f>'RD T1'!E110</f>
        <v>0.46906166962517787</v>
      </c>
      <c r="AF24" s="69">
        <f t="shared" si="33"/>
        <v>0.78870612008796215</v>
      </c>
      <c r="AH24" t="str">
        <f t="shared" si="34"/>
        <v>54 Textiles, printing and other skilled trades</v>
      </c>
      <c r="AI24" s="69">
        <v>0.27083361720052435</v>
      </c>
      <c r="AJ24" s="69">
        <v>0.21095247872492609</v>
      </c>
      <c r="AK24" s="69">
        <v>0.25938767461664808</v>
      </c>
      <c r="AL24" s="69">
        <v>0.26602778368815416</v>
      </c>
      <c r="AM24" s="69">
        <v>0.30966991302618468</v>
      </c>
      <c r="AN24" s="69"/>
      <c r="AO24" s="69">
        <f t="shared" si="35"/>
        <v>5.0282238409536606E-2</v>
      </c>
      <c r="AP24" s="69">
        <f>'RD T1'!E139</f>
        <v>0.16483751618271925</v>
      </c>
      <c r="AQ24" s="69">
        <f t="shared" si="36"/>
        <v>0.21511975459225585</v>
      </c>
      <c r="AS24" t="str">
        <f t="shared" si="37"/>
        <v>54 Textiles, printing and other skilled trades</v>
      </c>
      <c r="AT24" s="69">
        <v>0.31662507612971647</v>
      </c>
      <c r="AU24" s="69">
        <v>0.2486486073543919</v>
      </c>
      <c r="AV24" s="69">
        <v>0.29159308430417796</v>
      </c>
      <c r="AW24" s="69">
        <v>0.31895598937191927</v>
      </c>
      <c r="AX24" s="69">
        <v>0.37278259129695479</v>
      </c>
      <c r="AY24" s="69"/>
      <c r="AZ24" s="69">
        <f t="shared" si="38"/>
        <v>8.1189506992776828E-2</v>
      </c>
      <c r="BA24" s="69">
        <f>'RD T1'!E168</f>
        <v>0.18071971136266321</v>
      </c>
      <c r="BB24" s="69">
        <f t="shared" si="39"/>
        <v>0.26190921835544001</v>
      </c>
      <c r="BD24" t="str">
        <f t="shared" si="40"/>
        <v>54 Textiles, printing and other skilled trades</v>
      </c>
      <c r="BE24" s="69">
        <v>2.1577913751341131</v>
      </c>
      <c r="BF24" s="69">
        <v>2.1359450150858659</v>
      </c>
      <c r="BG24" s="69">
        <v>2.0179638448785147</v>
      </c>
      <c r="BH24" s="69">
        <v>2.2044920088598889</v>
      </c>
      <c r="BI24" s="69">
        <v>2.1982206874186168</v>
      </c>
      <c r="BJ24" s="69"/>
      <c r="BK24" s="69">
        <f t="shared" si="41"/>
        <v>0.1802568425401021</v>
      </c>
      <c r="BL24" s="69">
        <f>'RD T1'!E197</f>
        <v>0.87375186731105892</v>
      </c>
      <c r="BM24" s="69">
        <f t="shared" si="42"/>
        <v>1.054008709851161</v>
      </c>
      <c r="BO24" t="str">
        <f t="shared" si="43"/>
        <v>54 Textiles, printing and other skilled trades</v>
      </c>
      <c r="BP24" s="69">
        <v>2.5057509786763021</v>
      </c>
      <c r="BQ24" s="69">
        <v>2.2131964539764413</v>
      </c>
      <c r="BR24" s="69">
        <v>2.0500579323759345</v>
      </c>
      <c r="BS24" s="69">
        <v>1.9926713880326445</v>
      </c>
      <c r="BT24" s="69">
        <v>1.7522548673602858</v>
      </c>
      <c r="BU24" s="69"/>
      <c r="BV24" s="69">
        <f t="shared" si="44"/>
        <v>-0.29780306501564868</v>
      </c>
      <c r="BW24" s="69">
        <f>'RD T1'!E226</f>
        <v>0.77997673236249487</v>
      </c>
      <c r="BX24" s="69">
        <f t="shared" si="45"/>
        <v>0.48217366734684619</v>
      </c>
      <c r="BZ24" t="str">
        <f t="shared" si="46"/>
        <v>54 Textiles, printing and other skilled trades</v>
      </c>
      <c r="CA24" s="69">
        <v>1.9862887305788939</v>
      </c>
      <c r="CB24" s="69">
        <v>1.6325914688015117</v>
      </c>
      <c r="CC24" s="69">
        <v>1.5818537330810452</v>
      </c>
      <c r="CD24" s="69">
        <v>1.3711124292291872</v>
      </c>
      <c r="CE24" s="69">
        <v>0.82226954634595861</v>
      </c>
      <c r="CF24" s="69"/>
      <c r="CG24" s="69">
        <f t="shared" si="47"/>
        <v>-0.75958418673508654</v>
      </c>
      <c r="CH24" s="69">
        <f>'RD T1'!E255</f>
        <v>0.44136120968111203</v>
      </c>
      <c r="CI24" s="69">
        <f t="shared" si="48"/>
        <v>-0.31822297705397451</v>
      </c>
      <c r="CK24" t="str">
        <f t="shared" si="49"/>
        <v>54 Textiles, printing and other skilled trades</v>
      </c>
      <c r="CL24" s="69">
        <v>1.4828774989012767</v>
      </c>
      <c r="CM24" s="69">
        <v>1.1024655937923729</v>
      </c>
      <c r="CN24" s="69">
        <v>1.1662675996816274</v>
      </c>
      <c r="CO24" s="69">
        <v>0.6440962402348076</v>
      </c>
      <c r="CP24" s="69">
        <v>0.41789198492645169</v>
      </c>
      <c r="CQ24" s="69"/>
      <c r="CR24" s="69">
        <f t="shared" si="50"/>
        <v>-0.74837561475517567</v>
      </c>
      <c r="CS24" s="69">
        <f>'RD T1'!E284</f>
        <v>0.19980220444786551</v>
      </c>
      <c r="CT24" s="69">
        <f t="shared" si="51"/>
        <v>-0.54857341030731011</v>
      </c>
    </row>
    <row r="25" spans="1:98" x14ac:dyDescent="0.25">
      <c r="A25" s="10" t="str">
        <f>name!D21</f>
        <v>61 Caring personal service occupations</v>
      </c>
      <c r="B25" s="69">
        <v>1.9479603654728183E-2</v>
      </c>
      <c r="C25" s="69">
        <v>2.7481363419311795E-2</v>
      </c>
      <c r="D25" s="69">
        <v>2.7545890768822964E-2</v>
      </c>
      <c r="E25" s="69">
        <v>3.8616419637881726E-2</v>
      </c>
      <c r="F25" s="69">
        <v>7.0115469836677657E-2</v>
      </c>
      <c r="G25" s="11"/>
      <c r="H25" s="69">
        <f t="shared" si="26"/>
        <v>4.256957906785469E-2</v>
      </c>
      <c r="I25" s="69">
        <f>'RD T1'!E53</f>
        <v>2.4727812480211359E-2</v>
      </c>
      <c r="J25" s="69">
        <f t="shared" si="27"/>
        <v>6.7297391548066049E-2</v>
      </c>
      <c r="L25" t="str">
        <f t="shared" si="28"/>
        <v>61 Caring personal service occupations</v>
      </c>
      <c r="M25" s="69">
        <v>1.0609127630576516</v>
      </c>
      <c r="N25" s="69">
        <v>1.5914936637647938</v>
      </c>
      <c r="O25" s="69">
        <v>1.6584054165240061</v>
      </c>
      <c r="P25" s="69">
        <v>2.3699989410934865</v>
      </c>
      <c r="Q25" s="69">
        <v>4.5644057918152505</v>
      </c>
      <c r="R25" s="11"/>
      <c r="S25" s="69">
        <f t="shared" si="29"/>
        <v>2.9060003752912444</v>
      </c>
      <c r="T25" s="69">
        <f>'RD T1'!E82</f>
        <v>1.6556886467064373</v>
      </c>
      <c r="U25" s="69">
        <f t="shared" si="30"/>
        <v>4.5616890219976813</v>
      </c>
      <c r="W25" t="str">
        <f t="shared" si="31"/>
        <v>61 Caring personal service occupations</v>
      </c>
      <c r="X25" s="69">
        <v>4.165363798365906</v>
      </c>
      <c r="Y25" s="69">
        <v>4.3548553532433285</v>
      </c>
      <c r="Z25" s="69">
        <v>5.1099599572156196</v>
      </c>
      <c r="AA25" s="69">
        <v>6.0013684087211123</v>
      </c>
      <c r="AB25" s="69">
        <v>7.8829291149856688</v>
      </c>
      <c r="AC25" s="69"/>
      <c r="AD25" s="69">
        <f t="shared" si="32"/>
        <v>2.7729691577700493</v>
      </c>
      <c r="AE25" s="69">
        <f>'RD T1'!E111</f>
        <v>4.3811360585594281</v>
      </c>
      <c r="AF25" s="69">
        <f t="shared" si="33"/>
        <v>7.1541052163294774</v>
      </c>
      <c r="AH25" t="str">
        <f t="shared" si="34"/>
        <v>61 Caring personal service occupations</v>
      </c>
      <c r="AI25" s="69">
        <v>3.7903009313178222</v>
      </c>
      <c r="AJ25" s="69">
        <v>3.5285714341529264</v>
      </c>
      <c r="AK25" s="69">
        <v>4.2090020440052669</v>
      </c>
      <c r="AL25" s="69">
        <v>4.3054824006176702</v>
      </c>
      <c r="AM25" s="69">
        <v>4.8143725867542901</v>
      </c>
      <c r="AN25" s="69"/>
      <c r="AO25" s="69">
        <f t="shared" si="35"/>
        <v>0.60537054274902324</v>
      </c>
      <c r="AP25" s="69">
        <f>'RD T1'!E140</f>
        <v>2.6835728819471512</v>
      </c>
      <c r="AQ25" s="69">
        <f t="shared" si="36"/>
        <v>3.2889434246961744</v>
      </c>
      <c r="AS25" t="str">
        <f t="shared" si="37"/>
        <v>61 Caring personal service occupations</v>
      </c>
      <c r="AT25" s="69">
        <v>1.9546801612946239</v>
      </c>
      <c r="AU25" s="69">
        <v>1.9929100245831051</v>
      </c>
      <c r="AV25" s="69">
        <v>2.3443051289833976</v>
      </c>
      <c r="AW25" s="69">
        <v>2.4478393682031281</v>
      </c>
      <c r="AX25" s="69">
        <v>2.8801056077219327</v>
      </c>
      <c r="AY25" s="69"/>
      <c r="AZ25" s="69">
        <f t="shared" si="38"/>
        <v>0.53580047873853509</v>
      </c>
      <c r="BA25" s="69">
        <f>'RD T1'!E169</f>
        <v>1.5770842145455217</v>
      </c>
      <c r="BB25" s="69">
        <f t="shared" si="39"/>
        <v>2.112884693284057</v>
      </c>
      <c r="BD25" t="str">
        <f t="shared" si="40"/>
        <v>61 Caring personal service occupations</v>
      </c>
      <c r="BE25" s="69">
        <v>12.532243451603595</v>
      </c>
      <c r="BF25" s="69">
        <v>15.197083113635099</v>
      </c>
      <c r="BG25" s="69">
        <v>14.460474639671544</v>
      </c>
      <c r="BH25" s="69">
        <v>16.160377882017869</v>
      </c>
      <c r="BI25" s="69">
        <v>17.741942391267614</v>
      </c>
      <c r="BJ25" s="69"/>
      <c r="BK25" s="69">
        <f t="shared" si="41"/>
        <v>3.28146775159607</v>
      </c>
      <c r="BL25" s="69">
        <f>'RD T1'!E198</f>
        <v>9.2843677634169417</v>
      </c>
      <c r="BM25" s="69">
        <f t="shared" si="42"/>
        <v>12.565835515013012</v>
      </c>
      <c r="BO25" t="str">
        <f t="shared" si="43"/>
        <v>61 Caring personal service occupations</v>
      </c>
      <c r="BP25" s="69">
        <v>11.225085592587137</v>
      </c>
      <c r="BQ25" s="69">
        <v>12.086452827449605</v>
      </c>
      <c r="BR25" s="69">
        <v>9.9932385526142564</v>
      </c>
      <c r="BS25" s="69">
        <v>10.61933637839623</v>
      </c>
      <c r="BT25" s="69">
        <v>8.7775091807280514</v>
      </c>
      <c r="BU25" s="69"/>
      <c r="BV25" s="69">
        <f t="shared" si="44"/>
        <v>-1.215729371886205</v>
      </c>
      <c r="BW25" s="69">
        <f>'RD T1'!E227</f>
        <v>5.2110966385991473</v>
      </c>
      <c r="BX25" s="69">
        <f t="shared" si="45"/>
        <v>3.9953672667129423</v>
      </c>
      <c r="BZ25" t="str">
        <f t="shared" si="46"/>
        <v>61 Caring personal service occupations</v>
      </c>
      <c r="CA25" s="69">
        <v>3.1473594596237886</v>
      </c>
      <c r="CB25" s="69">
        <v>1.7927165266370995</v>
      </c>
      <c r="CC25" s="69">
        <v>1.4750451668680997</v>
      </c>
      <c r="CD25" s="69">
        <v>1.0239435875909955</v>
      </c>
      <c r="CE25" s="69">
        <v>0.75613536444823259</v>
      </c>
      <c r="CF25" s="69"/>
      <c r="CG25" s="69">
        <f t="shared" si="47"/>
        <v>-0.71890980241986713</v>
      </c>
      <c r="CH25" s="69">
        <f>'RD T1'!E256</f>
        <v>0.33244109857612053</v>
      </c>
      <c r="CI25" s="69">
        <f t="shared" si="48"/>
        <v>-0.3864687038437466</v>
      </c>
      <c r="CK25" t="str">
        <f t="shared" si="49"/>
        <v>61 Caring personal service occupations</v>
      </c>
      <c r="CL25" s="69">
        <v>0.65380056020014754</v>
      </c>
      <c r="CM25" s="69">
        <v>0.49030506732883788</v>
      </c>
      <c r="CN25" s="69">
        <v>0.52786891399297475</v>
      </c>
      <c r="CO25" s="69">
        <v>0.42581409845994905</v>
      </c>
      <c r="CP25" s="69">
        <v>0.31900997176620138</v>
      </c>
      <c r="CQ25" s="69"/>
      <c r="CR25" s="69">
        <f t="shared" si="50"/>
        <v>-0.20885894222677337</v>
      </c>
      <c r="CS25" s="69">
        <f>'RD T1'!E285</f>
        <v>0.12090217896294245</v>
      </c>
      <c r="CT25" s="69">
        <f t="shared" si="51"/>
        <v>-8.7956763263830923E-2</v>
      </c>
    </row>
    <row r="26" spans="1:98" x14ac:dyDescent="0.25">
      <c r="A26" s="10" t="str">
        <f>name!D22</f>
        <v>62 Leisure, travel and related personal service occupations</v>
      </c>
      <c r="B26" s="69">
        <v>8.9542089952394065E-3</v>
      </c>
      <c r="C26" s="69">
        <v>1.6092784096552203E-2</v>
      </c>
      <c r="D26" s="69">
        <v>1.721080347992732E-2</v>
      </c>
      <c r="E26" s="69">
        <v>2.4612420125772867E-2</v>
      </c>
      <c r="F26" s="69">
        <v>4.3688609310604178E-2</v>
      </c>
      <c r="G26" s="11"/>
      <c r="H26" s="69">
        <f t="shared" si="26"/>
        <v>2.6477805830676857E-2</v>
      </c>
      <c r="I26" s="69">
        <f>'RD T1'!E54</f>
        <v>1.6383344679811958E-2</v>
      </c>
      <c r="J26" s="69">
        <f t="shared" si="27"/>
        <v>4.2861150510488819E-2</v>
      </c>
      <c r="L26" t="str">
        <f t="shared" si="28"/>
        <v>62 Leisure, travel and related personal service occupations</v>
      </c>
      <c r="M26" s="69">
        <v>0.19355228722469334</v>
      </c>
      <c r="N26" s="69">
        <v>0.23173289459622504</v>
      </c>
      <c r="O26" s="69">
        <v>0.23045229175617399</v>
      </c>
      <c r="P26" s="69">
        <v>0.30044240318143078</v>
      </c>
      <c r="Q26" s="69">
        <v>0.54529228222179449</v>
      </c>
      <c r="R26" s="11"/>
      <c r="S26" s="69">
        <f t="shared" si="29"/>
        <v>0.3148399904656205</v>
      </c>
      <c r="T26" s="69">
        <f>'RD T1'!E83</f>
        <v>0.19671986244522244</v>
      </c>
      <c r="U26" s="69">
        <f t="shared" si="30"/>
        <v>0.51155985291084294</v>
      </c>
      <c r="W26" t="str">
        <f t="shared" si="31"/>
        <v>62 Leisure, travel and related personal service occupations</v>
      </c>
      <c r="X26" s="69">
        <v>0.8952063063129102</v>
      </c>
      <c r="Y26" s="69">
        <v>0.8823035579097096</v>
      </c>
      <c r="Z26" s="69">
        <v>0.9316710060589849</v>
      </c>
      <c r="AA26" s="69">
        <v>1.1482691910921718</v>
      </c>
      <c r="AB26" s="69">
        <v>1.6309213811533314</v>
      </c>
      <c r="AC26" s="69"/>
      <c r="AD26" s="69">
        <f t="shared" si="32"/>
        <v>0.69925037509434651</v>
      </c>
      <c r="AE26" s="69">
        <f>'RD T1'!E112</f>
        <v>0.803993219755882</v>
      </c>
      <c r="AF26" s="69">
        <f t="shared" si="33"/>
        <v>1.5032435948502285</v>
      </c>
      <c r="AH26" t="str">
        <f t="shared" si="34"/>
        <v>62 Leisure, travel and related personal service occupations</v>
      </c>
      <c r="AI26" s="69">
        <v>0.60701900429181765</v>
      </c>
      <c r="AJ26" s="69">
        <v>0.57843426580870283</v>
      </c>
      <c r="AK26" s="69">
        <v>0.62365191174702128</v>
      </c>
      <c r="AL26" s="69">
        <v>0.71082691570784173</v>
      </c>
      <c r="AM26" s="69">
        <v>0.96426712745043741</v>
      </c>
      <c r="AN26" s="69"/>
      <c r="AO26" s="69">
        <f t="shared" si="35"/>
        <v>0.34061521570341613</v>
      </c>
      <c r="AP26" s="69">
        <f>'RD T1'!E141</f>
        <v>0.49777497841418195</v>
      </c>
      <c r="AQ26" s="69">
        <f t="shared" si="36"/>
        <v>0.83839019411759808</v>
      </c>
      <c r="AS26" t="str">
        <f t="shared" si="37"/>
        <v>62 Leisure, travel and related personal service occupations</v>
      </c>
      <c r="AT26" s="69">
        <v>0.70032400642643233</v>
      </c>
      <c r="AU26" s="69">
        <v>0.64992732146940513</v>
      </c>
      <c r="AV26" s="69">
        <v>0.72244168194773084</v>
      </c>
      <c r="AW26" s="69">
        <v>0.85686857330882349</v>
      </c>
      <c r="AX26" s="69">
        <v>1.1885144089151742</v>
      </c>
      <c r="AY26" s="69"/>
      <c r="AZ26" s="69">
        <f t="shared" si="38"/>
        <v>0.4660727269674434</v>
      </c>
      <c r="BA26" s="69">
        <f>'RD T1'!E170</f>
        <v>0.60144362244318761</v>
      </c>
      <c r="BB26" s="69">
        <f t="shared" si="39"/>
        <v>1.067516349410631</v>
      </c>
      <c r="BD26" t="str">
        <f t="shared" si="40"/>
        <v>62 Leisure, travel and related personal service occupations</v>
      </c>
      <c r="BE26" s="69">
        <v>2.7974037656860555</v>
      </c>
      <c r="BF26" s="69">
        <v>2.4324340226698582</v>
      </c>
      <c r="BG26" s="69">
        <v>2.1838987244933259</v>
      </c>
      <c r="BH26" s="69">
        <v>2.1740521785552702</v>
      </c>
      <c r="BI26" s="69">
        <v>2.0245427211055582</v>
      </c>
      <c r="BJ26" s="69"/>
      <c r="BK26" s="69">
        <f t="shared" si="41"/>
        <v>-0.15935600338776768</v>
      </c>
      <c r="BL26" s="69">
        <f>'RD T1'!E199</f>
        <v>0.95534766673138516</v>
      </c>
      <c r="BM26" s="69">
        <f t="shared" si="42"/>
        <v>0.79599166334361748</v>
      </c>
      <c r="BO26" t="str">
        <f t="shared" si="43"/>
        <v>62 Leisure, travel and related personal service occupations</v>
      </c>
      <c r="BP26" s="69">
        <v>3.2955466375536706</v>
      </c>
      <c r="BQ26" s="69">
        <v>2.8730015706520571</v>
      </c>
      <c r="BR26" s="69">
        <v>2.3202267500962215</v>
      </c>
      <c r="BS26" s="69">
        <v>2.3174512026658789</v>
      </c>
      <c r="BT26" s="69">
        <v>1.895700523068389</v>
      </c>
      <c r="BU26" s="69"/>
      <c r="BV26" s="69">
        <f t="shared" si="44"/>
        <v>-0.42452622702783249</v>
      </c>
      <c r="BW26" s="69">
        <f>'RD T1'!E228</f>
        <v>1.0743708375655978</v>
      </c>
      <c r="BX26" s="69">
        <f t="shared" si="45"/>
        <v>0.64984461053776532</v>
      </c>
      <c r="BZ26" t="str">
        <f t="shared" si="46"/>
        <v>62 Leisure, travel and related personal service occupations</v>
      </c>
      <c r="CA26" s="69">
        <v>1.9450399482126144</v>
      </c>
      <c r="CB26" s="69">
        <v>1.6439880254009576</v>
      </c>
      <c r="CC26" s="69">
        <v>1.3866278045761966</v>
      </c>
      <c r="CD26" s="69">
        <v>1.2820906412034723</v>
      </c>
      <c r="CE26" s="69">
        <v>0.84984581292879036</v>
      </c>
      <c r="CF26" s="69"/>
      <c r="CG26" s="69">
        <f t="shared" si="47"/>
        <v>-0.53678199164740625</v>
      </c>
      <c r="CH26" s="69">
        <f>'RD T1'!E257</f>
        <v>0.49348237361635905</v>
      </c>
      <c r="CI26" s="69">
        <f t="shared" si="48"/>
        <v>-4.3299618031047205E-2</v>
      </c>
      <c r="CK26" t="str">
        <f t="shared" si="49"/>
        <v>62 Leisure, travel and related personal service occupations</v>
      </c>
      <c r="CL26" s="69">
        <v>1.0392493209526514</v>
      </c>
      <c r="CM26" s="69">
        <v>0.72046344999403689</v>
      </c>
      <c r="CN26" s="69">
        <v>0.73060391387328727</v>
      </c>
      <c r="CO26" s="69">
        <v>0.46318186501342223</v>
      </c>
      <c r="CP26" s="69">
        <v>0.29509170096022452</v>
      </c>
      <c r="CQ26" s="69"/>
      <c r="CR26" s="69">
        <f t="shared" si="50"/>
        <v>-0.43551221291306275</v>
      </c>
      <c r="CS26" s="69">
        <f>'RD T1'!E286</f>
        <v>0.13961432952028571</v>
      </c>
      <c r="CT26" s="69">
        <f t="shared" si="51"/>
        <v>-0.29589788339277701</v>
      </c>
    </row>
    <row r="27" spans="1:98" x14ac:dyDescent="0.25">
      <c r="A27" s="10" t="str">
        <f>name!D23</f>
        <v>63 Community and civil enforcement occupations</v>
      </c>
      <c r="B27" s="69">
        <v>1.0817696944462355E-3</v>
      </c>
      <c r="C27" s="69">
        <v>1.7133587428130865E-3</v>
      </c>
      <c r="D27" s="69">
        <v>1.3368234823267688E-3</v>
      </c>
      <c r="E27" s="69">
        <v>2.0703435535394262E-3</v>
      </c>
      <c r="F27" s="69">
        <v>3.2857102252786658E-3</v>
      </c>
      <c r="G27" s="11"/>
      <c r="H27" s="69">
        <f t="shared" si="26"/>
        <v>1.948886742951897E-3</v>
      </c>
      <c r="I27" s="69">
        <f>'RD T1'!E55</f>
        <v>1.2840258467920937E-3</v>
      </c>
      <c r="J27" s="69">
        <f t="shared" si="27"/>
        <v>3.2329125897439907E-3</v>
      </c>
      <c r="L27" t="str">
        <f t="shared" si="28"/>
        <v>63 Community and civil enforcement occupations</v>
      </c>
      <c r="M27" s="69">
        <v>1.3615316936935004E-2</v>
      </c>
      <c r="N27" s="69">
        <v>1.6349483823643124E-2</v>
      </c>
      <c r="O27" s="69">
        <v>1.6562033742458616E-2</v>
      </c>
      <c r="P27" s="69">
        <v>2.0066238081160492E-2</v>
      </c>
      <c r="Q27" s="69">
        <v>3.302921815920791E-2</v>
      </c>
      <c r="R27" s="11"/>
      <c r="S27" s="69">
        <f t="shared" si="29"/>
        <v>1.6467184416749294E-2</v>
      </c>
      <c r="T27" s="69">
        <f>'RD T1'!E84</f>
        <v>1.2563922631287978E-2</v>
      </c>
      <c r="U27" s="69">
        <f t="shared" si="30"/>
        <v>2.9031107048037273E-2</v>
      </c>
      <c r="W27" t="str">
        <f t="shared" si="31"/>
        <v>63 Community and civil enforcement occupations</v>
      </c>
      <c r="X27" s="69">
        <v>6.4771405025924905E-2</v>
      </c>
      <c r="Y27" s="69">
        <v>6.0752843995789486E-2</v>
      </c>
      <c r="Z27" s="69">
        <v>7.0837531244246119E-2</v>
      </c>
      <c r="AA27" s="69">
        <v>8.1287789822289486E-2</v>
      </c>
      <c r="AB27" s="69">
        <v>0.10368394843299539</v>
      </c>
      <c r="AC27" s="69"/>
      <c r="AD27" s="69">
        <f t="shared" si="32"/>
        <v>3.2846417188749269E-2</v>
      </c>
      <c r="AE27" s="69">
        <f>'RD T1'!E113</f>
        <v>5.8611795888016863E-2</v>
      </c>
      <c r="AF27" s="69">
        <f t="shared" si="33"/>
        <v>9.1458213076766132E-2</v>
      </c>
      <c r="AH27" t="str">
        <f t="shared" si="34"/>
        <v>63 Community and civil enforcement occupations</v>
      </c>
      <c r="AI27" s="69">
        <v>1.9452086428058655E-2</v>
      </c>
      <c r="AJ27" s="69">
        <v>1.6312122462992618E-2</v>
      </c>
      <c r="AK27" s="69">
        <v>2.1585458754856023E-2</v>
      </c>
      <c r="AL27" s="69">
        <v>2.0816486366421558E-2</v>
      </c>
      <c r="AM27" s="69">
        <v>2.7198627608364018E-2</v>
      </c>
      <c r="AN27" s="69"/>
      <c r="AO27" s="69">
        <f t="shared" si="35"/>
        <v>5.6131688535079952E-3</v>
      </c>
      <c r="AP27" s="69">
        <f>'RD T1'!E142</f>
        <v>1.3529145539663872E-2</v>
      </c>
      <c r="AQ27" s="69">
        <f t="shared" si="36"/>
        <v>1.9142314393171867E-2</v>
      </c>
      <c r="AS27" t="str">
        <f t="shared" si="37"/>
        <v>63 Community and civil enforcement occupations</v>
      </c>
      <c r="AT27" s="69">
        <v>1.9718340716966522E-2</v>
      </c>
      <c r="AU27" s="69">
        <v>1.6444689332652866E-2</v>
      </c>
      <c r="AV27" s="69">
        <v>2.1172693385943318E-2</v>
      </c>
      <c r="AW27" s="69">
        <v>1.7983916797638305E-2</v>
      </c>
      <c r="AX27" s="69">
        <v>1.970581087698399E-2</v>
      </c>
      <c r="AY27" s="69"/>
      <c r="AZ27" s="69">
        <f t="shared" si="38"/>
        <v>-1.4668825089593288E-3</v>
      </c>
      <c r="BA27" s="69">
        <f>'RD T1'!E171</f>
        <v>1.2131022949392958E-2</v>
      </c>
      <c r="BB27" s="69">
        <f t="shared" si="39"/>
        <v>1.066414044043363E-2</v>
      </c>
      <c r="BD27" t="str">
        <f t="shared" si="40"/>
        <v>63 Community and civil enforcement occupations</v>
      </c>
      <c r="BE27" s="69">
        <v>7.0731266362809964E-2</v>
      </c>
      <c r="BF27" s="69">
        <v>5.155343906196988E-2</v>
      </c>
      <c r="BG27" s="69">
        <v>7.2364790208030216E-2</v>
      </c>
      <c r="BH27" s="69">
        <v>5.2147387273466871E-2</v>
      </c>
      <c r="BI27" s="69">
        <v>5.9921066290220086E-2</v>
      </c>
      <c r="BJ27" s="69"/>
      <c r="BK27" s="69">
        <f t="shared" si="41"/>
        <v>-1.244372391781013E-2</v>
      </c>
      <c r="BL27" s="69">
        <f>'RD T1'!E200</f>
        <v>2.0706248194531131E-2</v>
      </c>
      <c r="BM27" s="69">
        <f t="shared" si="42"/>
        <v>8.2625242767210005E-3</v>
      </c>
      <c r="BO27" t="str">
        <f t="shared" si="43"/>
        <v>63 Community and civil enforcement occupations</v>
      </c>
      <c r="BP27" s="69">
        <v>0.11154429675316474</v>
      </c>
      <c r="BQ27" s="69">
        <v>9.7927317579137252E-2</v>
      </c>
      <c r="BR27" s="69">
        <v>0.11495203119717823</v>
      </c>
      <c r="BS27" s="69">
        <v>9.6978445759068888E-2</v>
      </c>
      <c r="BT27" s="69">
        <v>0.10195992228595738</v>
      </c>
      <c r="BU27" s="69"/>
      <c r="BV27" s="69">
        <f t="shared" si="44"/>
        <v>-1.2992108911220851E-2</v>
      </c>
      <c r="BW27" s="69">
        <f>'RD T1'!E229</f>
        <v>4.5317467839477765E-2</v>
      </c>
      <c r="BX27" s="69">
        <f t="shared" si="45"/>
        <v>3.2325358928256914E-2</v>
      </c>
      <c r="BZ27" t="str">
        <f t="shared" si="46"/>
        <v>63 Community and civil enforcement occupations</v>
      </c>
      <c r="CA27" s="69">
        <v>9.5883608535917833E-2</v>
      </c>
      <c r="CB27" s="69">
        <v>7.7109827784864318E-2</v>
      </c>
      <c r="CC27" s="69">
        <v>9.623663284197867E-2</v>
      </c>
      <c r="CD27" s="69">
        <v>7.404388137771048E-2</v>
      </c>
      <c r="CE27" s="69">
        <v>6.0176855515982966E-2</v>
      </c>
      <c r="CF27" s="69"/>
      <c r="CG27" s="69">
        <f t="shared" si="47"/>
        <v>-3.6059777325995704E-2</v>
      </c>
      <c r="CH27" s="69">
        <f>'RD T1'!E258</f>
        <v>2.9053363763461897E-2</v>
      </c>
      <c r="CI27" s="69">
        <f t="shared" si="48"/>
        <v>-7.0064135625338073E-3</v>
      </c>
      <c r="CK27" t="str">
        <f t="shared" si="49"/>
        <v>63 Community and civil enforcement occupations</v>
      </c>
      <c r="CL27" s="69">
        <v>4.9872730870807104E-2</v>
      </c>
      <c r="CM27" s="69">
        <v>2.9300161842517512E-2</v>
      </c>
      <c r="CN27" s="69">
        <v>4.2964852679776608E-2</v>
      </c>
      <c r="CO27" s="69">
        <v>1.7378238007267073E-2</v>
      </c>
      <c r="CP27" s="69">
        <v>9.7789020975874146E-3</v>
      </c>
      <c r="CQ27" s="69"/>
      <c r="CR27" s="69">
        <f t="shared" si="50"/>
        <v>-3.3185950582189191E-2</v>
      </c>
      <c r="CS27" s="69">
        <f>'RD T1'!E287</f>
        <v>4.6824878486704143E-3</v>
      </c>
      <c r="CT27" s="69">
        <f t="shared" si="51"/>
        <v>-2.8503462733518777E-2</v>
      </c>
    </row>
    <row r="28" spans="1:98" x14ac:dyDescent="0.25">
      <c r="A28" s="10" t="str">
        <f>name!D24</f>
        <v>71 Sales occupations</v>
      </c>
      <c r="B28" s="69">
        <v>5.137113204431383E-2</v>
      </c>
      <c r="C28" s="69">
        <v>5.8515249272439292E-2</v>
      </c>
      <c r="D28" s="69">
        <v>5.1287922652370276E-2</v>
      </c>
      <c r="E28" s="69">
        <v>6.1006749913064089E-2</v>
      </c>
      <c r="F28" s="69">
        <v>8.6860454830266151E-2</v>
      </c>
      <c r="G28" s="11"/>
      <c r="H28" s="69">
        <f t="shared" si="26"/>
        <v>3.5572532177895876E-2</v>
      </c>
      <c r="I28" s="69">
        <f>'RD T1'!E56</f>
        <v>2.9728403239773195E-2</v>
      </c>
      <c r="J28" s="69">
        <f t="shared" si="27"/>
        <v>6.530093541766907E-2</v>
      </c>
      <c r="L28" t="str">
        <f t="shared" si="28"/>
        <v>71 Sales occupations</v>
      </c>
      <c r="M28" s="69">
        <v>0.79105228257205717</v>
      </c>
      <c r="N28" s="69">
        <v>0.98765865598868674</v>
      </c>
      <c r="O28" s="69">
        <v>0.98037963775967507</v>
      </c>
      <c r="P28" s="69">
        <v>1.2745383507910186</v>
      </c>
      <c r="Q28" s="69">
        <v>2.176970352082372</v>
      </c>
      <c r="R28" s="11"/>
      <c r="S28" s="69">
        <f t="shared" si="29"/>
        <v>1.196590714322697</v>
      </c>
      <c r="T28" s="69">
        <f>'RD T1'!E85</f>
        <v>0.68740843770650939</v>
      </c>
      <c r="U28" s="69">
        <f t="shared" si="30"/>
        <v>1.8839991520292063</v>
      </c>
      <c r="W28" t="str">
        <f t="shared" si="31"/>
        <v>71 Sales occupations</v>
      </c>
      <c r="X28" s="69">
        <v>3.7896892602569423</v>
      </c>
      <c r="Y28" s="69">
        <v>3.4345967241839825</v>
      </c>
      <c r="Z28" s="69">
        <v>3.9362445054311559</v>
      </c>
      <c r="AA28" s="69">
        <v>4.2394290660619509</v>
      </c>
      <c r="AB28" s="69">
        <v>5.4888592953346471</v>
      </c>
      <c r="AC28" s="69"/>
      <c r="AD28" s="69">
        <f t="shared" si="32"/>
        <v>1.5526147899034912</v>
      </c>
      <c r="AE28" s="69">
        <f>'RD T1'!E114</f>
        <v>2.4807111340278563</v>
      </c>
      <c r="AF28" s="69">
        <f t="shared" si="33"/>
        <v>4.033325923931347</v>
      </c>
      <c r="AH28" t="str">
        <f t="shared" si="34"/>
        <v>71 Sales occupations</v>
      </c>
      <c r="AI28" s="69">
        <v>1.2500924494665702</v>
      </c>
      <c r="AJ28" s="69">
        <v>1.104026379043954</v>
      </c>
      <c r="AK28" s="69">
        <v>1.3081398810024805</v>
      </c>
      <c r="AL28" s="69">
        <v>1.3109073700499108</v>
      </c>
      <c r="AM28" s="69">
        <v>1.6120474299114571</v>
      </c>
      <c r="AN28" s="69"/>
      <c r="AO28" s="69">
        <f t="shared" si="35"/>
        <v>0.30390754890897664</v>
      </c>
      <c r="AP28" s="69">
        <f>'RD T1'!E143</f>
        <v>0.7598253339034442</v>
      </c>
      <c r="AQ28" s="69">
        <f t="shared" si="36"/>
        <v>1.0637328828124208</v>
      </c>
      <c r="AS28" t="str">
        <f t="shared" si="37"/>
        <v>71 Sales occupations</v>
      </c>
      <c r="AT28" s="69">
        <v>1.1186726241505676</v>
      </c>
      <c r="AU28" s="69">
        <v>0.96416977486340849</v>
      </c>
      <c r="AV28" s="69">
        <v>1.083501631583806</v>
      </c>
      <c r="AW28" s="69">
        <v>1.0506354560754003</v>
      </c>
      <c r="AX28" s="69">
        <v>1.2406916613324663</v>
      </c>
      <c r="AY28" s="69"/>
      <c r="AZ28" s="69">
        <f t="shared" si="38"/>
        <v>0.15719002974866036</v>
      </c>
      <c r="BA28" s="69">
        <f>'RD T1'!E172</f>
        <v>0.52589197945505761</v>
      </c>
      <c r="BB28" s="69">
        <f t="shared" si="39"/>
        <v>0.68308200920371798</v>
      </c>
      <c r="BD28" t="str">
        <f t="shared" si="40"/>
        <v>71 Sales occupations</v>
      </c>
      <c r="BE28" s="69">
        <v>7.9063108182081123</v>
      </c>
      <c r="BF28" s="69">
        <v>7.7136233457640948</v>
      </c>
      <c r="BG28" s="69">
        <v>7.7432089335941949</v>
      </c>
      <c r="BH28" s="69">
        <v>7.6037457486408382</v>
      </c>
      <c r="BI28" s="69">
        <v>7.6039825602351527</v>
      </c>
      <c r="BJ28" s="69"/>
      <c r="BK28" s="69">
        <f t="shared" si="41"/>
        <v>-0.1392263733590422</v>
      </c>
      <c r="BL28" s="69">
        <f>'RD T1'!E201</f>
        <v>3.3593448309647274</v>
      </c>
      <c r="BM28" s="69">
        <f t="shared" si="42"/>
        <v>3.2201184576056852</v>
      </c>
      <c r="BO28" t="str">
        <f t="shared" si="43"/>
        <v>71 Sales occupations</v>
      </c>
      <c r="BP28" s="69">
        <v>9.3271016515507892</v>
      </c>
      <c r="BQ28" s="69">
        <v>8.4677192379612318</v>
      </c>
      <c r="BR28" s="69">
        <v>7.458609023369581</v>
      </c>
      <c r="BS28" s="69">
        <v>7.0333234368161266</v>
      </c>
      <c r="BT28" s="69">
        <v>5.5503529925703097</v>
      </c>
      <c r="BU28" s="69"/>
      <c r="BV28" s="69">
        <f t="shared" si="44"/>
        <v>-1.9082560307992713</v>
      </c>
      <c r="BW28" s="69">
        <f>'RD T1'!E230</f>
        <v>3.1315507913997083</v>
      </c>
      <c r="BX28" s="69">
        <f t="shared" si="45"/>
        <v>1.223294760600437</v>
      </c>
      <c r="BZ28" t="str">
        <f t="shared" si="46"/>
        <v>71 Sales occupations</v>
      </c>
      <c r="CA28" s="69">
        <v>6.0413233086388498</v>
      </c>
      <c r="CB28" s="69">
        <v>5.1868457897301994</v>
      </c>
      <c r="CC28" s="69">
        <v>4.7380605103744386</v>
      </c>
      <c r="CD28" s="69">
        <v>3.6195631488084175</v>
      </c>
      <c r="CE28" s="69">
        <v>1.4497161004318619</v>
      </c>
      <c r="CF28" s="69"/>
      <c r="CG28" s="69">
        <f t="shared" si="47"/>
        <v>-3.2883444099425767</v>
      </c>
      <c r="CH28" s="69">
        <f>'RD T1'!E259</f>
        <v>1.1075764774206196</v>
      </c>
      <c r="CI28" s="69">
        <f t="shared" si="48"/>
        <v>-2.1807679325219569</v>
      </c>
      <c r="CK28" t="str">
        <f t="shared" si="49"/>
        <v>71 Sales occupations</v>
      </c>
      <c r="CL28" s="69">
        <v>3.948186671464343</v>
      </c>
      <c r="CM28" s="69">
        <v>2.8191003572297877</v>
      </c>
      <c r="CN28" s="69">
        <v>2.8923757794811418</v>
      </c>
      <c r="CO28" s="69">
        <v>1.5340011228584665</v>
      </c>
      <c r="CP28" s="69">
        <v>0.7604249448678333</v>
      </c>
      <c r="CQ28" s="69"/>
      <c r="CR28" s="69">
        <f t="shared" si="50"/>
        <v>-2.1319508346133085</v>
      </c>
      <c r="CS28" s="69">
        <f>'RD T1'!E288</f>
        <v>0.38245188480646541</v>
      </c>
      <c r="CT28" s="69">
        <f t="shared" si="51"/>
        <v>-1.749498949806843</v>
      </c>
    </row>
    <row r="29" spans="1:98" x14ac:dyDescent="0.25">
      <c r="A29" s="10" t="str">
        <f>name!D25</f>
        <v>72 Customer service occupations</v>
      </c>
      <c r="B29" s="69">
        <v>2.6682710499884018E-2</v>
      </c>
      <c r="C29" s="69">
        <v>3.2263244573694873E-2</v>
      </c>
      <c r="D29" s="69">
        <v>3.4145100765402642E-2</v>
      </c>
      <c r="E29" s="69">
        <v>6.1001724772707419E-2</v>
      </c>
      <c r="F29" s="69">
        <v>0.11362055773186625</v>
      </c>
      <c r="G29" s="11"/>
      <c r="H29" s="69">
        <f>F29-D29</f>
        <v>7.9475456966463603E-2</v>
      </c>
      <c r="I29" s="69">
        <f>'RD T1'!E57</f>
        <v>3.2151128398223969E-2</v>
      </c>
      <c r="J29" s="69">
        <f t="shared" si="27"/>
        <v>0.11162658536468757</v>
      </c>
      <c r="L29" t="str">
        <f t="shared" si="28"/>
        <v>72 Customer service occupations</v>
      </c>
      <c r="M29" s="69">
        <v>0.24379802109590176</v>
      </c>
      <c r="N29" s="69">
        <v>0.33563811126897497</v>
      </c>
      <c r="O29" s="69">
        <v>0.35827396547043966</v>
      </c>
      <c r="P29" s="69">
        <v>0.60052683067969315</v>
      </c>
      <c r="Q29" s="69">
        <v>1.0828562028287589</v>
      </c>
      <c r="R29" s="11"/>
      <c r="S29" s="69">
        <f t="shared" si="29"/>
        <v>0.72458223735831928</v>
      </c>
      <c r="T29" s="69">
        <f>'RD T1'!E86</f>
        <v>0.3326868298890322</v>
      </c>
      <c r="U29" s="69">
        <f t="shared" si="30"/>
        <v>1.0572690672473515</v>
      </c>
      <c r="W29" t="str">
        <f t="shared" si="31"/>
        <v>72 Customer service occupations</v>
      </c>
      <c r="X29" s="69">
        <v>1.2612809662940385</v>
      </c>
      <c r="Y29" s="69">
        <v>1.186836417279111</v>
      </c>
      <c r="Z29" s="69">
        <v>1.4235832342864903</v>
      </c>
      <c r="AA29" s="69">
        <v>1.9559843970885005</v>
      </c>
      <c r="AB29" s="69">
        <v>2.6231423389314945</v>
      </c>
      <c r="AC29" s="69"/>
      <c r="AD29" s="69">
        <f t="shared" si="32"/>
        <v>1.1995591046450043</v>
      </c>
      <c r="AE29" s="69">
        <f>'RD T1'!E115</f>
        <v>1.1172207416025974</v>
      </c>
      <c r="AF29" s="69">
        <f t="shared" si="33"/>
        <v>2.3167798462476017</v>
      </c>
      <c r="AH29" t="str">
        <f t="shared" si="34"/>
        <v>72 Customer service occupations</v>
      </c>
      <c r="AI29" s="69">
        <v>0.3729502068085947</v>
      </c>
      <c r="AJ29" s="69">
        <v>0.37303983004418689</v>
      </c>
      <c r="AK29" s="69">
        <v>0.47268273258675764</v>
      </c>
      <c r="AL29" s="69">
        <v>0.66695169188606895</v>
      </c>
      <c r="AM29" s="69">
        <v>0.94825910872191854</v>
      </c>
      <c r="AN29" s="69"/>
      <c r="AO29" s="69">
        <f t="shared" si="35"/>
        <v>0.47557637613516091</v>
      </c>
      <c r="AP29" s="69">
        <f>'RD T1'!E144</f>
        <v>0.39259202485131051</v>
      </c>
      <c r="AQ29" s="69">
        <f t="shared" si="36"/>
        <v>0.86816840098647141</v>
      </c>
      <c r="AS29" t="str">
        <f t="shared" si="37"/>
        <v>72 Customer service occupations</v>
      </c>
      <c r="AT29" s="69">
        <v>0.74808649742822264</v>
      </c>
      <c r="AU29" s="69">
        <v>0.62942047301752402</v>
      </c>
      <c r="AV29" s="69">
        <v>0.69930501334202588</v>
      </c>
      <c r="AW29" s="69">
        <v>0.93489933810079173</v>
      </c>
      <c r="AX29" s="69">
        <v>1.1283618002333411</v>
      </c>
      <c r="AY29" s="69"/>
      <c r="AZ29" s="69">
        <f t="shared" si="38"/>
        <v>0.42905678689131521</v>
      </c>
      <c r="BA29" s="69">
        <f>'RD T1'!E173</f>
        <v>0.45798440942393159</v>
      </c>
      <c r="BB29" s="69">
        <f t="shared" si="39"/>
        <v>0.8870411963152468</v>
      </c>
      <c r="BD29" t="str">
        <f t="shared" si="40"/>
        <v>72 Customer service occupations</v>
      </c>
      <c r="BE29" s="69">
        <v>2.1613164427300364</v>
      </c>
      <c r="BF29" s="69">
        <v>2.1923060585034682</v>
      </c>
      <c r="BG29" s="69">
        <v>2.2175479361852179</v>
      </c>
      <c r="BH29" s="69">
        <v>2.879684252351939</v>
      </c>
      <c r="BI29" s="69">
        <v>3.2176767790093974</v>
      </c>
      <c r="BJ29" s="69"/>
      <c r="BK29" s="69">
        <f t="shared" si="41"/>
        <v>1.0001288428241795</v>
      </c>
      <c r="BL29" s="69">
        <f>'RD T1'!E202</f>
        <v>1.2312166055265648</v>
      </c>
      <c r="BM29" s="69">
        <f t="shared" si="42"/>
        <v>2.2313454483507442</v>
      </c>
      <c r="BO29" t="str">
        <f t="shared" si="43"/>
        <v>72 Customer service occupations</v>
      </c>
      <c r="BP29" s="69">
        <v>2.4393619576864278</v>
      </c>
      <c r="BQ29" s="69">
        <v>2.4857453665104252</v>
      </c>
      <c r="BR29" s="69">
        <v>2.2175320337037028</v>
      </c>
      <c r="BS29" s="69">
        <v>2.8997269470270908</v>
      </c>
      <c r="BT29" s="69">
        <v>2.784669203612133</v>
      </c>
      <c r="BU29" s="69"/>
      <c r="BV29" s="69">
        <f t="shared" si="44"/>
        <v>0.56713716990843022</v>
      </c>
      <c r="BW29" s="69">
        <f>'RD T1'!E231</f>
        <v>1.3505821624721082</v>
      </c>
      <c r="BX29" s="69">
        <f t="shared" si="45"/>
        <v>1.9177193323805384</v>
      </c>
      <c r="BZ29" t="str">
        <f t="shared" si="46"/>
        <v>72 Customer service occupations</v>
      </c>
      <c r="CA29" s="69">
        <v>1.3213573559543073</v>
      </c>
      <c r="CB29" s="69">
        <v>1.1062302129372001</v>
      </c>
      <c r="CC29" s="69">
        <v>1.0888620155673843</v>
      </c>
      <c r="CD29" s="69">
        <v>1.1598138340636546</v>
      </c>
      <c r="CE29" s="69">
        <v>0.95036134904100544</v>
      </c>
      <c r="CF29" s="69"/>
      <c r="CG29" s="69">
        <f t="shared" si="47"/>
        <v>-0.13850066652637882</v>
      </c>
      <c r="CH29" s="69">
        <f>'RD T1'!E260</f>
        <v>0.36835775928122616</v>
      </c>
      <c r="CI29" s="69">
        <f t="shared" si="48"/>
        <v>0.22985709275484734</v>
      </c>
      <c r="CK29" t="str">
        <f t="shared" si="49"/>
        <v>72 Customer service occupations</v>
      </c>
      <c r="CL29" s="69">
        <v>0.51385648524031147</v>
      </c>
      <c r="CM29" s="69">
        <v>0.5065220037145679</v>
      </c>
      <c r="CN29" s="69">
        <v>0.60589873007314954</v>
      </c>
      <c r="CO29" s="69">
        <v>0.62745882339099968</v>
      </c>
      <c r="CP29" s="69">
        <v>0.59202962666201342</v>
      </c>
      <c r="CQ29" s="69"/>
      <c r="CR29" s="69">
        <f t="shared" si="50"/>
        <v>-1.3869103411136119E-2</v>
      </c>
      <c r="CS29" s="69">
        <f>'RD T1'!E289</f>
        <v>0.21029918053107824</v>
      </c>
      <c r="CT29" s="69">
        <f t="shared" si="51"/>
        <v>0.19643007711994212</v>
      </c>
    </row>
    <row r="30" spans="1:98" x14ac:dyDescent="0.25">
      <c r="A30" s="10" t="str">
        <f>name!D26</f>
        <v>81 Process, plant and machine operatives</v>
      </c>
      <c r="B30" s="69">
        <v>2.5692132480387788E-2</v>
      </c>
      <c r="C30" s="69">
        <v>3.5420844052114951E-2</v>
      </c>
      <c r="D30" s="69">
        <v>3.1212897683661971E-2</v>
      </c>
      <c r="E30" s="69">
        <v>5.2233290691990016E-2</v>
      </c>
      <c r="F30" s="69">
        <v>0.11776030216461929</v>
      </c>
      <c r="G30" s="11"/>
      <c r="H30" s="69">
        <f t="shared" si="26"/>
        <v>8.6547404480957324E-2</v>
      </c>
      <c r="I30" s="69">
        <f>'RD T1'!E58</f>
        <v>3.7841034779967801E-2</v>
      </c>
      <c r="J30" s="69">
        <f t="shared" si="27"/>
        <v>0.12438843926092513</v>
      </c>
      <c r="L30" t="str">
        <f t="shared" si="28"/>
        <v>81 Process, plant and machine operatives</v>
      </c>
      <c r="M30" s="69">
        <v>0.18412572321413034</v>
      </c>
      <c r="N30" s="69">
        <v>0.25464867256371104</v>
      </c>
      <c r="O30" s="69">
        <v>0.21322211711229894</v>
      </c>
      <c r="P30" s="69">
        <v>0.38295515282144571</v>
      </c>
      <c r="Q30" s="69">
        <v>0.73432232401034536</v>
      </c>
      <c r="R30" s="11"/>
      <c r="S30" s="69">
        <f t="shared" si="29"/>
        <v>0.52110020689804637</v>
      </c>
      <c r="T30" s="69">
        <f>'RD T1'!E87</f>
        <v>0.22114185960907279</v>
      </c>
      <c r="U30" s="69">
        <f t="shared" si="30"/>
        <v>0.74224206650711921</v>
      </c>
      <c r="W30" t="str">
        <f t="shared" si="31"/>
        <v>81 Process, plant and machine operatives</v>
      </c>
      <c r="X30" s="69">
        <v>0.64565099696640427</v>
      </c>
      <c r="Y30" s="69">
        <v>0.62756312371458944</v>
      </c>
      <c r="Z30" s="69">
        <v>0.5979512304248642</v>
      </c>
      <c r="AA30" s="69">
        <v>0.98538231500598183</v>
      </c>
      <c r="AB30" s="69">
        <v>1.6899397409510812</v>
      </c>
      <c r="AC30" s="69"/>
      <c r="AD30" s="69">
        <f t="shared" si="32"/>
        <v>1.091988510526217</v>
      </c>
      <c r="AE30" s="69">
        <f>'RD T1'!E116</f>
        <v>0.63855683707043587</v>
      </c>
      <c r="AF30" s="69">
        <f t="shared" si="33"/>
        <v>1.730545347596653</v>
      </c>
      <c r="AH30" t="str">
        <f t="shared" si="34"/>
        <v>81 Process, plant and machine operatives</v>
      </c>
      <c r="AI30" s="69">
        <v>0.30014745991057457</v>
      </c>
      <c r="AJ30" s="69">
        <v>0.29056350822877708</v>
      </c>
      <c r="AK30" s="69">
        <v>0.27492450327367379</v>
      </c>
      <c r="AL30" s="69">
        <v>0.40592919419190415</v>
      </c>
      <c r="AM30" s="69">
        <v>0.54017056060212221</v>
      </c>
      <c r="AN30" s="69"/>
      <c r="AO30" s="69">
        <f t="shared" si="35"/>
        <v>0.26524605732844841</v>
      </c>
      <c r="AP30" s="69">
        <f>'RD T1'!E145</f>
        <v>0.20414686093467799</v>
      </c>
      <c r="AQ30" s="69">
        <f t="shared" si="36"/>
        <v>0.4693929182631264</v>
      </c>
      <c r="AS30" t="str">
        <f t="shared" si="37"/>
        <v>81 Process, plant and machine operatives</v>
      </c>
      <c r="AT30" s="69">
        <v>0.773359497136481</v>
      </c>
      <c r="AU30" s="69">
        <v>0.68570425077125008</v>
      </c>
      <c r="AV30" s="69">
        <v>0.62529404343205619</v>
      </c>
      <c r="AW30" s="69">
        <v>0.91427372945232899</v>
      </c>
      <c r="AX30" s="69">
        <v>1.2289745439310515</v>
      </c>
      <c r="AY30" s="69"/>
      <c r="AZ30" s="69">
        <f t="shared" si="38"/>
        <v>0.60368050049899535</v>
      </c>
      <c r="BA30" s="69">
        <f>'RD T1'!E174</f>
        <v>0.47192014348309819</v>
      </c>
      <c r="BB30" s="69">
        <f t="shared" si="39"/>
        <v>1.0756006439820935</v>
      </c>
      <c r="BD30" t="str">
        <f t="shared" si="40"/>
        <v>81 Process, plant and machine operatives</v>
      </c>
      <c r="BE30" s="69">
        <v>4.6549877423028247</v>
      </c>
      <c r="BF30" s="69">
        <v>5.0727102280712337</v>
      </c>
      <c r="BG30" s="69">
        <v>4.3104308458548575</v>
      </c>
      <c r="BH30" s="69">
        <v>6.029353779638698</v>
      </c>
      <c r="BI30" s="69">
        <v>6.9257902293673537</v>
      </c>
      <c r="BJ30" s="69"/>
      <c r="BK30" s="69">
        <f t="shared" si="41"/>
        <v>2.6153593835124962</v>
      </c>
      <c r="BL30" s="69">
        <f>'RD T1'!E203</f>
        <v>2.2903148807652971</v>
      </c>
      <c r="BM30" s="69">
        <f t="shared" si="42"/>
        <v>4.9056742642777937</v>
      </c>
      <c r="BO30" t="str">
        <f t="shared" si="43"/>
        <v>81 Process, plant and machine operatives</v>
      </c>
      <c r="BP30" s="69">
        <v>6.5015620176194107</v>
      </c>
      <c r="BQ30" s="69">
        <v>6.7879911578511605</v>
      </c>
      <c r="BR30" s="69">
        <v>5.425332899218791</v>
      </c>
      <c r="BS30" s="69">
        <v>7.5083542867342841</v>
      </c>
      <c r="BT30" s="69">
        <v>7.3973384178338009</v>
      </c>
      <c r="BU30" s="69"/>
      <c r="BV30" s="69">
        <f t="shared" si="44"/>
        <v>1.9720055186150098</v>
      </c>
      <c r="BW30" s="69">
        <f>'RD T1'!E232</f>
        <v>3.0448039656334642</v>
      </c>
      <c r="BX30" s="69">
        <f t="shared" si="45"/>
        <v>5.0168094842484745</v>
      </c>
      <c r="BZ30" t="str">
        <f t="shared" si="46"/>
        <v>81 Process, plant and machine operatives</v>
      </c>
      <c r="CA30" s="69">
        <v>5.6788145050731931</v>
      </c>
      <c r="CB30" s="69">
        <v>5.0967521081748144</v>
      </c>
      <c r="CC30" s="69">
        <v>4.341014383742654</v>
      </c>
      <c r="CD30" s="69">
        <v>4.6434984975957541</v>
      </c>
      <c r="CE30" s="69">
        <v>2.2809323811158375</v>
      </c>
      <c r="CF30" s="69"/>
      <c r="CG30" s="69">
        <f t="shared" si="47"/>
        <v>-2.0600820026268165</v>
      </c>
      <c r="CH30" s="69">
        <f>'RD T1'!E261</f>
        <v>1.4245190512296837</v>
      </c>
      <c r="CI30" s="69">
        <f t="shared" si="48"/>
        <v>-0.63556295139713281</v>
      </c>
      <c r="CK30" t="str">
        <f t="shared" si="49"/>
        <v>81 Process, plant and machine operatives</v>
      </c>
      <c r="CL30" s="69">
        <v>4.2533368719901734</v>
      </c>
      <c r="CM30" s="69">
        <v>2.8857002497704811</v>
      </c>
      <c r="CN30" s="69">
        <v>2.4968711080308728</v>
      </c>
      <c r="CO30" s="69">
        <v>1.0211168040108409</v>
      </c>
      <c r="CP30" s="69">
        <v>0.39779202893789245</v>
      </c>
      <c r="CQ30" s="69"/>
      <c r="CR30" s="69">
        <f t="shared" si="50"/>
        <v>-2.0990790790929803</v>
      </c>
      <c r="CS30" s="69">
        <f>'RD T1'!E290</f>
        <v>0.25367809604829716</v>
      </c>
      <c r="CT30" s="69">
        <f t="shared" si="51"/>
        <v>-1.8454009830446831</v>
      </c>
    </row>
    <row r="31" spans="1:98" x14ac:dyDescent="0.25">
      <c r="A31" s="10" t="str">
        <f>name!D27</f>
        <v>82 Transport and mobile machine drivers and operatives</v>
      </c>
      <c r="B31" s="69">
        <v>3.8201969668852934E-2</v>
      </c>
      <c r="C31" s="69">
        <v>6.040358398037219E-2</v>
      </c>
      <c r="D31" s="69">
        <v>4.493757623305044E-2</v>
      </c>
      <c r="E31" s="69">
        <v>7.9519629526574015E-2</v>
      </c>
      <c r="F31" s="69">
        <v>0.14983581942761537</v>
      </c>
      <c r="G31" s="11"/>
      <c r="H31" s="69">
        <f t="shared" si="26"/>
        <v>0.10489824319456492</v>
      </c>
      <c r="I31" s="69">
        <f>'RD T1'!E59</f>
        <v>5.8457470208191711E-2</v>
      </c>
      <c r="J31" s="69">
        <f t="shared" si="27"/>
        <v>0.16335571340275662</v>
      </c>
      <c r="L31" t="str">
        <f t="shared" si="28"/>
        <v>82 Transport and mobile machine drivers and operatives</v>
      </c>
      <c r="M31" s="69">
        <v>0.23094573848576569</v>
      </c>
      <c r="N31" s="69">
        <v>0.31901844989483352</v>
      </c>
      <c r="O31" s="69">
        <v>0.25152538337715752</v>
      </c>
      <c r="P31" s="69">
        <v>0.40650659399650463</v>
      </c>
      <c r="Q31" s="69">
        <v>0.72231521648039987</v>
      </c>
      <c r="R31" s="11"/>
      <c r="S31" s="69">
        <f t="shared" si="29"/>
        <v>0.47078983310324235</v>
      </c>
      <c r="T31" s="69">
        <f>'RD T1'!E88</f>
        <v>0.28709652678562458</v>
      </c>
      <c r="U31" s="69">
        <f t="shared" si="30"/>
        <v>0.75788635988886699</v>
      </c>
      <c r="W31" t="str">
        <f t="shared" si="31"/>
        <v>82 Transport and mobile machine drivers and operatives</v>
      </c>
      <c r="X31" s="69">
        <v>0.83566751557848351</v>
      </c>
      <c r="Y31" s="69">
        <v>0.93064063846110401</v>
      </c>
      <c r="Z31" s="69">
        <v>0.91297754270328813</v>
      </c>
      <c r="AA31" s="69">
        <v>1.2226030525173603</v>
      </c>
      <c r="AB31" s="69">
        <v>1.7363209699677766</v>
      </c>
      <c r="AC31" s="69"/>
      <c r="AD31" s="69">
        <f t="shared" si="32"/>
        <v>0.8233434272644885</v>
      </c>
      <c r="AE31" s="69">
        <f>'RD T1'!E117</f>
        <v>0.88909557144022322</v>
      </c>
      <c r="AF31" s="69">
        <f t="shared" si="33"/>
        <v>1.7124389987047117</v>
      </c>
      <c r="AH31" t="str">
        <f t="shared" si="34"/>
        <v>82 Transport and mobile machine drivers and operatives</v>
      </c>
      <c r="AI31" s="69">
        <v>0.46656768396850706</v>
      </c>
      <c r="AJ31" s="69">
        <v>0.4980186564295872</v>
      </c>
      <c r="AK31" s="69">
        <v>0.46068278291115511</v>
      </c>
      <c r="AL31" s="69">
        <v>0.59613431186127364</v>
      </c>
      <c r="AM31" s="69">
        <v>0.76610251786684269</v>
      </c>
      <c r="AN31" s="69"/>
      <c r="AO31" s="69">
        <f t="shared" si="35"/>
        <v>0.30541973495568758</v>
      </c>
      <c r="AP31" s="69">
        <f>'RD T1'!E146</f>
        <v>0.40104307966806718</v>
      </c>
      <c r="AQ31" s="69">
        <f t="shared" si="36"/>
        <v>0.70646281462375482</v>
      </c>
      <c r="AS31" t="str">
        <f t="shared" si="37"/>
        <v>82 Transport and mobile machine drivers and operatives</v>
      </c>
      <c r="AT31" s="69">
        <v>0.76339965937446563</v>
      </c>
      <c r="AU31" s="69">
        <v>0.75581052259801607</v>
      </c>
      <c r="AV31" s="69">
        <v>0.71538105372924443</v>
      </c>
      <c r="AW31" s="69">
        <v>0.89499872689465731</v>
      </c>
      <c r="AX31" s="69">
        <v>1.1252273367708299</v>
      </c>
      <c r="AY31" s="69"/>
      <c r="AZ31" s="69">
        <f t="shared" si="38"/>
        <v>0.40984628304158544</v>
      </c>
      <c r="BA31" s="69">
        <f>'RD T1'!E175</f>
        <v>0.61330464780391469</v>
      </c>
      <c r="BB31" s="69">
        <f t="shared" si="39"/>
        <v>1.0231509308455</v>
      </c>
      <c r="BD31" t="str">
        <f t="shared" si="40"/>
        <v>82 Transport and mobile machine drivers and operatives</v>
      </c>
      <c r="BE31" s="69">
        <v>3.9182998343196407</v>
      </c>
      <c r="BF31" s="69">
        <v>4.4525272901808659</v>
      </c>
      <c r="BG31" s="69">
        <v>4.0544522946228883</v>
      </c>
      <c r="BH31" s="69">
        <v>5.0223207238735865</v>
      </c>
      <c r="BI31" s="69">
        <v>5.9865708174475811</v>
      </c>
      <c r="BJ31" s="69"/>
      <c r="BK31" s="69">
        <f t="shared" si="41"/>
        <v>1.9321185228246929</v>
      </c>
      <c r="BL31" s="69">
        <f>'RD T1'!E204</f>
        <v>2.6714139449547423</v>
      </c>
      <c r="BM31" s="69">
        <f t="shared" si="42"/>
        <v>4.6035324677794351</v>
      </c>
      <c r="BO31" t="str">
        <f t="shared" si="43"/>
        <v>82 Transport and mobile machine drivers and operatives</v>
      </c>
      <c r="BP31" s="69">
        <v>7.0765067732275719</v>
      </c>
      <c r="BQ31" s="69">
        <v>7.878982802678058</v>
      </c>
      <c r="BR31" s="69">
        <v>6.5373099863731792</v>
      </c>
      <c r="BS31" s="69">
        <v>8.2810814806010828</v>
      </c>
      <c r="BT31" s="69">
        <v>8.8342250336914052</v>
      </c>
      <c r="BU31" s="69"/>
      <c r="BV31" s="69">
        <f t="shared" si="44"/>
        <v>2.296915047318226</v>
      </c>
      <c r="BW31" s="69">
        <f>'RD T1'!E233</f>
        <v>4.7272830886467538</v>
      </c>
      <c r="BX31" s="69">
        <f t="shared" si="45"/>
        <v>7.0241981359649799</v>
      </c>
      <c r="BZ31" t="str">
        <f t="shared" si="46"/>
        <v>82 Transport and mobile machine drivers and operatives</v>
      </c>
      <c r="CA31" s="69">
        <v>6.6315139071686477</v>
      </c>
      <c r="CB31" s="69">
        <v>5.9201912499763134</v>
      </c>
      <c r="CC31" s="69">
        <v>5.3183574121498003</v>
      </c>
      <c r="CD31" s="69">
        <v>4.9803382384216066</v>
      </c>
      <c r="CE31" s="69">
        <v>3.8132506822550161</v>
      </c>
      <c r="CF31" s="69"/>
      <c r="CG31" s="69">
        <f t="shared" si="47"/>
        <v>-1.5051067298947842</v>
      </c>
      <c r="CH31" s="69">
        <f>'RD T1'!E262</f>
        <v>2.152902244274717</v>
      </c>
      <c r="CI31" s="69">
        <f t="shared" si="48"/>
        <v>0.64779551437993277</v>
      </c>
      <c r="CK31" t="str">
        <f t="shared" si="49"/>
        <v>82 Transport and mobile machine drivers and operatives</v>
      </c>
      <c r="CL31" s="69">
        <v>4.1619040312915887</v>
      </c>
      <c r="CM31" s="69">
        <v>4.0198215082987119</v>
      </c>
      <c r="CN31" s="69">
        <v>3.6558772384080243</v>
      </c>
      <c r="CO31" s="69">
        <v>2.363399276370215</v>
      </c>
      <c r="CP31" s="69">
        <v>1.0200519526167247</v>
      </c>
      <c r="CQ31" s="69"/>
      <c r="CR31" s="69">
        <f t="shared" si="50"/>
        <v>-2.6358252857912996</v>
      </c>
      <c r="CS31" s="69">
        <f>'RD T1'!E291</f>
        <v>0.84073394887572761</v>
      </c>
      <c r="CT31" s="69">
        <f t="shared" si="51"/>
        <v>-1.7950913369155721</v>
      </c>
    </row>
    <row r="32" spans="1:98" x14ac:dyDescent="0.25">
      <c r="A32" s="10" t="str">
        <f>name!D28</f>
        <v>91 Elementary trades and related occupations</v>
      </c>
      <c r="B32" s="69">
        <v>3.7590641603887773E-4</v>
      </c>
      <c r="C32" s="69">
        <v>3.6353831226516669E-4</v>
      </c>
      <c r="D32" s="69">
        <v>2.8891072480207678E-4</v>
      </c>
      <c r="E32" s="69">
        <v>3.5125319781892405E-4</v>
      </c>
      <c r="F32" s="69">
        <v>5.8873560105830768E-4</v>
      </c>
      <c r="G32" s="11"/>
      <c r="H32" s="69">
        <f t="shared" si="26"/>
        <v>2.998248762562309E-4</v>
      </c>
      <c r="I32" s="69">
        <f>'RD T1'!E60</f>
        <v>2.4385305124390122E-4</v>
      </c>
      <c r="J32" s="69">
        <f t="shared" si="27"/>
        <v>5.4367792750013215E-4</v>
      </c>
      <c r="L32" t="str">
        <f t="shared" si="28"/>
        <v>91 Elementary trades and related occupations</v>
      </c>
      <c r="M32" s="69">
        <v>9.4944692388494054E-2</v>
      </c>
      <c r="N32" s="69">
        <v>0.11747949999424992</v>
      </c>
      <c r="O32" s="69">
        <v>8.2975956300022358E-2</v>
      </c>
      <c r="P32" s="69">
        <v>0.11468231984772467</v>
      </c>
      <c r="Q32" s="69">
        <v>0.22032654324934614</v>
      </c>
      <c r="R32" s="11"/>
      <c r="S32" s="69">
        <f t="shared" si="29"/>
        <v>0.13735058694932378</v>
      </c>
      <c r="T32" s="69">
        <f>'RD T1'!E89</f>
        <v>7.7424963588008391E-2</v>
      </c>
      <c r="U32" s="69">
        <f t="shared" si="30"/>
        <v>0.21477555053733216</v>
      </c>
      <c r="W32" t="str">
        <f t="shared" si="31"/>
        <v>91 Elementary trades and related occupations</v>
      </c>
      <c r="X32" s="69">
        <v>0.39237720283047922</v>
      </c>
      <c r="Y32" s="69">
        <v>0.31424204370782383</v>
      </c>
      <c r="Z32" s="69">
        <v>0.29239727077091932</v>
      </c>
      <c r="AA32" s="69">
        <v>0.30365808055416776</v>
      </c>
      <c r="AB32" s="69">
        <v>0.3660693795648578</v>
      </c>
      <c r="AC32" s="69"/>
      <c r="AD32" s="69">
        <f t="shared" si="32"/>
        <v>7.3672108793938484E-2</v>
      </c>
      <c r="AE32" s="69">
        <f>'RD T1'!E118</f>
        <v>0.20728988480603786</v>
      </c>
      <c r="AF32" s="69">
        <f t="shared" si="33"/>
        <v>0.28096199359997631</v>
      </c>
      <c r="AH32" t="str">
        <f t="shared" si="34"/>
        <v>91 Elementary trades and related occupations</v>
      </c>
      <c r="AI32" s="69">
        <v>0.27580342306412509</v>
      </c>
      <c r="AJ32" s="69">
        <v>0.22618035685656002</v>
      </c>
      <c r="AK32" s="69">
        <v>0.20591726824313186</v>
      </c>
      <c r="AL32" s="69">
        <v>0.2159515899098752</v>
      </c>
      <c r="AM32" s="69">
        <v>0.27441541910013473</v>
      </c>
      <c r="AN32" s="69"/>
      <c r="AO32" s="69">
        <f t="shared" si="35"/>
        <v>6.8498150857002865E-2</v>
      </c>
      <c r="AP32" s="69">
        <f>'RD T1'!E147</f>
        <v>0.14842291246299189</v>
      </c>
      <c r="AQ32" s="69">
        <f t="shared" si="36"/>
        <v>0.21692106331999475</v>
      </c>
      <c r="AS32" t="str">
        <f t="shared" si="37"/>
        <v>91 Elementary trades and related occupations</v>
      </c>
      <c r="AT32" s="69">
        <v>0.2927987628542873</v>
      </c>
      <c r="AU32" s="69">
        <v>0.24233903645668439</v>
      </c>
      <c r="AV32" s="69">
        <v>0.24036778627544578</v>
      </c>
      <c r="AW32" s="69">
        <v>0.2516593066650189</v>
      </c>
      <c r="AX32" s="69">
        <v>0.29526838259896959</v>
      </c>
      <c r="AY32" s="69"/>
      <c r="AZ32" s="69">
        <f t="shared" si="38"/>
        <v>5.4900596323523815E-2</v>
      </c>
      <c r="BA32" s="69">
        <f>'RD T1'!E176</f>
        <v>0.15157311541623281</v>
      </c>
      <c r="BB32" s="69">
        <f t="shared" si="39"/>
        <v>0.20647371173975662</v>
      </c>
      <c r="BD32" t="str">
        <f t="shared" si="40"/>
        <v>91 Elementary trades and related occupations</v>
      </c>
      <c r="BE32" s="69">
        <v>1.378545495479695</v>
      </c>
      <c r="BF32" s="69">
        <v>1.3331248837330016</v>
      </c>
      <c r="BG32" s="69">
        <v>1.1432327594319696</v>
      </c>
      <c r="BH32" s="69">
        <v>1.1688640631994958</v>
      </c>
      <c r="BI32" s="69">
        <v>1.403770377266927</v>
      </c>
      <c r="BJ32" s="69"/>
      <c r="BK32" s="69">
        <f t="shared" si="41"/>
        <v>0.26053761783495744</v>
      </c>
      <c r="BL32" s="69">
        <f>'RD T1'!E205</f>
        <v>0.43625822992947322</v>
      </c>
      <c r="BM32" s="69">
        <f t="shared" si="42"/>
        <v>0.69679584776443071</v>
      </c>
      <c r="BO32" t="str">
        <f t="shared" si="43"/>
        <v>91 Elementary trades and related occupations</v>
      </c>
      <c r="BP32" s="69">
        <v>2.6803910505441055</v>
      </c>
      <c r="BQ32" s="69">
        <v>2.4655015025724443</v>
      </c>
      <c r="BR32" s="69">
        <v>2.0691974214400166</v>
      </c>
      <c r="BS32" s="69">
        <v>2.0176380317686289</v>
      </c>
      <c r="BT32" s="69">
        <v>2.0242156902037078</v>
      </c>
      <c r="BU32" s="69"/>
      <c r="BV32" s="69">
        <f t="shared" si="44"/>
        <v>-4.4981731236308775E-2</v>
      </c>
      <c r="BW32" s="69">
        <f>'RD T1'!E234</f>
        <v>0.79075953794800313</v>
      </c>
      <c r="BX32" s="69">
        <f t="shared" si="45"/>
        <v>0.74577780671169436</v>
      </c>
      <c r="BZ32" t="str">
        <f t="shared" si="46"/>
        <v>91 Elementary trades and related occupations</v>
      </c>
      <c r="CA32" s="69">
        <v>3.6636203672646124</v>
      </c>
      <c r="CB32" s="69">
        <v>3.1081519747237247</v>
      </c>
      <c r="CC32" s="69">
        <v>2.6808622868053251</v>
      </c>
      <c r="CD32" s="69">
        <v>2.1200396534199726</v>
      </c>
      <c r="CE32" s="69">
        <v>1.5969021171056785</v>
      </c>
      <c r="CF32" s="69"/>
      <c r="CG32" s="69">
        <f t="shared" si="47"/>
        <v>-1.0839601696996466</v>
      </c>
      <c r="CH32" s="69">
        <f>'RD T1'!E263</f>
        <v>0.80119072295755855</v>
      </c>
      <c r="CI32" s="69">
        <f t="shared" si="48"/>
        <v>-0.28276944674208804</v>
      </c>
      <c r="CK32" t="str">
        <f t="shared" si="49"/>
        <v>91 Elementary trades and related occupations</v>
      </c>
      <c r="CL32" s="69">
        <v>2.7085866793612423</v>
      </c>
      <c r="CM32" s="69">
        <v>2.0246577177732132</v>
      </c>
      <c r="CN32" s="69">
        <v>1.9276439381035202</v>
      </c>
      <c r="CO32" s="69">
        <v>1.1259685402514872</v>
      </c>
      <c r="CP32" s="69">
        <v>0.68318252274155722</v>
      </c>
      <c r="CQ32" s="69"/>
      <c r="CR32" s="69">
        <f t="shared" si="50"/>
        <v>-1.2444614153619629</v>
      </c>
      <c r="CS32" s="69">
        <f>'RD T1'!E292</f>
        <v>0.34452878704175238</v>
      </c>
      <c r="CT32" s="69">
        <f t="shared" si="51"/>
        <v>-0.89993262832021048</v>
      </c>
    </row>
    <row r="33" spans="1:98" x14ac:dyDescent="0.25">
      <c r="A33" s="10" t="str">
        <f>name!D29</f>
        <v>92 Elementary administration and service occupations</v>
      </c>
      <c r="B33" s="69">
        <v>2.6417849741303252E-2</v>
      </c>
      <c r="C33" s="69">
        <v>3.4392134349490018E-2</v>
      </c>
      <c r="D33" s="69">
        <v>3.0298378528944785E-2</v>
      </c>
      <c r="E33" s="69">
        <v>4.5847555377213613E-2</v>
      </c>
      <c r="F33" s="69">
        <v>7.773610027561946E-2</v>
      </c>
      <c r="G33" s="11"/>
      <c r="H33" s="69">
        <f t="shared" ref="H33" si="52">F33-D33</f>
        <v>4.7437721746674676E-2</v>
      </c>
      <c r="I33" s="69">
        <f>'RD T1'!E61</f>
        <v>2.8742084078556711E-2</v>
      </c>
      <c r="J33" s="69">
        <f t="shared" ref="J33" si="53">SUM(H33:I33)</f>
        <v>7.6179805825231386E-2</v>
      </c>
      <c r="L33" t="str">
        <f t="shared" ref="L33" si="54">A33</f>
        <v>92 Elementary administration and service occupations</v>
      </c>
      <c r="M33" s="69">
        <v>0.57063303165658463</v>
      </c>
      <c r="N33" s="69">
        <v>0.7775057411026346</v>
      </c>
      <c r="O33" s="69">
        <v>0.73875913536767424</v>
      </c>
      <c r="P33" s="69">
        <v>1.1162375728708076</v>
      </c>
      <c r="Q33" s="69">
        <v>2.1684987560177844</v>
      </c>
      <c r="R33" s="11"/>
      <c r="S33" s="69">
        <f t="shared" ref="S33" si="55">Q33-O33</f>
        <v>1.4297396206501101</v>
      </c>
      <c r="T33" s="69">
        <f>'RD T1'!E90</f>
        <v>0.76614218669775624</v>
      </c>
      <c r="U33" s="69">
        <f t="shared" ref="U33" si="56">SUM(S33:T33)</f>
        <v>2.1958818073478663</v>
      </c>
      <c r="W33" t="str">
        <f t="shared" ref="W33" si="57">A33</f>
        <v>92 Elementary administration and service occupations</v>
      </c>
      <c r="X33" s="69">
        <v>2.4173826847085169</v>
      </c>
      <c r="Y33" s="69">
        <v>2.3996443305719399</v>
      </c>
      <c r="Z33" s="69">
        <v>2.6484143934501088</v>
      </c>
      <c r="AA33" s="69">
        <v>3.279042620868533</v>
      </c>
      <c r="AB33" s="69">
        <v>4.2367800202575756</v>
      </c>
      <c r="AC33" s="69"/>
      <c r="AD33" s="69">
        <f t="shared" ref="AD33" si="58">AB33-Z33</f>
        <v>1.5883656268074668</v>
      </c>
      <c r="AE33" s="69">
        <f>'RD T1'!E119</f>
        <v>2.3099379439119638</v>
      </c>
      <c r="AF33" s="69">
        <f t="shared" ref="AF33" si="59">SUM(AD33:AE33)</f>
        <v>3.8983035707194307</v>
      </c>
      <c r="AH33" t="str">
        <f t="shared" ref="AH33" si="60">L33</f>
        <v>92 Elementary administration and service occupations</v>
      </c>
      <c r="AI33" s="69">
        <v>1.1829153515110198</v>
      </c>
      <c r="AJ33" s="69">
        <v>1.1419215154375479</v>
      </c>
      <c r="AK33" s="69">
        <v>1.25475634936867</v>
      </c>
      <c r="AL33" s="69">
        <v>1.5137014351961167</v>
      </c>
      <c r="AM33" s="69">
        <v>2.0692062545969976</v>
      </c>
      <c r="AN33" s="69"/>
      <c r="AO33" s="69">
        <f t="shared" ref="AO33" si="61">AM33-AK33</f>
        <v>0.81444990522832761</v>
      </c>
      <c r="AP33" s="69">
        <f>'RD T1'!E148</f>
        <v>1.0228050702504794</v>
      </c>
      <c r="AQ33" s="69">
        <f t="shared" ref="AQ33" si="62">SUM(AO33:AP33)</f>
        <v>1.837254975478807</v>
      </c>
      <c r="AS33" t="str">
        <f t="shared" ref="AS33" si="63">W33</f>
        <v>92 Elementary administration and service occupations</v>
      </c>
      <c r="AT33" s="69">
        <v>1.122620379599403</v>
      </c>
      <c r="AU33" s="69">
        <v>1.0823722382523222</v>
      </c>
      <c r="AV33" s="69">
        <v>1.1954639126222888</v>
      </c>
      <c r="AW33" s="69">
        <v>1.4448889094544879</v>
      </c>
      <c r="AX33" s="69">
        <v>1.919481821162637</v>
      </c>
      <c r="AY33" s="69"/>
      <c r="AZ33" s="69">
        <f t="shared" ref="AZ33" si="64">AX33-AV33</f>
        <v>0.7240179085403482</v>
      </c>
      <c r="BA33" s="69">
        <f>'RD T1'!E177</f>
        <v>0.98382198173143731</v>
      </c>
      <c r="BB33" s="69">
        <f t="shared" ref="BB33" si="65">SUM(AZ33:BA33)</f>
        <v>1.7078398902717855</v>
      </c>
      <c r="BD33" t="str">
        <f t="shared" ref="BD33" si="66">AH33</f>
        <v>92 Elementary administration and service occupations</v>
      </c>
      <c r="BE33" s="69">
        <v>6.8626022170124319</v>
      </c>
      <c r="BF33" s="69">
        <v>6.6916251812528778</v>
      </c>
      <c r="BG33" s="69">
        <v>6.1980080672476934</v>
      </c>
      <c r="BH33" s="69">
        <v>6.4807155732902659</v>
      </c>
      <c r="BI33" s="69">
        <v>6.0618347736317171</v>
      </c>
      <c r="BJ33" s="69"/>
      <c r="BK33" s="69">
        <f t="shared" ref="BK33" si="67">BI33-BG33</f>
        <v>-0.1361732936159763</v>
      </c>
      <c r="BL33" s="69">
        <f>'RD T1'!E206</f>
        <v>3.0683826641236145</v>
      </c>
      <c r="BM33" s="69">
        <f t="shared" ref="BM33" si="68">SUM(BK33:BL33)</f>
        <v>2.9322093705076382</v>
      </c>
      <c r="BO33" t="str">
        <f t="shared" ref="BO33" si="69">AS33</f>
        <v>92 Elementary administration and service occupations</v>
      </c>
      <c r="BP33" s="69">
        <v>12.752365486209136</v>
      </c>
      <c r="BQ33" s="69">
        <v>13.161509556921775</v>
      </c>
      <c r="BR33" s="69">
        <v>10.808411135853499</v>
      </c>
      <c r="BS33" s="69">
        <v>12.260844231295378</v>
      </c>
      <c r="BT33" s="69">
        <v>11.28640428130298</v>
      </c>
      <c r="BU33" s="69"/>
      <c r="BV33" s="69">
        <f t="shared" ref="BV33" si="70">BT33-BR33</f>
        <v>0.47799314544948146</v>
      </c>
      <c r="BW33" s="69">
        <f>'RD T1'!E235</f>
        <v>5.9775456197920995</v>
      </c>
      <c r="BX33" s="69">
        <f t="shared" ref="BX33" si="71">SUM(BV33:BW33)</f>
        <v>6.455538765241581</v>
      </c>
      <c r="BZ33" t="str">
        <f t="shared" ref="BZ33" si="72">BD33</f>
        <v>92 Elementary administration and service occupations</v>
      </c>
      <c r="CA33" s="69">
        <v>11.79982424486613</v>
      </c>
      <c r="CB33" s="69">
        <v>10.738818823747877</v>
      </c>
      <c r="CC33" s="69">
        <v>9.2437525111327172</v>
      </c>
      <c r="CD33" s="69">
        <v>8.5420145498195019</v>
      </c>
      <c r="CE33" s="69">
        <v>5.5869552707844097</v>
      </c>
      <c r="CF33" s="69"/>
      <c r="CG33" s="69">
        <f t="shared" ref="CG33" si="73">CE33-CC33</f>
        <v>-3.6567972403483076</v>
      </c>
      <c r="CH33" s="69">
        <f>'RD T1'!E264</f>
        <v>3.1520903527127233</v>
      </c>
      <c r="CI33" s="69">
        <f t="shared" ref="CI33" si="74">SUM(CG33:CH33)</f>
        <v>-0.50470688763558424</v>
      </c>
      <c r="CK33" t="str">
        <f t="shared" ref="CK33" si="75">BO33</f>
        <v>92 Elementary administration and service occupations</v>
      </c>
      <c r="CL33" s="69">
        <v>8.7377334885472564</v>
      </c>
      <c r="CM33" s="69">
        <v>5.7391211313016193</v>
      </c>
      <c r="CN33" s="69">
        <v>5.616006424550144</v>
      </c>
      <c r="CO33" s="69">
        <v>3.4581148933145434</v>
      </c>
      <c r="CP33" s="69">
        <v>1.8430848251902543</v>
      </c>
      <c r="CQ33" s="69"/>
      <c r="CR33" s="69">
        <f t="shared" ref="CR33" si="76">CP33-CN33</f>
        <v>-3.7729215993598899</v>
      </c>
      <c r="CS33" s="69">
        <f>'RD T1'!E293</f>
        <v>0.94561480524480168</v>
      </c>
      <c r="CT33" s="69">
        <f t="shared" ref="CT33" si="77">SUM(CR33:CS33)</f>
        <v>-2.8273067941150885</v>
      </c>
    </row>
    <row r="34" spans="1:98" x14ac:dyDescent="0.25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5">
      <c r="A35" s="231" t="str">
        <f>name!D3</f>
        <v>All occupations</v>
      </c>
      <c r="B35" s="67">
        <f>SUM(B8:B33)</f>
        <v>5.3073112621041965</v>
      </c>
      <c r="C35" s="67">
        <f t="shared" ref="C35:F35" si="78">SUM(C8:C33)</f>
        <v>7.3068406233037049</v>
      </c>
      <c r="D35" s="67">
        <f t="shared" si="78"/>
        <v>7.0913085790934494</v>
      </c>
      <c r="E35" s="67">
        <f t="shared" si="78"/>
        <v>9.176175486762979</v>
      </c>
      <c r="F35" s="67">
        <f t="shared" si="78"/>
        <v>13.484206138990873</v>
      </c>
      <c r="G35" s="11"/>
      <c r="H35" s="67">
        <f>F35-D35</f>
        <v>6.3928975598974231</v>
      </c>
      <c r="I35" s="67">
        <f>SUM(I8:I33)</f>
        <v>4.8238703687565048</v>
      </c>
      <c r="J35" s="67">
        <f>SUM(H35:I35)</f>
        <v>11.216767928653928</v>
      </c>
      <c r="L35" s="24" t="str">
        <f>A35</f>
        <v>All occupations</v>
      </c>
      <c r="M35" s="67">
        <f>SUM(M8:M33)</f>
        <v>34.372407642251375</v>
      </c>
      <c r="N35" s="67">
        <f t="shared" ref="N35:Q35" si="79">SUM(N8:N33)</f>
        <v>47.972540866402149</v>
      </c>
      <c r="O35" s="67">
        <f t="shared" si="79"/>
        <v>47.914257000986915</v>
      </c>
      <c r="P35" s="67">
        <f t="shared" si="79"/>
        <v>60.815722937880473</v>
      </c>
      <c r="Q35" s="67">
        <f t="shared" si="79"/>
        <v>89.255741610817168</v>
      </c>
      <c r="R35" s="11"/>
      <c r="S35" s="67">
        <f t="shared" si="29"/>
        <v>41.341484609830253</v>
      </c>
      <c r="T35" s="67">
        <f>SUM(T8:T33)</f>
        <v>33.653963079789648</v>
      </c>
      <c r="U35" s="67">
        <f>SUM(S35:T35)</f>
        <v>74.995447689619908</v>
      </c>
      <c r="W35" s="24" t="str">
        <f>A35</f>
        <v>All occupations</v>
      </c>
      <c r="X35" s="67">
        <f>SUM(X8:X33)</f>
        <v>83.671480205468725</v>
      </c>
      <c r="Y35" s="67">
        <f t="shared" ref="Y35:AB35" si="80">SUM(Y8:Y33)</f>
        <v>81.914992761114419</v>
      </c>
      <c r="Z35" s="67">
        <f t="shared" si="80"/>
        <v>91.034053021034737</v>
      </c>
      <c r="AA35" s="67">
        <f t="shared" si="80"/>
        <v>97.47831372544367</v>
      </c>
      <c r="AB35" s="67">
        <f t="shared" si="80"/>
        <v>112.09012461141111</v>
      </c>
      <c r="AC35" s="69"/>
      <c r="AD35" s="67">
        <f t="shared" ref="AD35" si="81">AB35-Z35</f>
        <v>21.056071590376376</v>
      </c>
      <c r="AE35" s="67">
        <f>SUM(AE8:AE33)</f>
        <v>56.646225280163947</v>
      </c>
      <c r="AF35" s="67">
        <f>SUM(AD35:AE35)</f>
        <v>77.702296870540323</v>
      </c>
      <c r="AH35" s="24" t="str">
        <f>L35</f>
        <v>All occupations</v>
      </c>
      <c r="AI35" s="67">
        <f>SUM(AI8:AI33)</f>
        <v>27.262700234542454</v>
      </c>
      <c r="AJ35" s="67">
        <f t="shared" ref="AJ35:AM35" si="82">SUM(AJ8:AJ33)</f>
        <v>24.998245553760182</v>
      </c>
      <c r="AK35" s="67">
        <f t="shared" si="82"/>
        <v>27.827400007193702</v>
      </c>
      <c r="AL35" s="67">
        <f t="shared" si="82"/>
        <v>27.122890296340067</v>
      </c>
      <c r="AM35" s="67">
        <f t="shared" si="82"/>
        <v>29.459577091677101</v>
      </c>
      <c r="AN35" s="69"/>
      <c r="AO35" s="67">
        <f t="shared" ref="AO35" si="83">AM35-AK35</f>
        <v>1.6321770844833985</v>
      </c>
      <c r="AP35" s="67">
        <f>SUM(AP8:AP33)</f>
        <v>15.035116203387531</v>
      </c>
      <c r="AQ35" s="67">
        <f>SUM(AO35:AP35)</f>
        <v>16.66729328787093</v>
      </c>
      <c r="AS35" s="24" t="str">
        <f>W35</f>
        <v>All occupations</v>
      </c>
      <c r="AT35" s="67">
        <f>SUM(AT8:AT33)</f>
        <v>26.614616285853874</v>
      </c>
      <c r="AU35" s="67">
        <f t="shared" ref="AU35:AX35" si="84">SUM(AU8:AU33)</f>
        <v>24.767108663845491</v>
      </c>
      <c r="AV35" s="67">
        <f t="shared" si="84"/>
        <v>26.960259961527317</v>
      </c>
      <c r="AW35" s="67">
        <f t="shared" si="84"/>
        <v>27.963964144204827</v>
      </c>
      <c r="AX35" s="67">
        <f t="shared" si="84"/>
        <v>31.84345749255807</v>
      </c>
      <c r="AY35" s="69"/>
      <c r="AZ35" s="67">
        <f t="shared" ref="AZ35" si="85">AX35-AV35</f>
        <v>4.8831975310307527</v>
      </c>
      <c r="BA35" s="67">
        <f>SUM(BA8:BA33)</f>
        <v>15.115217888427999</v>
      </c>
      <c r="BB35" s="67">
        <f>SUM(AZ35:BA35)</f>
        <v>19.998415419458752</v>
      </c>
      <c r="BD35" s="24" t="str">
        <f>AH35</f>
        <v>All occupations</v>
      </c>
      <c r="BE35" s="67">
        <f>SUM(BE8:BE33)</f>
        <v>101.26753787756178</v>
      </c>
      <c r="BF35" s="67">
        <f t="shared" ref="BF35:BI35" si="86">SUM(BF8:BF33)</f>
        <v>109.81054068418116</v>
      </c>
      <c r="BG35" s="67">
        <f t="shared" si="86"/>
        <v>104.45386297689159</v>
      </c>
      <c r="BH35" s="67">
        <f t="shared" si="86"/>
        <v>109.28122941218514</v>
      </c>
      <c r="BI35" s="67">
        <f t="shared" si="86"/>
        <v>110.33205707401437</v>
      </c>
      <c r="BJ35" s="69"/>
      <c r="BK35" s="67">
        <f t="shared" ref="BK35" si="87">BI35-BG35</f>
        <v>5.8781940971227868</v>
      </c>
      <c r="BL35" s="67">
        <f>SUM(BL8:BL33)</f>
        <v>48.792422655956983</v>
      </c>
      <c r="BM35" s="67">
        <f>SUM(BK35:BL35)</f>
        <v>54.67061675307977</v>
      </c>
      <c r="BO35" s="24" t="str">
        <f>AS35</f>
        <v>All occupations</v>
      </c>
      <c r="BP35" s="67">
        <f>SUM(BP8:BP33)</f>
        <v>111.83473985337366</v>
      </c>
      <c r="BQ35" s="67">
        <f t="shared" ref="BQ35:BT35" si="88">SUM(BQ8:BQ33)</f>
        <v>114.81041065304441</v>
      </c>
      <c r="BR35" s="67">
        <f t="shared" si="88"/>
        <v>99.097756857584869</v>
      </c>
      <c r="BS35" s="67">
        <f t="shared" si="88"/>
        <v>104.59823075509438</v>
      </c>
      <c r="BT35" s="67">
        <f t="shared" si="88"/>
        <v>91.411250353138399</v>
      </c>
      <c r="BU35" s="69"/>
      <c r="BV35" s="67">
        <f t="shared" ref="BV35" si="89">BT35-BR35</f>
        <v>-7.68650650444647</v>
      </c>
      <c r="BW35" s="67">
        <f>SUM(BW8:BW33)</f>
        <v>47.235791013383718</v>
      </c>
      <c r="BX35" s="67">
        <f>SUM(BV35:BW35)</f>
        <v>39.549284508937248</v>
      </c>
      <c r="BZ35" s="24" t="str">
        <f>BD35</f>
        <v>All occupations</v>
      </c>
      <c r="CA35" s="67">
        <f>SUM(CA8:CA33)</f>
        <v>74.233403679264768</v>
      </c>
      <c r="CB35" s="67">
        <f t="shared" ref="CB35:CE35" si="90">SUM(CB8:CB33)</f>
        <v>65.981308811181719</v>
      </c>
      <c r="CC35" s="67">
        <f t="shared" si="90"/>
        <v>60.025164113237395</v>
      </c>
      <c r="CD35" s="67">
        <f t="shared" si="90"/>
        <v>51.779979696468416</v>
      </c>
      <c r="CE35" s="67">
        <f t="shared" si="90"/>
        <v>31.920671646136874</v>
      </c>
      <c r="CF35" s="69"/>
      <c r="CG35" s="67">
        <f t="shared" ref="CG35" si="91">CE35-CC35</f>
        <v>-28.104492467100521</v>
      </c>
      <c r="CH35" s="67">
        <f>SUM(CH8:CH33)</f>
        <v>18.476519364088215</v>
      </c>
      <c r="CI35" s="67">
        <f>SUM(CG35:CH35)</f>
        <v>-9.6279731030123052</v>
      </c>
      <c r="CK35" s="24" t="str">
        <f>BO35</f>
        <v>All occupations</v>
      </c>
      <c r="CL35" s="67">
        <f>SUM(CL8:CL33)</f>
        <v>40.997802959579282</v>
      </c>
      <c r="CM35" s="67">
        <f t="shared" ref="CM35:CP35" si="92">SUM(CM8:CM33)</f>
        <v>32.369011383166679</v>
      </c>
      <c r="CN35" s="67">
        <f t="shared" si="92"/>
        <v>31.78993748245016</v>
      </c>
      <c r="CO35" s="67">
        <f t="shared" si="92"/>
        <v>19.91149354561993</v>
      </c>
      <c r="CP35" s="67">
        <f t="shared" si="92"/>
        <v>12.146913981255844</v>
      </c>
      <c r="CQ35" s="69"/>
      <c r="CR35" s="67">
        <f t="shared" ref="CR35" si="93">CP35-CN35</f>
        <v>-19.643023501194314</v>
      </c>
      <c r="CS35" s="67">
        <f>SUM(CS8:CS33)</f>
        <v>6.2210068405937573</v>
      </c>
      <c r="CT35" s="67">
        <f>SUM(CR35:CS35)</f>
        <v>-13.422016660600557</v>
      </c>
    </row>
    <row r="38" spans="1:98" ht="52.5" customHeight="1" x14ac:dyDescent="0.25">
      <c r="A38" s="381" t="str">
        <f>CONCATENATE(A$1," (Continued)")</f>
        <v>Basic Table 2  Employment Change by Occupation and Replacement Demand, RQF8 Doctorate, 2015-2035, Black Country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Black Country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Black Country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Black Country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Black Country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Black Country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Black Country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Black Country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Black Country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5"/>
    <row r="40" spans="1:98" ht="12.75" customHeight="1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3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18">
        <f t="shared" ref="B45:F54" si="104">B8/B$35*100</f>
        <v>6.2089122655546296</v>
      </c>
      <c r="C45" s="18">
        <f t="shared" si="104"/>
        <v>5.9547774731768817</v>
      </c>
      <c r="D45" s="18">
        <f t="shared" si="104"/>
        <v>5.6705280194296677</v>
      </c>
      <c r="E45" s="18">
        <f t="shared" si="104"/>
        <v>5.2424851292604</v>
      </c>
      <c r="F45" s="18">
        <f t="shared" si="104"/>
        <v>5.5070132658912518</v>
      </c>
      <c r="H45" s="68">
        <f t="shared" ref="H45:H70" si="105">IF(D8&gt;0,(H8/D8)*100,0)</f>
        <v>84.667989461641895</v>
      </c>
      <c r="I45" s="69">
        <f t="shared" ref="I45:I70" si="106">IF(D8&gt;0,I8/D8*100,0)</f>
        <v>70.33361363224725</v>
      </c>
      <c r="J45" s="69">
        <f t="shared" ref="J45:J70" si="107">IF(D8&gt;0,(J8/D8)*100,0)</f>
        <v>155.00160309388914</v>
      </c>
      <c r="L45" t="str">
        <f>A45</f>
        <v>11 Corporate managers and directors</v>
      </c>
      <c r="M45" s="18">
        <f t="shared" ref="M45:Q54" si="108">M8/M$35*100</f>
        <v>7.739685774256289</v>
      </c>
      <c r="N45" s="18">
        <f t="shared" si="108"/>
        <v>8.214167150855447</v>
      </c>
      <c r="O45" s="18">
        <f t="shared" si="108"/>
        <v>7.9186199269688462</v>
      </c>
      <c r="P45" s="18">
        <f t="shared" si="108"/>
        <v>7.2762377008808956</v>
      </c>
      <c r="Q45" s="18">
        <f t="shared" si="108"/>
        <v>7.5150989095673566</v>
      </c>
      <c r="S45" s="68">
        <f t="shared" ref="S45:S70" si="109">IF(O8&gt;0,(S8/O8)*100,0)</f>
        <v>76.789556877267003</v>
      </c>
      <c r="T45" s="69">
        <f t="shared" ref="T45:T70" si="110">IF(O8&gt;0,T8/O8*100,0)</f>
        <v>68.696520146982039</v>
      </c>
      <c r="U45" s="69">
        <f t="shared" ref="U45:U70" si="111">IF(O8&gt;0,(U8/O8)*100,0)</f>
        <v>145.48607702424906</v>
      </c>
      <c r="W45" t="str">
        <f>A45</f>
        <v>11 Corporate managers and directors</v>
      </c>
      <c r="X45" s="18">
        <f t="shared" ref="X45:AB54" si="112">X8/X$35*100</f>
        <v>9.5676512041832655</v>
      </c>
      <c r="Y45" s="18">
        <f t="shared" si="112"/>
        <v>10.308791348617431</v>
      </c>
      <c r="Z45" s="18">
        <f t="shared" si="112"/>
        <v>9.9541983807185588</v>
      </c>
      <c r="AA45" s="18">
        <f t="shared" si="112"/>
        <v>9.0289389136998981</v>
      </c>
      <c r="AB45" s="18">
        <f t="shared" si="112"/>
        <v>9.0619781771205723</v>
      </c>
      <c r="AD45" s="68">
        <f t="shared" ref="AD45:AD70" si="113">IF(Z8&gt;0,(AD8/Z8)*100,0)</f>
        <v>12.093439000451566</v>
      </c>
      <c r="AE45" s="69">
        <f t="shared" ref="AE45:AE70" si="114">IF(Z8&gt;0,AE8/Z8*100,0)</f>
        <v>59.507800903129372</v>
      </c>
      <c r="AF45" s="69">
        <f t="shared" ref="AF45:AF70" si="115">IF(Z8&gt;0,(AF8/Z8)*100,0)</f>
        <v>71.601239903580932</v>
      </c>
      <c r="AH45" t="str">
        <f>L45</f>
        <v>11 Corporate managers and directors</v>
      </c>
      <c r="AI45" s="18">
        <f t="shared" ref="AI45:AM54" si="116">AI8/AI$35*100</f>
        <v>5.9126243944120329</v>
      </c>
      <c r="AJ45" s="18">
        <f t="shared" si="116"/>
        <v>6.8870557772462799</v>
      </c>
      <c r="AK45" s="18">
        <f t="shared" si="116"/>
        <v>6.8319558511972964</v>
      </c>
      <c r="AL45" s="18">
        <f t="shared" si="116"/>
        <v>6.4396310185615953</v>
      </c>
      <c r="AM45" s="18">
        <f t="shared" si="116"/>
        <v>6.4749316131416883</v>
      </c>
      <c r="AO45" s="68">
        <f t="shared" ref="AO45:AO70" si="117">IF(AK8&gt;0,(AO8/AK8)*100,0)</f>
        <v>0.3330493781138863</v>
      </c>
      <c r="AP45" s="69">
        <f t="shared" ref="AP45:AP70" si="118">IF(AK8&gt;0,AP8/AK8*100,0)</f>
        <v>51.239514913621385</v>
      </c>
      <c r="AQ45" s="69">
        <f t="shared" ref="AQ45:AQ70" si="119">IF(AK8&gt;0,(AQ8/AK8)*100,0)</f>
        <v>51.572564291735276</v>
      </c>
      <c r="AS45" t="str">
        <f>W45</f>
        <v>11 Corporate managers and directors</v>
      </c>
      <c r="AT45" s="18">
        <f t="shared" ref="AT45:AX54" si="120">AT8/AT$35*100</f>
        <v>9.4132096572130184</v>
      </c>
      <c r="AU45" s="18">
        <f t="shared" si="120"/>
        <v>10.085938340858236</v>
      </c>
      <c r="AV45" s="18">
        <f t="shared" si="120"/>
        <v>9.8353550044824161</v>
      </c>
      <c r="AW45" s="18">
        <f t="shared" si="120"/>
        <v>8.4917936035732478</v>
      </c>
      <c r="AX45" s="18">
        <f t="shared" si="120"/>
        <v>7.9907152649275588</v>
      </c>
      <c r="AZ45" s="68">
        <f t="shared" ref="AZ45:AZ70" si="121">IF(AV8&gt;0,(AZ8/AV8)*100,0)</f>
        <v>-4.0396648336510097</v>
      </c>
      <c r="BA45" s="69">
        <f t="shared" ref="BA45:BA70" si="122">IF(AV8&gt;0,BA8/AV8*100,0)</f>
        <v>49.527223359252901</v>
      </c>
      <c r="BB45" s="69">
        <f t="shared" ref="BB45:BB70" si="123">IF(AV8&gt;0,(BB8/AV8)*100,0)</f>
        <v>45.487558525601884</v>
      </c>
      <c r="BD45" t="str">
        <f>AH45</f>
        <v>11 Corporate managers and directors</v>
      </c>
      <c r="BE45" s="18">
        <f t="shared" ref="BE45:BI54" si="124">BE8/BE$35*100</f>
        <v>5.2340419389467554</v>
      </c>
      <c r="BF45" s="18">
        <f t="shared" si="124"/>
        <v>5.8665466477680024</v>
      </c>
      <c r="BG45" s="18">
        <f t="shared" si="124"/>
        <v>6.3094396529831842</v>
      </c>
      <c r="BH45" s="18">
        <f t="shared" si="124"/>
        <v>5.5046742255218915</v>
      </c>
      <c r="BI45" s="18">
        <f t="shared" si="124"/>
        <v>5.9022910381010014</v>
      </c>
      <c r="BK45" s="68">
        <f t="shared" ref="BK45:BK70" si="125">IF(BG8&gt;0,(BK8/BG8)*100,0)</f>
        <v>-1.1886030832645695</v>
      </c>
      <c r="BL45" s="69">
        <f t="shared" ref="BL45:BL70" si="126">IF(BG8&gt;0,BL8/BG8*100,0)</f>
        <v>42.059878845965365</v>
      </c>
      <c r="BM45" s="69">
        <f t="shared" ref="BM45:BM70" si="127">IF(BG8&gt;0,(BM8/BG8)*100,0)</f>
        <v>40.871275762700797</v>
      </c>
      <c r="BO45" t="str">
        <f>AS45</f>
        <v>11 Corporate managers and directors</v>
      </c>
      <c r="BP45" s="18">
        <f t="shared" ref="BP45:BT54" si="128">BP8/BP$35*100</f>
        <v>4.3430618593660384</v>
      </c>
      <c r="BQ45" s="18">
        <f t="shared" si="128"/>
        <v>4.7412461893390629</v>
      </c>
      <c r="BR45" s="18">
        <f t="shared" si="128"/>
        <v>5.1170195509175151</v>
      </c>
      <c r="BS45" s="18">
        <f t="shared" si="128"/>
        <v>4.3804563376236043</v>
      </c>
      <c r="BT45" s="18">
        <f t="shared" si="128"/>
        <v>4.3769313093378903</v>
      </c>
      <c r="BV45" s="68">
        <f t="shared" ref="BV45:BV70" si="129">IF(BR8&gt;0,(BV8/BR8)*100,0)</f>
        <v>-21.097914942977141</v>
      </c>
      <c r="BW45" s="69">
        <f t="shared" ref="BW45:BW70" si="130">IF(BR8&gt;0,BW8/BR8*100,0)</f>
        <v>42.530679096737003</v>
      </c>
      <c r="BX45" s="69">
        <f t="shared" ref="BX45:BX70" si="131">IF(BR8&gt;0,(BX8/BR8)*100,0)</f>
        <v>21.432764153759866</v>
      </c>
      <c r="BZ45" t="str">
        <f>BD45</f>
        <v>11 Corporate managers and directors</v>
      </c>
      <c r="CA45" s="18">
        <f t="shared" ref="CA45:CE54" si="132">CA8/CA$35*100</f>
        <v>4.8027701499121616</v>
      </c>
      <c r="CB45" s="18">
        <f t="shared" si="132"/>
        <v>5.5753143162484964</v>
      </c>
      <c r="CC45" s="18">
        <f t="shared" si="132"/>
        <v>6.3555358630771206</v>
      </c>
      <c r="CD45" s="18">
        <f t="shared" si="132"/>
        <v>5.9724718686422547</v>
      </c>
      <c r="CE45" s="18">
        <f t="shared" si="132"/>
        <v>7.0935062489689855</v>
      </c>
      <c r="CG45" s="68">
        <f t="shared" ref="CG45:CG70" si="133">IF(CC8&gt;0,(CG8/CC8)*100,0)</f>
        <v>-40.646347916675793</v>
      </c>
      <c r="CH45" s="69">
        <f t="shared" ref="CH45:CH70" si="134">IF(CC8&gt;0,CH8/CC8*100,0)</f>
        <v>34.150212470799879</v>
      </c>
      <c r="CI45" s="69">
        <f t="shared" ref="CI45:CI70" si="135">IF(CC8&gt;0,(CI8/CC8)*100,0)</f>
        <v>-6.4961354458759208</v>
      </c>
      <c r="CK45" t="str">
        <f>BO45</f>
        <v>11 Corporate managers and directors</v>
      </c>
      <c r="CL45" s="18">
        <f t="shared" ref="CL45:CP54" si="136">CL8/CL$35*100</f>
        <v>2.5504293256567894</v>
      </c>
      <c r="CM45" s="18">
        <f t="shared" si="136"/>
        <v>3.2958994774400918</v>
      </c>
      <c r="CN45" s="18">
        <f t="shared" si="136"/>
        <v>3.6844728169069452</v>
      </c>
      <c r="CO45" s="18">
        <f t="shared" si="136"/>
        <v>3.553166115531762</v>
      </c>
      <c r="CP45" s="18">
        <f t="shared" si="136"/>
        <v>4.700001993359626</v>
      </c>
      <c r="CR45" s="68">
        <f t="shared" ref="CR45:CR70" si="137">IF(CN8&gt;0,(CR8/CN8)*100,0)</f>
        <v>-51.258491328035142</v>
      </c>
      <c r="CS45" s="69">
        <f t="shared" ref="CS45:CS70" si="138">IF(CN8&gt;0,CS8/CN8*100,0)</f>
        <v>21.142953236738425</v>
      </c>
      <c r="CT45" s="69">
        <f t="shared" ref="CT45:CT70" si="139">IF(CN8&gt;0,(CT8/CN8)*100,0)</f>
        <v>-30.115538091296706</v>
      </c>
    </row>
    <row r="46" spans="1:98" x14ac:dyDescent="0.25">
      <c r="A46" t="str">
        <f t="shared" si="103"/>
        <v>12 Other managers and proprietors</v>
      </c>
      <c r="B46" s="18">
        <f t="shared" si="104"/>
        <v>2.0895837247309412</v>
      </c>
      <c r="C46" s="18">
        <f t="shared" si="104"/>
        <v>2.0040470377773838</v>
      </c>
      <c r="D46" s="18">
        <f t="shared" si="104"/>
        <v>1.8402079046276401</v>
      </c>
      <c r="E46" s="18">
        <f t="shared" si="104"/>
        <v>2.2853325000441611</v>
      </c>
      <c r="F46" s="18">
        <f t="shared" si="104"/>
        <v>2.6780354897870362</v>
      </c>
      <c r="H46" s="68">
        <f t="shared" si="105"/>
        <v>176.72502488005489</v>
      </c>
      <c r="I46" s="69">
        <f t="shared" si="106"/>
        <v>115.4817139650245</v>
      </c>
      <c r="J46" s="69">
        <f t="shared" si="107"/>
        <v>292.20673884507937</v>
      </c>
      <c r="L46" t="str">
        <f t="shared" ref="L46:L69" si="140">A46</f>
        <v>12 Other managers and proprietors</v>
      </c>
      <c r="M46" s="18">
        <f t="shared" si="108"/>
        <v>2.7645361717939734</v>
      </c>
      <c r="N46" s="18">
        <f t="shared" si="108"/>
        <v>2.6726783285081339</v>
      </c>
      <c r="O46" s="18">
        <f t="shared" si="108"/>
        <v>2.7204069204639483</v>
      </c>
      <c r="P46" s="18">
        <f t="shared" si="108"/>
        <v>3.3780926746291557</v>
      </c>
      <c r="Q46" s="18">
        <f t="shared" si="108"/>
        <v>3.9742399007604394</v>
      </c>
      <c r="S46" s="68">
        <f t="shared" si="109"/>
        <v>172.13951917714348</v>
      </c>
      <c r="T46" s="69">
        <f t="shared" si="110"/>
        <v>110.21137104257679</v>
      </c>
      <c r="U46" s="69">
        <f t="shared" si="111"/>
        <v>282.35089021972033</v>
      </c>
      <c r="W46" t="str">
        <f t="shared" ref="W46:W69" si="141">A46</f>
        <v>12 Other managers and proprietors</v>
      </c>
      <c r="X46" s="18">
        <f t="shared" si="112"/>
        <v>3.0634134517071159</v>
      </c>
      <c r="Y46" s="18">
        <f t="shared" si="112"/>
        <v>3.0297431976238949</v>
      </c>
      <c r="Z46" s="18">
        <f t="shared" si="112"/>
        <v>3.1204310349687825</v>
      </c>
      <c r="AA46" s="18">
        <f t="shared" si="112"/>
        <v>3.7709876509689813</v>
      </c>
      <c r="AB46" s="18">
        <f t="shared" si="112"/>
        <v>4.1317898985964758</v>
      </c>
      <c r="AD46" s="68">
        <f t="shared" si="113"/>
        <v>63.037352378875546</v>
      </c>
      <c r="AE46" s="69">
        <f t="shared" si="114"/>
        <v>92.300799905429372</v>
      </c>
      <c r="AF46" s="69">
        <f t="shared" si="115"/>
        <v>155.3381522843049</v>
      </c>
      <c r="AH46" t="str">
        <f t="shared" ref="AH46:AH69" si="142">L46</f>
        <v>12 Other managers and proprietors</v>
      </c>
      <c r="AI46" s="18">
        <f t="shared" si="116"/>
        <v>2.7167638012409379</v>
      </c>
      <c r="AJ46" s="18">
        <f t="shared" si="116"/>
        <v>2.8773230222501223</v>
      </c>
      <c r="AK46" s="18">
        <f t="shared" si="116"/>
        <v>3.0494275882606336</v>
      </c>
      <c r="AL46" s="18">
        <f t="shared" si="116"/>
        <v>3.7757828022668418</v>
      </c>
      <c r="AM46" s="18">
        <f t="shared" si="116"/>
        <v>4.2897116062997194</v>
      </c>
      <c r="AO46" s="68">
        <f t="shared" si="117"/>
        <v>48.923641811743536</v>
      </c>
      <c r="AP46" s="69">
        <f t="shared" si="118"/>
        <v>84.159647764144452</v>
      </c>
      <c r="AQ46" s="69">
        <f t="shared" si="119"/>
        <v>133.08328957588799</v>
      </c>
      <c r="AS46" t="str">
        <f t="shared" ref="AS46:AS69" si="143">W46</f>
        <v>12 Other managers and proprietors</v>
      </c>
      <c r="AT46" s="18">
        <f t="shared" si="120"/>
        <v>3.2926838589704035</v>
      </c>
      <c r="AU46" s="18">
        <f t="shared" si="120"/>
        <v>3.3467094972013132</v>
      </c>
      <c r="AV46" s="18">
        <f t="shared" si="120"/>
        <v>3.4841228553540944</v>
      </c>
      <c r="AW46" s="18">
        <f t="shared" si="120"/>
        <v>4.1958174228790019</v>
      </c>
      <c r="AX46" s="18">
        <f t="shared" si="120"/>
        <v>4.4044139889620411</v>
      </c>
      <c r="AZ46" s="68">
        <f t="shared" si="121"/>
        <v>49.310659491707881</v>
      </c>
      <c r="BA46" s="69">
        <f t="shared" si="122"/>
        <v>79.89854937231226</v>
      </c>
      <c r="BB46" s="69">
        <f t="shared" si="123"/>
        <v>129.20920886402013</v>
      </c>
      <c r="BD46" t="str">
        <f t="shared" ref="BD46:BD69" si="144">AH46</f>
        <v>12 Other managers and proprietors</v>
      </c>
      <c r="BE46" s="18">
        <f t="shared" si="124"/>
        <v>2.2185271821190597</v>
      </c>
      <c r="BF46" s="18">
        <f t="shared" si="124"/>
        <v>2.1134902883423878</v>
      </c>
      <c r="BG46" s="18">
        <f t="shared" si="124"/>
        <v>2.1869529314755609</v>
      </c>
      <c r="BH46" s="18">
        <f t="shared" si="124"/>
        <v>2.5180256663066811</v>
      </c>
      <c r="BI46" s="18">
        <f t="shared" si="124"/>
        <v>2.7128515236659694</v>
      </c>
      <c r="BK46" s="68">
        <f t="shared" si="125"/>
        <v>31.027905417348407</v>
      </c>
      <c r="BL46" s="69">
        <f t="shared" si="126"/>
        <v>57.087867246941379</v>
      </c>
      <c r="BM46" s="69">
        <f t="shared" si="127"/>
        <v>88.115772664289779</v>
      </c>
      <c r="BO46" t="str">
        <f t="shared" ref="BO46:BO69" si="145">AS46</f>
        <v>12 Other managers and proprietors</v>
      </c>
      <c r="BP46" s="18">
        <f t="shared" si="128"/>
        <v>2.2438908187375262</v>
      </c>
      <c r="BQ46" s="18">
        <f t="shared" si="128"/>
        <v>2.2443977482618429</v>
      </c>
      <c r="BR46" s="18">
        <f t="shared" si="128"/>
        <v>2.5416268781789997</v>
      </c>
      <c r="BS46" s="18">
        <f t="shared" si="128"/>
        <v>3.0367249832532313</v>
      </c>
      <c r="BT46" s="18">
        <f t="shared" si="128"/>
        <v>3.3623723674023926</v>
      </c>
      <c r="BV46" s="68">
        <f t="shared" si="129"/>
        <v>22.030906849166353</v>
      </c>
      <c r="BW46" s="69">
        <f t="shared" si="130"/>
        <v>71.596251986133893</v>
      </c>
      <c r="BX46" s="69">
        <f t="shared" si="131"/>
        <v>93.62715883530025</v>
      </c>
      <c r="BZ46" t="str">
        <f t="shared" ref="BZ46:BZ69" si="146">BD46</f>
        <v>12 Other managers and proprietors</v>
      </c>
      <c r="CA46" s="18">
        <f t="shared" si="132"/>
        <v>2.277774451203519</v>
      </c>
      <c r="CB46" s="18">
        <f t="shared" si="132"/>
        <v>2.4069763648667593</v>
      </c>
      <c r="CC46" s="18">
        <f t="shared" si="132"/>
        <v>2.6530560834136696</v>
      </c>
      <c r="CD46" s="18">
        <f t="shared" si="132"/>
        <v>3.178508217162884</v>
      </c>
      <c r="CE46" s="18">
        <f t="shared" si="132"/>
        <v>3.7221987866916528</v>
      </c>
      <c r="CG46" s="68">
        <f t="shared" si="133"/>
        <v>-25.390900683872868</v>
      </c>
      <c r="CH46" s="69">
        <f t="shared" si="134"/>
        <v>46.129958042633824</v>
      </c>
      <c r="CI46" s="69">
        <f t="shared" si="135"/>
        <v>20.739057358760952</v>
      </c>
      <c r="CK46" t="str">
        <f t="shared" ref="CK46:CK69" si="147">BO46</f>
        <v>12 Other managers and proprietors</v>
      </c>
      <c r="CL46" s="18">
        <f t="shared" si="136"/>
        <v>2.0089562313363469</v>
      </c>
      <c r="CM46" s="18">
        <f t="shared" si="136"/>
        <v>2.2552847190977592</v>
      </c>
      <c r="CN46" s="18">
        <f t="shared" si="136"/>
        <v>2.3462749109249339</v>
      </c>
      <c r="CO46" s="18">
        <f t="shared" si="136"/>
        <v>3.4519607117108739</v>
      </c>
      <c r="CP46" s="18">
        <f t="shared" si="136"/>
        <v>3.8769565201128517</v>
      </c>
      <c r="CR46" s="68">
        <f t="shared" si="137"/>
        <v>-36.862364149132162</v>
      </c>
      <c r="CS46" s="69">
        <f t="shared" si="138"/>
        <v>31.867527059343477</v>
      </c>
      <c r="CT46" s="69">
        <f t="shared" si="139"/>
        <v>-4.9948370897886916</v>
      </c>
    </row>
    <row r="47" spans="1:98" x14ac:dyDescent="0.25">
      <c r="A47" t="str">
        <f t="shared" si="103"/>
        <v>21 Science, research, engineering and technology professionals</v>
      </c>
      <c r="B47" s="18">
        <f t="shared" si="104"/>
        <v>19.594576682197285</v>
      </c>
      <c r="C47" s="18">
        <f t="shared" si="104"/>
        <v>18.651627425168897</v>
      </c>
      <c r="D47" s="18">
        <f t="shared" si="104"/>
        <v>17.328567474074465</v>
      </c>
      <c r="E47" s="18">
        <f t="shared" si="104"/>
        <v>17.124194174469203</v>
      </c>
      <c r="F47" s="18">
        <f t="shared" si="104"/>
        <v>16.526569722345226</v>
      </c>
      <c r="H47" s="68">
        <f t="shared" si="105"/>
        <v>81.350625315257162</v>
      </c>
      <c r="I47" s="69">
        <f t="shared" si="106"/>
        <v>51.288594908885898</v>
      </c>
      <c r="J47" s="69">
        <f t="shared" si="107"/>
        <v>132.63922022414306</v>
      </c>
      <c r="L47" t="str">
        <f t="shared" si="140"/>
        <v>21 Science, research, engineering and technology professionals</v>
      </c>
      <c r="M47" s="18">
        <f t="shared" si="108"/>
        <v>10.196416926772633</v>
      </c>
      <c r="N47" s="18">
        <f t="shared" si="108"/>
        <v>9.8470398967889849</v>
      </c>
      <c r="O47" s="18">
        <f t="shared" si="108"/>
        <v>9.3248353524931744</v>
      </c>
      <c r="P47" s="18">
        <f t="shared" si="108"/>
        <v>9.4867860824377139</v>
      </c>
      <c r="Q47" s="18">
        <f t="shared" si="108"/>
        <v>9.2236144179298467</v>
      </c>
      <c r="S47" s="68">
        <f t="shared" si="109"/>
        <v>84.260129506135641</v>
      </c>
      <c r="T47" s="69">
        <f t="shared" si="110"/>
        <v>54.820022180774608</v>
      </c>
      <c r="U47" s="69">
        <f t="shared" si="111"/>
        <v>139.08015168691023</v>
      </c>
      <c r="W47" t="str">
        <f t="shared" si="141"/>
        <v>21 Science, research, engineering and technology professionals</v>
      </c>
      <c r="X47" s="18">
        <f t="shared" si="112"/>
        <v>9.5112222278347236</v>
      </c>
      <c r="Y47" s="18">
        <f t="shared" si="112"/>
        <v>9.2316973055546292</v>
      </c>
      <c r="Z47" s="18">
        <f t="shared" si="112"/>
        <v>9.0990355957253897</v>
      </c>
      <c r="AA47" s="18">
        <f t="shared" si="112"/>
        <v>8.5885061431153744</v>
      </c>
      <c r="AB47" s="18">
        <f t="shared" si="112"/>
        <v>7.7703942719326191</v>
      </c>
      <c r="AD47" s="68">
        <f t="shared" si="113"/>
        <v>5.150457042357826</v>
      </c>
      <c r="AE47" s="69">
        <f t="shared" si="114"/>
        <v>40.478540137335571</v>
      </c>
      <c r="AF47" s="69">
        <f t="shared" si="115"/>
        <v>45.6289971796934</v>
      </c>
      <c r="AH47" t="str">
        <f t="shared" si="142"/>
        <v>21 Science, research, engineering and technology professionals</v>
      </c>
      <c r="AI47" s="18">
        <f t="shared" si="116"/>
        <v>3.2439735657808701</v>
      </c>
      <c r="AJ47" s="18">
        <f t="shared" si="116"/>
        <v>3.2207014855159568</v>
      </c>
      <c r="AK47" s="18">
        <f t="shared" si="116"/>
        <v>3.3003713397088239</v>
      </c>
      <c r="AL47" s="18">
        <f t="shared" si="116"/>
        <v>3.3262759705234348</v>
      </c>
      <c r="AM47" s="18">
        <f t="shared" si="116"/>
        <v>3.2346022315058303</v>
      </c>
      <c r="AO47" s="68">
        <f t="shared" si="117"/>
        <v>3.7556969300851089</v>
      </c>
      <c r="AP47" s="69">
        <f t="shared" si="118"/>
        <v>38.652737972573917</v>
      </c>
      <c r="AQ47" s="69">
        <f t="shared" si="119"/>
        <v>42.408434902659032</v>
      </c>
      <c r="AS47" t="str">
        <f t="shared" si="143"/>
        <v>21 Science, research, engineering and technology professionals</v>
      </c>
      <c r="AT47" s="18">
        <f t="shared" si="120"/>
        <v>9.5383751381972424</v>
      </c>
      <c r="AU47" s="18">
        <f t="shared" si="120"/>
        <v>9.6054948918589087</v>
      </c>
      <c r="AV47" s="18">
        <f t="shared" si="120"/>
        <v>9.6095278649248712</v>
      </c>
      <c r="AW47" s="18">
        <f t="shared" si="120"/>
        <v>8.5723560649445378</v>
      </c>
      <c r="AX47" s="18">
        <f t="shared" si="120"/>
        <v>7.2721739728146453</v>
      </c>
      <c r="AZ47" s="68">
        <f t="shared" si="121"/>
        <v>-10.616295417640186</v>
      </c>
      <c r="BA47" s="69">
        <f t="shared" si="122"/>
        <v>32.386002727066725</v>
      </c>
      <c r="BB47" s="69">
        <f t="shared" si="123"/>
        <v>21.769707309426536</v>
      </c>
      <c r="BD47" t="str">
        <f t="shared" si="144"/>
        <v>21 Science, research, engineering and technology professionals</v>
      </c>
      <c r="BE47" s="18">
        <f t="shared" si="124"/>
        <v>3.2701093363821836</v>
      </c>
      <c r="BF47" s="18">
        <f t="shared" si="124"/>
        <v>3.5156078587503843</v>
      </c>
      <c r="BG47" s="18">
        <f t="shared" si="124"/>
        <v>3.9486312153303178</v>
      </c>
      <c r="BH47" s="18">
        <f t="shared" si="124"/>
        <v>3.6511700588924749</v>
      </c>
      <c r="BI47" s="18">
        <f t="shared" si="124"/>
        <v>3.6758288038118181</v>
      </c>
      <c r="BK47" s="68">
        <f t="shared" si="125"/>
        <v>-1.6700288870515045</v>
      </c>
      <c r="BL47" s="69">
        <f t="shared" si="126"/>
        <v>29.374438935632121</v>
      </c>
      <c r="BM47" s="69">
        <f t="shared" si="127"/>
        <v>27.704410048580613</v>
      </c>
      <c r="BO47" t="str">
        <f t="shared" si="145"/>
        <v>21 Science, research, engineering and technology professionals</v>
      </c>
      <c r="BP47" s="18">
        <f t="shared" si="128"/>
        <v>2.2286061966103929</v>
      </c>
      <c r="BQ47" s="18">
        <f t="shared" si="128"/>
        <v>2.4378483128065049</v>
      </c>
      <c r="BR47" s="18">
        <f t="shared" si="128"/>
        <v>2.8435241684173498</v>
      </c>
      <c r="BS47" s="18">
        <f t="shared" si="128"/>
        <v>2.663762081787425</v>
      </c>
      <c r="BT47" s="18">
        <f t="shared" si="128"/>
        <v>2.6495722454423354</v>
      </c>
      <c r="BV47" s="68">
        <f t="shared" si="129"/>
        <v>-14.048261110524972</v>
      </c>
      <c r="BW47" s="69">
        <f t="shared" si="130"/>
        <v>32.873911939596063</v>
      </c>
      <c r="BX47" s="69">
        <f t="shared" si="131"/>
        <v>18.82565082907109</v>
      </c>
      <c r="BZ47" t="str">
        <f t="shared" si="146"/>
        <v>21 Science, research, engineering and technology professionals</v>
      </c>
      <c r="CA47" s="18">
        <f t="shared" si="132"/>
        <v>1.9930538864021456</v>
      </c>
      <c r="CB47" s="18">
        <f t="shared" si="132"/>
        <v>2.2889888170010089</v>
      </c>
      <c r="CC47" s="18">
        <f t="shared" si="132"/>
        <v>2.7521273520992633</v>
      </c>
      <c r="CD47" s="18">
        <f t="shared" si="132"/>
        <v>2.7352313170466278</v>
      </c>
      <c r="CE47" s="18">
        <f t="shared" si="132"/>
        <v>3.067553914537255</v>
      </c>
      <c r="CG47" s="68">
        <f t="shared" si="133"/>
        <v>-40.726258391454827</v>
      </c>
      <c r="CH47" s="69">
        <f t="shared" si="134"/>
        <v>24.492329320522781</v>
      </c>
      <c r="CI47" s="69">
        <f t="shared" si="135"/>
        <v>-16.233929070932049</v>
      </c>
      <c r="CK47" t="str">
        <f t="shared" si="147"/>
        <v>21 Science, research, engineering and technology professionals</v>
      </c>
      <c r="CL47" s="18">
        <f t="shared" si="136"/>
        <v>1.1787560976577889</v>
      </c>
      <c r="CM47" s="18">
        <f t="shared" si="136"/>
        <v>1.6056706049079175</v>
      </c>
      <c r="CN47" s="18">
        <f t="shared" si="136"/>
        <v>1.8942986780141569</v>
      </c>
      <c r="CO47" s="18">
        <f t="shared" si="136"/>
        <v>2.3566374537712491</v>
      </c>
      <c r="CP47" s="18">
        <f t="shared" si="136"/>
        <v>3.1186263276671089</v>
      </c>
      <c r="CR47" s="68">
        <f t="shared" si="137"/>
        <v>-37.094130895016264</v>
      </c>
      <c r="CS47" s="69">
        <f t="shared" si="138"/>
        <v>23.959917160496165</v>
      </c>
      <c r="CT47" s="69">
        <f t="shared" si="139"/>
        <v>-13.134213734520097</v>
      </c>
    </row>
    <row r="48" spans="1:98" x14ac:dyDescent="0.25">
      <c r="A48" t="str">
        <f t="shared" si="103"/>
        <v>22 Health professionals</v>
      </c>
      <c r="B48" s="18">
        <f t="shared" si="104"/>
        <v>19.188664289367672</v>
      </c>
      <c r="C48" s="18">
        <f t="shared" si="104"/>
        <v>24.166771148353369</v>
      </c>
      <c r="D48" s="18">
        <f t="shared" si="104"/>
        <v>24.211305530435958</v>
      </c>
      <c r="E48" s="18">
        <f t="shared" si="104"/>
        <v>25.389405557861782</v>
      </c>
      <c r="F48" s="18">
        <f t="shared" si="104"/>
        <v>26.074321117226688</v>
      </c>
      <c r="H48" s="68">
        <f t="shared" si="105"/>
        <v>104.78295262370334</v>
      </c>
      <c r="I48" s="69">
        <f t="shared" si="106"/>
        <v>73.405519270963779</v>
      </c>
      <c r="J48" s="69">
        <f t="shared" si="107"/>
        <v>178.18847189466715</v>
      </c>
      <c r="L48" t="str">
        <f t="shared" si="140"/>
        <v>22 Health professionals</v>
      </c>
      <c r="M48" s="18">
        <f t="shared" si="108"/>
        <v>8.9519258494870435</v>
      </c>
      <c r="N48" s="18">
        <f t="shared" si="108"/>
        <v>11.028733170970911</v>
      </c>
      <c r="O48" s="18">
        <f t="shared" si="108"/>
        <v>10.906517661290763</v>
      </c>
      <c r="P48" s="18">
        <f t="shared" si="108"/>
        <v>11.277767998124881</v>
      </c>
      <c r="Q48" s="18">
        <f t="shared" si="108"/>
        <v>11.3268418581085</v>
      </c>
      <c r="S48" s="68">
        <f t="shared" si="109"/>
        <v>93.461314766384746</v>
      </c>
      <c r="T48" s="69">
        <f t="shared" si="110"/>
        <v>74.11657334999596</v>
      </c>
      <c r="U48" s="69">
        <f t="shared" si="111"/>
        <v>167.57788811638071</v>
      </c>
      <c r="W48" t="str">
        <f t="shared" si="141"/>
        <v>22 Health professionals</v>
      </c>
      <c r="X48" s="18">
        <f t="shared" si="112"/>
        <v>9.223492499114986</v>
      </c>
      <c r="Y48" s="18">
        <f t="shared" si="112"/>
        <v>11.328746249936557</v>
      </c>
      <c r="Z48" s="18">
        <f t="shared" si="112"/>
        <v>10.798655019618854</v>
      </c>
      <c r="AA48" s="18">
        <f t="shared" si="112"/>
        <v>11.1887184285504</v>
      </c>
      <c r="AB48" s="18">
        <f t="shared" si="112"/>
        <v>10.340133688146109</v>
      </c>
      <c r="AD48" s="68">
        <f t="shared" si="113"/>
        <v>17.901670856268741</v>
      </c>
      <c r="AE48" s="69">
        <f t="shared" si="114"/>
        <v>65.738012980434419</v>
      </c>
      <c r="AF48" s="69">
        <f t="shared" si="115"/>
        <v>83.639683836703185</v>
      </c>
      <c r="AH48" t="str">
        <f t="shared" si="142"/>
        <v>22 Health professionals</v>
      </c>
      <c r="AI48" s="18">
        <f t="shared" si="116"/>
        <v>14.953944165515637</v>
      </c>
      <c r="AJ48" s="18">
        <f t="shared" si="116"/>
        <v>13.824783407244775</v>
      </c>
      <c r="AK48" s="18">
        <f t="shared" si="116"/>
        <v>12.128767502817393</v>
      </c>
      <c r="AL48" s="18">
        <f t="shared" si="116"/>
        <v>7.5730584602906452</v>
      </c>
      <c r="AM48" s="18">
        <f t="shared" si="116"/>
        <v>2.5248362491047072</v>
      </c>
      <c r="AO48" s="68">
        <f t="shared" si="117"/>
        <v>-77.962089104142862</v>
      </c>
      <c r="AP48" s="69">
        <f t="shared" si="118"/>
        <v>20.414234370469362</v>
      </c>
      <c r="AQ48" s="69">
        <f t="shared" si="119"/>
        <v>-57.54785473367351</v>
      </c>
      <c r="AS48" t="str">
        <f t="shared" si="143"/>
        <v>22 Health professionals</v>
      </c>
      <c r="AT48" s="18">
        <f t="shared" si="120"/>
        <v>1.883185176036263</v>
      </c>
      <c r="AU48" s="18">
        <f t="shared" si="120"/>
        <v>2.2583341104266248</v>
      </c>
      <c r="AV48" s="18">
        <f t="shared" si="120"/>
        <v>2.3534125770044634</v>
      </c>
      <c r="AW48" s="18">
        <f t="shared" si="120"/>
        <v>2.3803252736043192</v>
      </c>
      <c r="AX48" s="18">
        <f t="shared" si="120"/>
        <v>2.2427879412966685</v>
      </c>
      <c r="AZ48" s="68">
        <f t="shared" si="121"/>
        <v>12.560569866994037</v>
      </c>
      <c r="BA48" s="69">
        <f t="shared" si="122"/>
        <v>54.691596589238742</v>
      </c>
      <c r="BB48" s="69">
        <f t="shared" si="123"/>
        <v>67.252166456232771</v>
      </c>
      <c r="BD48" t="str">
        <f t="shared" si="144"/>
        <v>22 Health professionals</v>
      </c>
      <c r="BE48" s="18">
        <f t="shared" si="124"/>
        <v>2.1445008609105032</v>
      </c>
      <c r="BF48" s="18">
        <f t="shared" si="124"/>
        <v>2.7888282509559708</v>
      </c>
      <c r="BG48" s="18">
        <f t="shared" si="124"/>
        <v>2.6727089718172872</v>
      </c>
      <c r="BH48" s="18">
        <f t="shared" si="124"/>
        <v>2.8565609050850407</v>
      </c>
      <c r="BI48" s="18">
        <f t="shared" si="124"/>
        <v>2.6790028733202131</v>
      </c>
      <c r="BK48" s="68">
        <f t="shared" si="125"/>
        <v>5.8762906141039428</v>
      </c>
      <c r="BL48" s="69">
        <f t="shared" si="126"/>
        <v>61.622585598016158</v>
      </c>
      <c r="BM48" s="69">
        <f t="shared" si="127"/>
        <v>67.498876212120095</v>
      </c>
      <c r="BO48" t="str">
        <f t="shared" si="145"/>
        <v>22 Health professionals</v>
      </c>
      <c r="BP48" s="18">
        <f t="shared" si="128"/>
        <v>1.6971516532750599</v>
      </c>
      <c r="BQ48" s="18">
        <f t="shared" si="128"/>
        <v>2.1085338814539569</v>
      </c>
      <c r="BR48" s="18">
        <f t="shared" si="128"/>
        <v>2.0251856364325977</v>
      </c>
      <c r="BS48" s="18">
        <f t="shared" si="128"/>
        <v>2.1022453319428109</v>
      </c>
      <c r="BT48" s="18">
        <f t="shared" si="128"/>
        <v>1.94092054270192</v>
      </c>
      <c r="BV48" s="68">
        <f t="shared" si="129"/>
        <v>-11.594610184585875</v>
      </c>
      <c r="BW48" s="69">
        <f t="shared" si="130"/>
        <v>53.938223016434975</v>
      </c>
      <c r="BX48" s="69">
        <f t="shared" si="131"/>
        <v>42.3436128318491</v>
      </c>
      <c r="BZ48" t="str">
        <f t="shared" si="146"/>
        <v>22 Health professionals</v>
      </c>
      <c r="CA48" s="18">
        <f t="shared" si="132"/>
        <v>1.3502201326541654</v>
      </c>
      <c r="CB48" s="18">
        <f t="shared" si="132"/>
        <v>1.8739242038141728</v>
      </c>
      <c r="CC48" s="18">
        <f t="shared" si="132"/>
        <v>1.5639120952190115</v>
      </c>
      <c r="CD48" s="18">
        <f t="shared" si="132"/>
        <v>1.6088662422538949</v>
      </c>
      <c r="CE48" s="18">
        <f t="shared" si="132"/>
        <v>1.2755684199187645</v>
      </c>
      <c r="CG48" s="68">
        <f t="shared" si="133"/>
        <v>-56.625939110293565</v>
      </c>
      <c r="CH48" s="69">
        <f t="shared" si="134"/>
        <v>32.269499262485404</v>
      </c>
      <c r="CI48" s="69">
        <f t="shared" si="135"/>
        <v>-24.356439847808165</v>
      </c>
      <c r="CK48" t="str">
        <f t="shared" si="147"/>
        <v>22 Health professionals</v>
      </c>
      <c r="CL48" s="18">
        <f t="shared" si="136"/>
        <v>0.51683359842602794</v>
      </c>
      <c r="CM48" s="18">
        <f t="shared" si="136"/>
        <v>0.75476244582578211</v>
      </c>
      <c r="CN48" s="18">
        <f t="shared" si="136"/>
        <v>0.97167014019103048</v>
      </c>
      <c r="CO48" s="18">
        <f t="shared" si="136"/>
        <v>1.4384627183899519</v>
      </c>
      <c r="CP48" s="18">
        <f t="shared" si="136"/>
        <v>2.8058022160946572</v>
      </c>
      <c r="CR48" s="68">
        <f t="shared" si="137"/>
        <v>10.335299749024735</v>
      </c>
      <c r="CS48" s="69">
        <f t="shared" si="138"/>
        <v>45.037038107842925</v>
      </c>
      <c r="CT48" s="69">
        <f t="shared" si="139"/>
        <v>55.372337856867659</v>
      </c>
    </row>
    <row r="49" spans="1:98" x14ac:dyDescent="0.25">
      <c r="A49" t="str">
        <f t="shared" si="103"/>
        <v>23 Teaching and other educational professionals</v>
      </c>
      <c r="B49" s="18">
        <f t="shared" si="104"/>
        <v>28.49881819620861</v>
      </c>
      <c r="C49" s="18">
        <f t="shared" si="104"/>
        <v>26.021301462406711</v>
      </c>
      <c r="D49" s="18">
        <f t="shared" si="104"/>
        <v>27.704790156724137</v>
      </c>
      <c r="E49" s="18">
        <f t="shared" si="104"/>
        <v>25.78688138559615</v>
      </c>
      <c r="F49" s="18">
        <f t="shared" si="104"/>
        <v>22.377868134641218</v>
      </c>
      <c r="H49" s="68">
        <f t="shared" si="105"/>
        <v>53.589966018775733</v>
      </c>
      <c r="I49" s="69">
        <f t="shared" si="106"/>
        <v>63.374587140926351</v>
      </c>
      <c r="J49" s="69">
        <f t="shared" si="107"/>
        <v>116.96455315970209</v>
      </c>
      <c r="L49" t="str">
        <f t="shared" si="140"/>
        <v>23 Teaching and other educational professionals</v>
      </c>
      <c r="M49" s="18">
        <f t="shared" si="108"/>
        <v>24.380973989436256</v>
      </c>
      <c r="N49" s="18">
        <f t="shared" si="108"/>
        <v>22.92316697265737</v>
      </c>
      <c r="O49" s="18">
        <f t="shared" si="108"/>
        <v>23.94671225959663</v>
      </c>
      <c r="P49" s="18">
        <f t="shared" si="108"/>
        <v>22.447279072801496</v>
      </c>
      <c r="Q49" s="18">
        <f t="shared" si="108"/>
        <v>19.428124309425129</v>
      </c>
      <c r="S49" s="68">
        <f t="shared" si="109"/>
        <v>51.131983650298295</v>
      </c>
      <c r="T49" s="69">
        <f t="shared" si="110"/>
        <v>64.697681391366473</v>
      </c>
      <c r="U49" s="69">
        <f t="shared" si="111"/>
        <v>115.82966504166478</v>
      </c>
      <c r="W49" t="str">
        <f t="shared" si="141"/>
        <v>23 Teaching and other educational professionals</v>
      </c>
      <c r="X49" s="18">
        <f t="shared" si="112"/>
        <v>7.5793005325594907</v>
      </c>
      <c r="Y49" s="18">
        <f t="shared" si="112"/>
        <v>6.1644153729096258</v>
      </c>
      <c r="Z49" s="18">
        <f t="shared" si="112"/>
        <v>6.214959739315284</v>
      </c>
      <c r="AA49" s="18">
        <f t="shared" si="112"/>
        <v>4.902012260778239</v>
      </c>
      <c r="AB49" s="18">
        <f t="shared" si="112"/>
        <v>3.1223624211842971</v>
      </c>
      <c r="AD49" s="68">
        <f t="shared" si="113"/>
        <v>-38.140206639662019</v>
      </c>
      <c r="AE49" s="69">
        <f t="shared" si="114"/>
        <v>42.803796892061555</v>
      </c>
      <c r="AF49" s="69">
        <f t="shared" si="115"/>
        <v>4.6635902523995343</v>
      </c>
      <c r="AH49" t="str">
        <f t="shared" si="142"/>
        <v>23 Teaching and other educational professionals</v>
      </c>
      <c r="AI49" s="18">
        <f t="shared" si="116"/>
        <v>3.2554675265013628</v>
      </c>
      <c r="AJ49" s="18">
        <f t="shared" si="116"/>
        <v>1.7315194500284248</v>
      </c>
      <c r="AK49" s="18">
        <f t="shared" si="116"/>
        <v>1.5294986026812414</v>
      </c>
      <c r="AL49" s="18">
        <f t="shared" si="116"/>
        <v>0.97736577353535015</v>
      </c>
      <c r="AM49" s="18">
        <f t="shared" si="116"/>
        <v>0.89019153693959829</v>
      </c>
      <c r="AO49" s="68">
        <f t="shared" si="117"/>
        <v>-38.384744499070237</v>
      </c>
      <c r="AP49" s="69">
        <f t="shared" si="118"/>
        <v>19.377850232694854</v>
      </c>
      <c r="AQ49" s="69">
        <f t="shared" si="119"/>
        <v>-19.006894266375379</v>
      </c>
      <c r="AS49" t="str">
        <f t="shared" si="143"/>
        <v>23 Teaching and other educational professionals</v>
      </c>
      <c r="AT49" s="18">
        <f t="shared" si="120"/>
        <v>0.80248968008300969</v>
      </c>
      <c r="AU49" s="18">
        <f t="shared" si="120"/>
        <v>0.68031896127974756</v>
      </c>
      <c r="AV49" s="18">
        <f t="shared" si="120"/>
        <v>0.71629776985493143</v>
      </c>
      <c r="AW49" s="18">
        <f t="shared" si="120"/>
        <v>0.55566625420050952</v>
      </c>
      <c r="AX49" s="18">
        <f t="shared" si="120"/>
        <v>0.39720688726227193</v>
      </c>
      <c r="AZ49" s="68">
        <f t="shared" si="121"/>
        <v>-34.503316122672153</v>
      </c>
      <c r="BA49" s="69">
        <f t="shared" si="122"/>
        <v>37.940932903552735</v>
      </c>
      <c r="BB49" s="69">
        <f t="shared" si="123"/>
        <v>3.4376167808805826</v>
      </c>
      <c r="BD49" t="str">
        <f t="shared" si="144"/>
        <v>23 Teaching and other educational professionals</v>
      </c>
      <c r="BE49" s="18">
        <f t="shared" si="124"/>
        <v>0.79294318368067351</v>
      </c>
      <c r="BF49" s="18">
        <f t="shared" si="124"/>
        <v>0.75031124056332144</v>
      </c>
      <c r="BG49" s="18">
        <f t="shared" si="124"/>
        <v>0.85483167785574155</v>
      </c>
      <c r="BH49" s="18">
        <f t="shared" si="124"/>
        <v>0.81809513697731184</v>
      </c>
      <c r="BI49" s="18">
        <f t="shared" si="124"/>
        <v>0.82041507134507796</v>
      </c>
      <c r="BK49" s="68">
        <f t="shared" si="125"/>
        <v>1.3748516677717402</v>
      </c>
      <c r="BL49" s="69">
        <f t="shared" si="126"/>
        <v>44.515170879096026</v>
      </c>
      <c r="BM49" s="69">
        <f t="shared" si="127"/>
        <v>45.890022546867762</v>
      </c>
      <c r="BO49" t="str">
        <f t="shared" si="145"/>
        <v>23 Teaching and other educational professionals</v>
      </c>
      <c r="BP49" s="18">
        <f t="shared" si="128"/>
        <v>0.69357365464298004</v>
      </c>
      <c r="BQ49" s="18">
        <f t="shared" si="128"/>
        <v>0.67360919408857389</v>
      </c>
      <c r="BR49" s="18">
        <f t="shared" si="128"/>
        <v>0.70104368920203275</v>
      </c>
      <c r="BS49" s="18">
        <f t="shared" si="128"/>
        <v>0.65574074142226202</v>
      </c>
      <c r="BT49" s="18">
        <f t="shared" si="128"/>
        <v>0.57987526462104133</v>
      </c>
      <c r="BV49" s="68">
        <f t="shared" si="129"/>
        <v>-23.699861740009826</v>
      </c>
      <c r="BW49" s="69">
        <f t="shared" si="130"/>
        <v>47.962874177739764</v>
      </c>
      <c r="BX49" s="69">
        <f t="shared" si="131"/>
        <v>24.263012437729945</v>
      </c>
      <c r="BZ49" t="str">
        <f t="shared" si="146"/>
        <v>23 Teaching and other educational professionals</v>
      </c>
      <c r="CA49" s="18">
        <f t="shared" si="132"/>
        <v>0.64881715583052912</v>
      </c>
      <c r="CB49" s="18">
        <f t="shared" si="132"/>
        <v>0.70716811559084891</v>
      </c>
      <c r="CC49" s="18">
        <f t="shared" si="132"/>
        <v>0.78129658622046161</v>
      </c>
      <c r="CD49" s="18">
        <f t="shared" si="132"/>
        <v>0.78081963633911056</v>
      </c>
      <c r="CE49" s="18">
        <f t="shared" si="132"/>
        <v>0.7416508844806099</v>
      </c>
      <c r="CG49" s="68">
        <f t="shared" si="133"/>
        <v>-49.519661672069503</v>
      </c>
      <c r="CH49" s="69">
        <f t="shared" si="134"/>
        <v>35.705711012931332</v>
      </c>
      <c r="CI49" s="69">
        <f t="shared" si="135"/>
        <v>-13.813950659138175</v>
      </c>
      <c r="CK49" t="str">
        <f t="shared" si="147"/>
        <v>23 Teaching and other educational professionals</v>
      </c>
      <c r="CL49" s="18">
        <f t="shared" si="136"/>
        <v>0.3522524725638746</v>
      </c>
      <c r="CM49" s="18">
        <f t="shared" si="136"/>
        <v>0.47149684793275426</v>
      </c>
      <c r="CN49" s="18">
        <f t="shared" si="136"/>
        <v>0.664847190913057</v>
      </c>
      <c r="CO49" s="18">
        <f t="shared" si="136"/>
        <v>0.83300148965740151</v>
      </c>
      <c r="CP49" s="18">
        <f t="shared" si="136"/>
        <v>1.069958247715312</v>
      </c>
      <c r="CR49" s="68">
        <f t="shared" si="137"/>
        <v>-38.50762388139993</v>
      </c>
      <c r="CS49" s="69">
        <f t="shared" si="138"/>
        <v>33.543377441354735</v>
      </c>
      <c r="CT49" s="69">
        <f t="shared" si="139"/>
        <v>-4.9642464400451933</v>
      </c>
    </row>
    <row r="50" spans="1:98" x14ac:dyDescent="0.25">
      <c r="A50" t="str">
        <f t="shared" si="103"/>
        <v>24 Business, media and public service professionals</v>
      </c>
      <c r="B50" s="18">
        <f t="shared" si="104"/>
        <v>6.1249416649075128</v>
      </c>
      <c r="C50" s="18">
        <f t="shared" si="104"/>
        <v>6.1981368635236516</v>
      </c>
      <c r="D50" s="18">
        <f t="shared" si="104"/>
        <v>6.4724752055846446</v>
      </c>
      <c r="E50" s="18">
        <f t="shared" si="104"/>
        <v>7.0527016870292627</v>
      </c>
      <c r="F50" s="18">
        <f t="shared" si="104"/>
        <v>7.5043493769893441</v>
      </c>
      <c r="H50" s="68">
        <f t="shared" si="105"/>
        <v>120.4660132350796</v>
      </c>
      <c r="I50" s="69">
        <f t="shared" si="106"/>
        <v>76.843669949283154</v>
      </c>
      <c r="J50" s="69">
        <f t="shared" si="107"/>
        <v>197.30968318436274</v>
      </c>
      <c r="L50" t="str">
        <f t="shared" si="140"/>
        <v>24 Business, media and public service professionals</v>
      </c>
      <c r="M50" s="18">
        <f t="shared" si="108"/>
        <v>11.333649636196167</v>
      </c>
      <c r="N50" s="18">
        <f t="shared" si="108"/>
        <v>11.811625457632342</v>
      </c>
      <c r="O50" s="18">
        <f t="shared" si="108"/>
        <v>11.870021006269402</v>
      </c>
      <c r="P50" s="18">
        <f t="shared" si="108"/>
        <v>12.183829939343383</v>
      </c>
      <c r="Q50" s="18">
        <f t="shared" si="108"/>
        <v>11.735527278808796</v>
      </c>
      <c r="S50" s="68">
        <f t="shared" si="109"/>
        <v>84.171542118418202</v>
      </c>
      <c r="T50" s="69">
        <f t="shared" si="110"/>
        <v>68.540499892117793</v>
      </c>
      <c r="U50" s="69">
        <f t="shared" si="111"/>
        <v>152.71204201053598</v>
      </c>
      <c r="W50" t="str">
        <f t="shared" si="141"/>
        <v>24 Business, media and public service professionals</v>
      </c>
      <c r="X50" s="18">
        <f t="shared" si="112"/>
        <v>10.064944484193505</v>
      </c>
      <c r="Y50" s="18">
        <f t="shared" si="112"/>
        <v>10.219571531487299</v>
      </c>
      <c r="Z50" s="18">
        <f t="shared" si="112"/>
        <v>10.805603522250602</v>
      </c>
      <c r="AA50" s="18">
        <f t="shared" si="112"/>
        <v>11.053048794575353</v>
      </c>
      <c r="AB50" s="18">
        <f t="shared" si="112"/>
        <v>10.605854864467517</v>
      </c>
      <c r="AD50" s="68">
        <f t="shared" si="113"/>
        <v>20.853748238418408</v>
      </c>
      <c r="AE50" s="69">
        <f t="shared" si="114"/>
        <v>59.059169521336585</v>
      </c>
      <c r="AF50" s="69">
        <f t="shared" si="115"/>
        <v>79.912917759755004</v>
      </c>
      <c r="AH50" t="str">
        <f t="shared" si="142"/>
        <v>24 Business, media and public service professionals</v>
      </c>
      <c r="AI50" s="18">
        <f t="shared" si="116"/>
        <v>3.7195658080015943</v>
      </c>
      <c r="AJ50" s="18">
        <f t="shared" si="116"/>
        <v>3.6782150967614871</v>
      </c>
      <c r="AK50" s="18">
        <f t="shared" si="116"/>
        <v>3.9358162465679176</v>
      </c>
      <c r="AL50" s="18">
        <f t="shared" si="116"/>
        <v>3.8775238143490212</v>
      </c>
      <c r="AM50" s="18">
        <f t="shared" si="116"/>
        <v>3.7028704949786171</v>
      </c>
      <c r="AO50" s="68">
        <f t="shared" si="117"/>
        <v>-0.40040183925189271</v>
      </c>
      <c r="AP50" s="69">
        <f t="shared" si="118"/>
        <v>37.589550081803594</v>
      </c>
      <c r="AQ50" s="69">
        <f t="shared" si="119"/>
        <v>37.189148242551703</v>
      </c>
      <c r="AS50" t="str">
        <f t="shared" si="143"/>
        <v>24 Business, media and public service professionals</v>
      </c>
      <c r="AT50" s="18">
        <f t="shared" si="120"/>
        <v>5.4862217011015391</v>
      </c>
      <c r="AU50" s="18">
        <f t="shared" si="120"/>
        <v>5.5819790225570731</v>
      </c>
      <c r="AV50" s="18">
        <f t="shared" si="120"/>
        <v>6.0184930452313088</v>
      </c>
      <c r="AW50" s="18">
        <f t="shared" si="120"/>
        <v>6.2173676839406866</v>
      </c>
      <c r="AX50" s="18">
        <f t="shared" si="120"/>
        <v>6.0004662186742594</v>
      </c>
      <c r="AZ50" s="68">
        <f t="shared" si="121"/>
        <v>17.758800413371532</v>
      </c>
      <c r="BA50" s="69">
        <f t="shared" si="122"/>
        <v>53.535497407888855</v>
      </c>
      <c r="BB50" s="69">
        <f t="shared" si="123"/>
        <v>71.294297821260372</v>
      </c>
      <c r="BD50" t="str">
        <f t="shared" si="144"/>
        <v>24 Business, media and public service professionals</v>
      </c>
      <c r="BE50" s="18">
        <f t="shared" si="124"/>
        <v>3.0952134195883851</v>
      </c>
      <c r="BF50" s="18">
        <f t="shared" si="124"/>
        <v>3.4824359782100154</v>
      </c>
      <c r="BG50" s="18">
        <f t="shared" si="124"/>
        <v>4.0283416079977252</v>
      </c>
      <c r="BH50" s="18">
        <f t="shared" si="124"/>
        <v>4.2971823041977535</v>
      </c>
      <c r="BI50" s="18">
        <f t="shared" si="124"/>
        <v>4.6381622396916633</v>
      </c>
      <c r="BK50" s="68">
        <f t="shared" si="125"/>
        <v>21.617718853620982</v>
      </c>
      <c r="BL50" s="69">
        <f t="shared" si="126"/>
        <v>48.329982269904583</v>
      </c>
      <c r="BM50" s="69">
        <f t="shared" si="127"/>
        <v>69.947701123525562</v>
      </c>
      <c r="BO50" t="str">
        <f t="shared" si="145"/>
        <v>24 Business, media and public service professionals</v>
      </c>
      <c r="BP50" s="18">
        <f t="shared" si="128"/>
        <v>2.2309337640823119</v>
      </c>
      <c r="BQ50" s="18">
        <f t="shared" si="128"/>
        <v>2.3594358743557269</v>
      </c>
      <c r="BR50" s="18">
        <f t="shared" si="128"/>
        <v>2.6742448770099845</v>
      </c>
      <c r="BS50" s="18">
        <f t="shared" si="128"/>
        <v>2.6290296557735298</v>
      </c>
      <c r="BT50" s="18">
        <f t="shared" si="128"/>
        <v>2.5827852355222074</v>
      </c>
      <c r="BV50" s="68">
        <f t="shared" si="129"/>
        <v>-10.911233071234454</v>
      </c>
      <c r="BW50" s="69">
        <f t="shared" si="130"/>
        <v>42.962355176657432</v>
      </c>
      <c r="BX50" s="69">
        <f t="shared" si="131"/>
        <v>32.051122105422976</v>
      </c>
      <c r="BZ50" t="str">
        <f t="shared" si="146"/>
        <v>24 Business, media and public service professionals</v>
      </c>
      <c r="CA50" s="18">
        <f t="shared" si="132"/>
        <v>2.0768112513823356</v>
      </c>
      <c r="CB50" s="18">
        <f t="shared" si="132"/>
        <v>2.424499767215174</v>
      </c>
      <c r="CC50" s="18">
        <f t="shared" si="132"/>
        <v>2.8035245465668077</v>
      </c>
      <c r="CD50" s="18">
        <f t="shared" si="132"/>
        <v>2.9548810971609503</v>
      </c>
      <c r="CE50" s="18">
        <f t="shared" si="132"/>
        <v>3.0797099030382848</v>
      </c>
      <c r="CG50" s="68">
        <f t="shared" si="133"/>
        <v>-41.582346115041076</v>
      </c>
      <c r="CH50" s="69">
        <f t="shared" si="134"/>
        <v>32.116889978492651</v>
      </c>
      <c r="CI50" s="69">
        <f t="shared" si="135"/>
        <v>-9.4654561365484273</v>
      </c>
      <c r="CK50" t="str">
        <f t="shared" si="147"/>
        <v>24 Business, media and public service professionals</v>
      </c>
      <c r="CL50" s="18">
        <f t="shared" si="136"/>
        <v>1.2651986533972732</v>
      </c>
      <c r="CM50" s="18">
        <f t="shared" si="136"/>
        <v>1.6407264341053995</v>
      </c>
      <c r="CN50" s="18">
        <f t="shared" si="136"/>
        <v>2.0273546906287261</v>
      </c>
      <c r="CO50" s="18">
        <f t="shared" si="136"/>
        <v>2.4283692083246566</v>
      </c>
      <c r="CP50" s="18">
        <f t="shared" si="136"/>
        <v>3.0493684925148909</v>
      </c>
      <c r="CR50" s="68">
        <f t="shared" si="137"/>
        <v>-42.527980946849588</v>
      </c>
      <c r="CS50" s="69">
        <f t="shared" si="138"/>
        <v>26.487995126424853</v>
      </c>
      <c r="CT50" s="69">
        <f t="shared" si="139"/>
        <v>-16.039985820424736</v>
      </c>
    </row>
    <row r="51" spans="1:98" x14ac:dyDescent="0.25">
      <c r="A51" t="str">
        <f t="shared" si="103"/>
        <v>31 Science, engineering and technology associate professionals</v>
      </c>
      <c r="B51" s="18">
        <f t="shared" si="104"/>
        <v>2.0607751345951368</v>
      </c>
      <c r="C51" s="18">
        <f t="shared" si="104"/>
        <v>1.9212461348142833</v>
      </c>
      <c r="D51" s="18">
        <f t="shared" si="104"/>
        <v>1.8930835349230815</v>
      </c>
      <c r="E51" s="18">
        <f t="shared" si="104"/>
        <v>1.7671401028919644</v>
      </c>
      <c r="F51" s="18">
        <f t="shared" si="104"/>
        <v>1.9659865410194766</v>
      </c>
      <c r="H51" s="68">
        <f t="shared" si="105"/>
        <v>97.473926279110074</v>
      </c>
      <c r="I51" s="69">
        <f t="shared" si="106"/>
        <v>63.092403317703457</v>
      </c>
      <c r="J51" s="69">
        <f t="shared" si="107"/>
        <v>160.56632959681355</v>
      </c>
      <c r="L51" t="str">
        <f t="shared" si="140"/>
        <v>31 Science, engineering and technology associate professionals</v>
      </c>
      <c r="M51" s="18">
        <f t="shared" si="108"/>
        <v>1.9707634935618006</v>
      </c>
      <c r="N51" s="18">
        <f t="shared" si="108"/>
        <v>1.9548093497864079</v>
      </c>
      <c r="O51" s="18">
        <f t="shared" si="108"/>
        <v>1.8716403473281338</v>
      </c>
      <c r="P51" s="18">
        <f t="shared" si="108"/>
        <v>1.5610195647055796</v>
      </c>
      <c r="Q51" s="18">
        <f t="shared" si="108"/>
        <v>1.482863862411465</v>
      </c>
      <c r="S51" s="68">
        <f t="shared" si="109"/>
        <v>47.587741714461615</v>
      </c>
      <c r="T51" s="69">
        <f t="shared" si="110"/>
        <v>48.798513313090133</v>
      </c>
      <c r="U51" s="69">
        <f t="shared" si="111"/>
        <v>96.386255027551755</v>
      </c>
      <c r="W51" t="str">
        <f t="shared" si="141"/>
        <v>31 Science, engineering and technology associate professionals</v>
      </c>
      <c r="X51" s="18">
        <f t="shared" si="112"/>
        <v>2.1679995206629075</v>
      </c>
      <c r="Y51" s="18">
        <f t="shared" si="112"/>
        <v>2.1546493869282366</v>
      </c>
      <c r="Z51" s="18">
        <f t="shared" si="112"/>
        <v>2.1504538257234689</v>
      </c>
      <c r="AA51" s="18">
        <f t="shared" si="112"/>
        <v>1.7989882947918745</v>
      </c>
      <c r="AB51" s="18">
        <f t="shared" si="112"/>
        <v>1.6948199961721513</v>
      </c>
      <c r="AD51" s="68">
        <f t="shared" si="113"/>
        <v>-2.9586274370778995</v>
      </c>
      <c r="AE51" s="69">
        <f t="shared" si="114"/>
        <v>41.175144210250345</v>
      </c>
      <c r="AF51" s="69">
        <f t="shared" si="115"/>
        <v>38.216516773172451</v>
      </c>
      <c r="AH51" t="str">
        <f t="shared" si="142"/>
        <v>31 Science, engineering and technology associate professionals</v>
      </c>
      <c r="AI51" s="18">
        <f t="shared" si="116"/>
        <v>1.1833822935587583</v>
      </c>
      <c r="AJ51" s="18">
        <f t="shared" si="116"/>
        <v>1.3512283426339513</v>
      </c>
      <c r="AK51" s="18">
        <f t="shared" si="116"/>
        <v>1.4302826708812992</v>
      </c>
      <c r="AL51" s="18">
        <f t="shared" si="116"/>
        <v>1.4165578967092636</v>
      </c>
      <c r="AM51" s="18">
        <f t="shared" si="116"/>
        <v>1.6674528751808737</v>
      </c>
      <c r="AO51" s="68">
        <f t="shared" si="117"/>
        <v>23.420007723816251</v>
      </c>
      <c r="AP51" s="69">
        <f t="shared" si="118"/>
        <v>48.708219230569171</v>
      </c>
      <c r="AQ51" s="69">
        <f t="shared" si="119"/>
        <v>72.128226954385426</v>
      </c>
      <c r="AS51" t="str">
        <f t="shared" si="143"/>
        <v>31 Science, engineering and technology associate professionals</v>
      </c>
      <c r="AT51" s="18">
        <f t="shared" si="120"/>
        <v>3.4188443980063861</v>
      </c>
      <c r="AU51" s="18">
        <f t="shared" si="120"/>
        <v>3.4481472592886608</v>
      </c>
      <c r="AV51" s="18">
        <f t="shared" si="120"/>
        <v>3.4434320640369553</v>
      </c>
      <c r="AW51" s="18">
        <f t="shared" si="120"/>
        <v>2.6551983943930701</v>
      </c>
      <c r="AX51" s="18">
        <f t="shared" si="120"/>
        <v>2.2641339726352943</v>
      </c>
      <c r="AZ51" s="68">
        <f t="shared" si="121"/>
        <v>-22.3383268286318</v>
      </c>
      <c r="BA51" s="69">
        <f t="shared" si="122"/>
        <v>30.353567323559457</v>
      </c>
      <c r="BB51" s="69">
        <f t="shared" si="123"/>
        <v>8.0152404949276566</v>
      </c>
      <c r="BD51" t="str">
        <f t="shared" si="144"/>
        <v>31 Science, engineering and technology associate professionals</v>
      </c>
      <c r="BE51" s="18">
        <f t="shared" si="124"/>
        <v>1.5190664709312571</v>
      </c>
      <c r="BF51" s="18">
        <f t="shared" si="124"/>
        <v>1.4134781892518038</v>
      </c>
      <c r="BG51" s="18">
        <f t="shared" si="124"/>
        <v>1.6114225620712932</v>
      </c>
      <c r="BH51" s="18">
        <f t="shared" si="124"/>
        <v>1.20773672099125</v>
      </c>
      <c r="BI51" s="18">
        <f t="shared" si="124"/>
        <v>1.0227396458436733</v>
      </c>
      <c r="BK51" s="68">
        <f t="shared" si="125"/>
        <v>-32.960176717779468</v>
      </c>
      <c r="BL51" s="69">
        <f t="shared" si="126"/>
        <v>26.265294148833394</v>
      </c>
      <c r="BM51" s="69">
        <f t="shared" si="127"/>
        <v>-6.6948825689460785</v>
      </c>
      <c r="BO51" t="str">
        <f t="shared" si="145"/>
        <v>31 Science, engineering and technology associate professionals</v>
      </c>
      <c r="BP51" s="18">
        <f t="shared" si="128"/>
        <v>1.0424877562376311</v>
      </c>
      <c r="BQ51" s="18">
        <f t="shared" si="128"/>
        <v>1.1622382982916495</v>
      </c>
      <c r="BR51" s="18">
        <f t="shared" si="128"/>
        <v>1.3839732012686363</v>
      </c>
      <c r="BS51" s="18">
        <f t="shared" si="128"/>
        <v>1.1351809685958205</v>
      </c>
      <c r="BT51" s="18">
        <f t="shared" si="128"/>
        <v>1.2031773193356832</v>
      </c>
      <c r="BV51" s="68">
        <f t="shared" si="129"/>
        <v>-19.806756144268927</v>
      </c>
      <c r="BW51" s="69">
        <f t="shared" si="130"/>
        <v>32.922596220708634</v>
      </c>
      <c r="BX51" s="69">
        <f t="shared" si="131"/>
        <v>13.115840076439705</v>
      </c>
      <c r="BZ51" t="str">
        <f t="shared" si="146"/>
        <v>31 Science, engineering and technology associate professionals</v>
      </c>
      <c r="CA51" s="18">
        <f t="shared" si="132"/>
        <v>1.1787367895628647</v>
      </c>
      <c r="CB51" s="18">
        <f t="shared" si="132"/>
        <v>1.3797537578257981</v>
      </c>
      <c r="CC51" s="18">
        <f t="shared" si="132"/>
        <v>1.7701980071762073</v>
      </c>
      <c r="CD51" s="18">
        <f t="shared" si="132"/>
        <v>1.4728251136717052</v>
      </c>
      <c r="CE51" s="18">
        <f t="shared" si="132"/>
        <v>1.8145135219040938</v>
      </c>
      <c r="CG51" s="68">
        <f t="shared" si="133"/>
        <v>-45.489894052965411</v>
      </c>
      <c r="CH51" s="69">
        <f t="shared" si="134"/>
        <v>24.637828307405009</v>
      </c>
      <c r="CI51" s="69">
        <f t="shared" si="135"/>
        <v>-20.852065745560406</v>
      </c>
      <c r="CK51" t="str">
        <f t="shared" si="147"/>
        <v>31 Science, engineering and technology associate professionals</v>
      </c>
      <c r="CL51" s="18">
        <f t="shared" si="136"/>
        <v>0.5540064108428242</v>
      </c>
      <c r="CM51" s="18">
        <f t="shared" si="136"/>
        <v>0.75997006534792988</v>
      </c>
      <c r="CN51" s="18">
        <f t="shared" si="136"/>
        <v>1.0257911391520795</v>
      </c>
      <c r="CO51" s="18">
        <f t="shared" si="136"/>
        <v>1.2767215485827461</v>
      </c>
      <c r="CP51" s="18">
        <f t="shared" si="136"/>
        <v>2.3459527922275973</v>
      </c>
      <c r="CR51" s="68">
        <f t="shared" si="137"/>
        <v>-12.615056970071887</v>
      </c>
      <c r="CS51" s="69">
        <f t="shared" si="138"/>
        <v>32.470490465034267</v>
      </c>
      <c r="CT51" s="69">
        <f t="shared" si="139"/>
        <v>19.855433494962384</v>
      </c>
    </row>
    <row r="52" spans="1:98" x14ac:dyDescent="0.25">
      <c r="A52" t="str">
        <f t="shared" si="103"/>
        <v>32 Health and social care associate professionals</v>
      </c>
      <c r="B52" s="18">
        <f t="shared" si="104"/>
        <v>0.53059902283004301</v>
      </c>
      <c r="C52" s="18">
        <f t="shared" si="104"/>
        <v>0.59286223467388055</v>
      </c>
      <c r="D52" s="18">
        <f t="shared" si="104"/>
        <v>0.54565330954763602</v>
      </c>
      <c r="E52" s="18">
        <f t="shared" si="104"/>
        <v>0.60625481483826282</v>
      </c>
      <c r="F52" s="18">
        <f t="shared" si="104"/>
        <v>0.80624002424607522</v>
      </c>
      <c r="H52" s="68">
        <f t="shared" si="105"/>
        <v>180.96133603044723</v>
      </c>
      <c r="I52" s="69">
        <f t="shared" si="106"/>
        <v>101.97080585061518</v>
      </c>
      <c r="J52" s="69">
        <f t="shared" si="107"/>
        <v>282.93214188106242</v>
      </c>
      <c r="L52" t="str">
        <f t="shared" si="140"/>
        <v>32 Health and social care associate professionals</v>
      </c>
      <c r="M52" s="18">
        <f t="shared" si="108"/>
        <v>2.0684494912796016</v>
      </c>
      <c r="N52" s="18">
        <f t="shared" si="108"/>
        <v>2.5296730483937848</v>
      </c>
      <c r="O52" s="18">
        <f t="shared" si="108"/>
        <v>2.6013781912030973</v>
      </c>
      <c r="P52" s="18">
        <f t="shared" si="108"/>
        <v>2.7121506288460995</v>
      </c>
      <c r="Q52" s="18">
        <f t="shared" si="108"/>
        <v>3.2789356925324786</v>
      </c>
      <c r="S52" s="68">
        <f t="shared" si="109"/>
        <v>134.8014686684451</v>
      </c>
      <c r="T52" s="69">
        <f t="shared" si="110"/>
        <v>87.456519412337997</v>
      </c>
      <c r="U52" s="69">
        <f t="shared" si="111"/>
        <v>222.25798808078306</v>
      </c>
      <c r="W52" t="str">
        <f t="shared" si="141"/>
        <v>32 Health and social care associate professionals</v>
      </c>
      <c r="X52" s="18">
        <f t="shared" si="112"/>
        <v>3.0542121802924211</v>
      </c>
      <c r="Y52" s="18">
        <f t="shared" si="112"/>
        <v>3.8160400297255475</v>
      </c>
      <c r="Z52" s="18">
        <f t="shared" si="112"/>
        <v>3.8247248894708914</v>
      </c>
      <c r="AA52" s="18">
        <f t="shared" si="112"/>
        <v>3.9766826646587461</v>
      </c>
      <c r="AB52" s="18">
        <f t="shared" si="112"/>
        <v>4.1551189202480066</v>
      </c>
      <c r="AD52" s="68">
        <f t="shared" si="113"/>
        <v>33.766304441665575</v>
      </c>
      <c r="AE52" s="69">
        <f t="shared" si="114"/>
        <v>75.940742482798981</v>
      </c>
      <c r="AF52" s="69">
        <f t="shared" si="115"/>
        <v>109.70704692446456</v>
      </c>
      <c r="AH52" t="str">
        <f t="shared" si="142"/>
        <v>32 Health and social care associate professionals</v>
      </c>
      <c r="AI52" s="18">
        <f t="shared" si="116"/>
        <v>6.8540238071320303</v>
      </c>
      <c r="AJ52" s="18">
        <f t="shared" si="116"/>
        <v>6.9606178263901874</v>
      </c>
      <c r="AK52" s="18">
        <f t="shared" si="116"/>
        <v>6.5996316320150044</v>
      </c>
      <c r="AL52" s="18">
        <f t="shared" si="116"/>
        <v>5.1337249405504481</v>
      </c>
      <c r="AM52" s="18">
        <f t="shared" si="116"/>
        <v>2.8831840517014524</v>
      </c>
      <c r="AO52" s="68">
        <f t="shared" si="117"/>
        <v>-53.750552528504279</v>
      </c>
      <c r="AP52" s="69">
        <f t="shared" si="118"/>
        <v>30.459533754482067</v>
      </c>
      <c r="AQ52" s="69">
        <f t="shared" si="119"/>
        <v>-23.29101877402222</v>
      </c>
      <c r="AS52" t="str">
        <f t="shared" si="143"/>
        <v>32 Health and social care associate professionals</v>
      </c>
      <c r="AT52" s="18">
        <f t="shared" si="120"/>
        <v>1.4316077675661576</v>
      </c>
      <c r="AU52" s="18">
        <f t="shared" si="120"/>
        <v>1.6832674869757769</v>
      </c>
      <c r="AV52" s="18">
        <f t="shared" si="120"/>
        <v>1.8113926632067634</v>
      </c>
      <c r="AW52" s="18">
        <f t="shared" si="120"/>
        <v>1.6636362867011429</v>
      </c>
      <c r="AX52" s="18">
        <f t="shared" si="120"/>
        <v>1.6132708921522294</v>
      </c>
      <c r="AZ52" s="68">
        <f t="shared" si="121"/>
        <v>5.1939673066297063</v>
      </c>
      <c r="BA52" s="69">
        <f t="shared" si="122"/>
        <v>56.465928198361695</v>
      </c>
      <c r="BB52" s="69">
        <f t="shared" si="123"/>
        <v>61.65989550499139</v>
      </c>
      <c r="BD52" t="str">
        <f t="shared" si="144"/>
        <v>32 Health and social care associate professionals</v>
      </c>
      <c r="BE52" s="18">
        <f t="shared" si="124"/>
        <v>1.4788118252904501</v>
      </c>
      <c r="BF52" s="18">
        <f t="shared" si="124"/>
        <v>1.9003156889512853</v>
      </c>
      <c r="BG52" s="18">
        <f t="shared" si="124"/>
        <v>1.8939507130323239</v>
      </c>
      <c r="BH52" s="18">
        <f t="shared" si="124"/>
        <v>1.8943660136493865</v>
      </c>
      <c r="BI52" s="18">
        <f t="shared" si="124"/>
        <v>1.9323035135883986</v>
      </c>
      <c r="BK52" s="68">
        <f t="shared" si="125"/>
        <v>7.7665252558471494</v>
      </c>
      <c r="BL52" s="69">
        <f t="shared" si="126"/>
        <v>60.229506373940346</v>
      </c>
      <c r="BM52" s="69">
        <f t="shared" si="127"/>
        <v>67.996031629787495</v>
      </c>
      <c r="BO52" t="str">
        <f t="shared" si="145"/>
        <v>32 Health and social care associate professionals</v>
      </c>
      <c r="BP52" s="18">
        <f t="shared" si="128"/>
        <v>1.2157433817332237</v>
      </c>
      <c r="BQ52" s="18">
        <f t="shared" si="128"/>
        <v>1.4715875464508037</v>
      </c>
      <c r="BR52" s="18">
        <f t="shared" si="128"/>
        <v>1.4109589895400199</v>
      </c>
      <c r="BS52" s="18">
        <f t="shared" si="128"/>
        <v>1.3484322999321927</v>
      </c>
      <c r="BT52" s="18">
        <f t="shared" si="128"/>
        <v>1.2235453950414392</v>
      </c>
      <c r="BV52" s="68">
        <f t="shared" si="129"/>
        <v>-20.008927209495202</v>
      </c>
      <c r="BW52" s="69">
        <f t="shared" si="130"/>
        <v>51.47149647470669</v>
      </c>
      <c r="BX52" s="69">
        <f t="shared" si="131"/>
        <v>31.462569265211489</v>
      </c>
      <c r="BZ52" t="str">
        <f t="shared" si="146"/>
        <v>32 Health and social care associate professionals</v>
      </c>
      <c r="CA52" s="18">
        <f t="shared" si="132"/>
        <v>0.71495973439270322</v>
      </c>
      <c r="CB52" s="18">
        <f t="shared" si="132"/>
        <v>0.81426597521962285</v>
      </c>
      <c r="CC52" s="18">
        <f t="shared" si="132"/>
        <v>0.73828743765073712</v>
      </c>
      <c r="CD52" s="18">
        <f t="shared" si="132"/>
        <v>0.67631305015543997</v>
      </c>
      <c r="CE52" s="18">
        <f t="shared" si="132"/>
        <v>0.60311310273773633</v>
      </c>
      <c r="CG52" s="68">
        <f t="shared" si="133"/>
        <v>-56.557786099240701</v>
      </c>
      <c r="CH52" s="69">
        <f t="shared" si="134"/>
        <v>30.312911914370076</v>
      </c>
      <c r="CI52" s="69">
        <f t="shared" si="135"/>
        <v>-26.244874184870621</v>
      </c>
      <c r="CK52" t="str">
        <f t="shared" si="147"/>
        <v>32 Health and social care associate professionals</v>
      </c>
      <c r="CL52" s="18">
        <f t="shared" si="136"/>
        <v>0.24567459766087379</v>
      </c>
      <c r="CM52" s="18">
        <f t="shared" si="136"/>
        <v>0.31968202569661069</v>
      </c>
      <c r="CN52" s="18">
        <f t="shared" si="136"/>
        <v>0.38424982109535383</v>
      </c>
      <c r="CO52" s="18">
        <f t="shared" si="136"/>
        <v>0.46459056555493117</v>
      </c>
      <c r="CP52" s="18">
        <f t="shared" si="136"/>
        <v>0.73611228453575495</v>
      </c>
      <c r="CR52" s="68">
        <f t="shared" si="137"/>
        <v>-26.800742853934494</v>
      </c>
      <c r="CS52" s="69">
        <f t="shared" si="138"/>
        <v>32.196497926542172</v>
      </c>
      <c r="CT52" s="69">
        <f t="shared" si="139"/>
        <v>5.3957550726076757</v>
      </c>
    </row>
    <row r="53" spans="1:98" x14ac:dyDescent="0.25">
      <c r="A53" t="str">
        <f t="shared" si="103"/>
        <v>33 Protective service occupations</v>
      </c>
      <c r="B53" s="18">
        <f t="shared" si="104"/>
        <v>0.31361308114783754</v>
      </c>
      <c r="C53" s="18">
        <f t="shared" si="104"/>
        <v>0.34110726094087551</v>
      </c>
      <c r="D53" s="18">
        <f t="shared" si="104"/>
        <v>0.3180888844030661</v>
      </c>
      <c r="E53" s="18">
        <f t="shared" si="104"/>
        <v>0.40003655042480962</v>
      </c>
      <c r="F53" s="18">
        <f t="shared" si="104"/>
        <v>0.49715985962587478</v>
      </c>
      <c r="H53" s="68">
        <f t="shared" si="105"/>
        <v>197.19846549822719</v>
      </c>
      <c r="I53" s="69">
        <f t="shared" si="106"/>
        <v>74.680080691092982</v>
      </c>
      <c r="J53" s="69">
        <f t="shared" si="107"/>
        <v>271.87854618932022</v>
      </c>
      <c r="L53" t="str">
        <f t="shared" si="140"/>
        <v>33 Protective service occupations</v>
      </c>
      <c r="M53" s="18">
        <f t="shared" si="108"/>
        <v>0.60471182395560619</v>
      </c>
      <c r="N53" s="18">
        <f t="shared" si="108"/>
        <v>0.59495421964081241</v>
      </c>
      <c r="O53" s="18">
        <f t="shared" si="108"/>
        <v>0.55126389490645433</v>
      </c>
      <c r="P53" s="18">
        <f t="shared" si="108"/>
        <v>0.67850634149191891</v>
      </c>
      <c r="Q53" s="18">
        <f t="shared" si="108"/>
        <v>0.81109740861143653</v>
      </c>
      <c r="S53" s="68">
        <f t="shared" si="109"/>
        <v>174.08474827125156</v>
      </c>
      <c r="T53" s="69">
        <f t="shared" si="110"/>
        <v>61.206939049670609</v>
      </c>
      <c r="U53" s="69">
        <f t="shared" si="111"/>
        <v>235.29168732092219</v>
      </c>
      <c r="W53" t="str">
        <f t="shared" si="141"/>
        <v>33 Protective service occupations</v>
      </c>
      <c r="X53" s="18">
        <f t="shared" si="112"/>
        <v>1.1426628270794796</v>
      </c>
      <c r="Y53" s="18">
        <f t="shared" si="112"/>
        <v>1.1689806711387238</v>
      </c>
      <c r="Z53" s="18">
        <f t="shared" si="112"/>
        <v>1.2401215344258782</v>
      </c>
      <c r="AA53" s="18">
        <f t="shared" si="112"/>
        <v>1.5167280700938697</v>
      </c>
      <c r="AB53" s="18">
        <f t="shared" si="112"/>
        <v>1.9283118683920304</v>
      </c>
      <c r="AD53" s="68">
        <f t="shared" si="113"/>
        <v>91.45931396065086</v>
      </c>
      <c r="AE53" s="69">
        <f t="shared" si="114"/>
        <v>63.214429644204138</v>
      </c>
      <c r="AF53" s="69">
        <f t="shared" si="115"/>
        <v>154.67374360485499</v>
      </c>
      <c r="AH53" t="str">
        <f t="shared" si="142"/>
        <v>33 Protective service occupations</v>
      </c>
      <c r="AI53" s="18">
        <f t="shared" si="116"/>
        <v>1.0780642865051737</v>
      </c>
      <c r="AJ53" s="18">
        <f t="shared" si="116"/>
        <v>1.1486913796197511</v>
      </c>
      <c r="AK53" s="18">
        <f t="shared" si="116"/>
        <v>1.1968712181790049</v>
      </c>
      <c r="AL53" s="18">
        <f t="shared" si="116"/>
        <v>1.5876253943222789</v>
      </c>
      <c r="AM53" s="18">
        <f t="shared" si="116"/>
        <v>2.0643998964051242</v>
      </c>
      <c r="AO53" s="68">
        <f t="shared" si="117"/>
        <v>82.599793629910792</v>
      </c>
      <c r="AP53" s="69">
        <f t="shared" si="118"/>
        <v>53.516460780440589</v>
      </c>
      <c r="AQ53" s="69">
        <f t="shared" si="119"/>
        <v>136.11625441035139</v>
      </c>
      <c r="AS53" t="str">
        <f t="shared" si="143"/>
        <v>33 Protective service occupations</v>
      </c>
      <c r="AT53" s="18">
        <f t="shared" si="120"/>
        <v>1.0006452449809715</v>
      </c>
      <c r="AU53" s="18">
        <f t="shared" si="120"/>
        <v>0.95846448899901648</v>
      </c>
      <c r="AV53" s="18">
        <f t="shared" si="120"/>
        <v>0.99583710651921331</v>
      </c>
      <c r="AW53" s="18">
        <f t="shared" si="120"/>
        <v>1.0917583424738662</v>
      </c>
      <c r="AX53" s="18">
        <f t="shared" si="120"/>
        <v>1.1572126028328127</v>
      </c>
      <c r="AZ53" s="68">
        <f t="shared" si="121"/>
        <v>37.252729804228785</v>
      </c>
      <c r="BA53" s="69">
        <f t="shared" si="122"/>
        <v>47.181612659505781</v>
      </c>
      <c r="BB53" s="69">
        <f t="shared" si="123"/>
        <v>84.434342463734566</v>
      </c>
      <c r="BD53" t="str">
        <f t="shared" si="144"/>
        <v>33 Protective service occupations</v>
      </c>
      <c r="BE53" s="18">
        <f t="shared" si="124"/>
        <v>0.84693638234386637</v>
      </c>
      <c r="BF53" s="18">
        <f t="shared" si="124"/>
        <v>0.76244948728985773</v>
      </c>
      <c r="BG53" s="18">
        <f t="shared" si="124"/>
        <v>0.84540263792364667</v>
      </c>
      <c r="BH53" s="18">
        <f t="shared" si="124"/>
        <v>0.94746568829113431</v>
      </c>
      <c r="BI53" s="18">
        <f t="shared" si="124"/>
        <v>1.0043683154513106</v>
      </c>
      <c r="BK53" s="68">
        <f t="shared" si="125"/>
        <v>25.489276236891168</v>
      </c>
      <c r="BL53" s="69">
        <f t="shared" si="126"/>
        <v>30.689276713944551</v>
      </c>
      <c r="BM53" s="69">
        <f t="shared" si="127"/>
        <v>56.178552950835716</v>
      </c>
      <c r="BO53" t="str">
        <f t="shared" si="145"/>
        <v>33 Protective service occupations</v>
      </c>
      <c r="BP53" s="18">
        <f t="shared" si="128"/>
        <v>0.96118290703483644</v>
      </c>
      <c r="BQ53" s="18">
        <f t="shared" si="128"/>
        <v>0.96880368017470553</v>
      </c>
      <c r="BR53" s="18">
        <f t="shared" si="128"/>
        <v>1.0914840217260453</v>
      </c>
      <c r="BS53" s="18">
        <f t="shared" si="128"/>
        <v>1.2337796674681925</v>
      </c>
      <c r="BT53" s="18">
        <f t="shared" si="128"/>
        <v>1.3088411814682448</v>
      </c>
      <c r="BV53" s="68">
        <f t="shared" si="129"/>
        <v>10.612802071423738</v>
      </c>
      <c r="BW53" s="69">
        <f t="shared" si="130"/>
        <v>35.79335635397242</v>
      </c>
      <c r="BX53" s="69">
        <f t="shared" si="131"/>
        <v>46.406158425396164</v>
      </c>
      <c r="BZ53" t="str">
        <f t="shared" si="146"/>
        <v>33 Protective service occupations</v>
      </c>
      <c r="CA53" s="18">
        <f t="shared" si="132"/>
        <v>0.82905386996330044</v>
      </c>
      <c r="CB53" s="18">
        <f t="shared" si="132"/>
        <v>0.85918793974927332</v>
      </c>
      <c r="CC53" s="18">
        <f t="shared" si="132"/>
        <v>0.97567470263373446</v>
      </c>
      <c r="CD53" s="18">
        <f t="shared" si="132"/>
        <v>1.1669053099516802</v>
      </c>
      <c r="CE53" s="18">
        <f t="shared" si="132"/>
        <v>1.2147034011895124</v>
      </c>
      <c r="CG53" s="68">
        <f t="shared" si="133"/>
        <v>-33.793006387267639</v>
      </c>
      <c r="CH53" s="69">
        <f t="shared" si="134"/>
        <v>31.561909913174279</v>
      </c>
      <c r="CI53" s="69">
        <f t="shared" si="135"/>
        <v>-2.2310964740933543</v>
      </c>
      <c r="CK53" t="str">
        <f t="shared" si="147"/>
        <v>33 Protective service occupations</v>
      </c>
      <c r="CL53" s="18">
        <f t="shared" si="136"/>
        <v>0.37946350215044639</v>
      </c>
      <c r="CM53" s="18">
        <f t="shared" si="136"/>
        <v>0.36492269294598206</v>
      </c>
      <c r="CN53" s="18">
        <f t="shared" si="136"/>
        <v>0.41741200424580155</v>
      </c>
      <c r="CO53" s="18">
        <f t="shared" si="136"/>
        <v>0.5196877478084394</v>
      </c>
      <c r="CP53" s="18">
        <f t="shared" si="136"/>
        <v>0.69431867689088156</v>
      </c>
      <c r="CR53" s="68">
        <f t="shared" si="137"/>
        <v>-36.442004008637639</v>
      </c>
      <c r="CS53" s="69">
        <f t="shared" si="138"/>
        <v>18.205812497646271</v>
      </c>
      <c r="CT53" s="69">
        <f t="shared" si="139"/>
        <v>-18.236191510991372</v>
      </c>
    </row>
    <row r="54" spans="1:98" x14ac:dyDescent="0.25">
      <c r="A54" t="str">
        <f t="shared" si="103"/>
        <v>34 Culture, media and sports occupations</v>
      </c>
      <c r="B54" s="18">
        <f t="shared" si="104"/>
        <v>0.97326715612166204</v>
      </c>
      <c r="C54" s="18">
        <f t="shared" si="104"/>
        <v>1.0170819890588416</v>
      </c>
      <c r="D54" s="18">
        <f t="shared" si="104"/>
        <v>1.0723675022396346</v>
      </c>
      <c r="E54" s="18">
        <f t="shared" si="104"/>
        <v>0.99899172550005699</v>
      </c>
      <c r="F54" s="18">
        <f t="shared" si="104"/>
        <v>0.98620945727897225</v>
      </c>
      <c r="H54" s="68">
        <f t="shared" si="105"/>
        <v>74.873707464148538</v>
      </c>
      <c r="I54" s="69">
        <f t="shared" si="106"/>
        <v>67.637639762946549</v>
      </c>
      <c r="J54" s="69">
        <f t="shared" si="107"/>
        <v>142.51134722709509</v>
      </c>
      <c r="L54" t="str">
        <f t="shared" si="140"/>
        <v>34 Culture, media and sports occupations</v>
      </c>
      <c r="M54" s="18">
        <f t="shared" si="108"/>
        <v>2.8758905988310466</v>
      </c>
      <c r="N54" s="18">
        <f t="shared" si="108"/>
        <v>2.7911971104189996</v>
      </c>
      <c r="O54" s="18">
        <f t="shared" si="108"/>
        <v>2.7839372828535711</v>
      </c>
      <c r="P54" s="18">
        <f t="shared" si="108"/>
        <v>2.4224833219520123</v>
      </c>
      <c r="Q54" s="18">
        <f t="shared" si="108"/>
        <v>2.2462691029050412</v>
      </c>
      <c r="S54" s="68">
        <f t="shared" si="109"/>
        <v>50.305108400459574</v>
      </c>
      <c r="T54" s="69">
        <f t="shared" si="110"/>
        <v>60.321220481686687</v>
      </c>
      <c r="U54" s="69">
        <f t="shared" si="111"/>
        <v>110.62632888214627</v>
      </c>
      <c r="W54" t="str">
        <f t="shared" si="141"/>
        <v>34 Culture, media and sports occupations</v>
      </c>
      <c r="X54" s="18">
        <f t="shared" si="112"/>
        <v>3.3880836872139648</v>
      </c>
      <c r="Y54" s="18">
        <f t="shared" si="112"/>
        <v>3.2239811940438226</v>
      </c>
      <c r="Z54" s="18">
        <f t="shared" si="112"/>
        <v>3.0479094227725776</v>
      </c>
      <c r="AA54" s="18">
        <f t="shared" si="112"/>
        <v>2.7016796524155327</v>
      </c>
      <c r="AB54" s="18">
        <f t="shared" si="112"/>
        <v>2.5856640664308173</v>
      </c>
      <c r="AD54" s="68">
        <f t="shared" si="113"/>
        <v>4.4560301714539934</v>
      </c>
      <c r="AE54" s="69">
        <f t="shared" si="114"/>
        <v>48.182425089123335</v>
      </c>
      <c r="AF54" s="69">
        <f t="shared" si="115"/>
        <v>52.638455260577331</v>
      </c>
      <c r="AH54" t="str">
        <f t="shared" si="142"/>
        <v>34 Culture, media and sports occupations</v>
      </c>
      <c r="AI54" s="18">
        <f t="shared" si="116"/>
        <v>1.4950863864152235</v>
      </c>
      <c r="AJ54" s="18">
        <f t="shared" si="116"/>
        <v>1.330581926702894</v>
      </c>
      <c r="AK54" s="18">
        <f t="shared" si="116"/>
        <v>1.4433044312447341</v>
      </c>
      <c r="AL54" s="18">
        <f t="shared" si="116"/>
        <v>1.4673000585791918</v>
      </c>
      <c r="AM54" s="18">
        <f t="shared" si="116"/>
        <v>1.7605855540382707</v>
      </c>
      <c r="AO54" s="68">
        <f t="shared" si="117"/>
        <v>29.137705665235707</v>
      </c>
      <c r="AP54" s="69">
        <f t="shared" si="118"/>
        <v>55.87314886270255</v>
      </c>
      <c r="AQ54" s="69">
        <f t="shared" si="119"/>
        <v>85.010854527938264</v>
      </c>
      <c r="AS54" t="str">
        <f t="shared" si="143"/>
        <v>34 Culture, media and sports occupations</v>
      </c>
      <c r="AT54" s="18">
        <f t="shared" si="120"/>
        <v>1.8010518671157609</v>
      </c>
      <c r="AU54" s="18">
        <f t="shared" si="120"/>
        <v>1.7225566594816271</v>
      </c>
      <c r="AV54" s="18">
        <f t="shared" si="120"/>
        <v>1.6587040600659766</v>
      </c>
      <c r="AW54" s="18">
        <f t="shared" si="120"/>
        <v>1.3960326701611614</v>
      </c>
      <c r="AX54" s="18">
        <f t="shared" si="120"/>
        <v>1.2708848337934555</v>
      </c>
      <c r="AZ54" s="68">
        <f t="shared" si="121"/>
        <v>-9.5031567572778002</v>
      </c>
      <c r="BA54" s="69">
        <f t="shared" si="122"/>
        <v>42.564371252520296</v>
      </c>
      <c r="BB54" s="69">
        <f t="shared" si="123"/>
        <v>33.061214495242496</v>
      </c>
      <c r="BD54" t="str">
        <f t="shared" si="144"/>
        <v>34 Culture, media and sports occupations</v>
      </c>
      <c r="BE54" s="18">
        <f t="shared" si="124"/>
        <v>1.2381811820719266</v>
      </c>
      <c r="BF54" s="18">
        <f t="shared" si="124"/>
        <v>1.1814874736294187</v>
      </c>
      <c r="BG54" s="18">
        <f t="shared" si="124"/>
        <v>1.2788799416440764</v>
      </c>
      <c r="BH54" s="18">
        <f t="shared" si="124"/>
        <v>1.1561081631814023</v>
      </c>
      <c r="BI54" s="18">
        <f t="shared" si="124"/>
        <v>1.276042894491348</v>
      </c>
      <c r="BK54" s="68">
        <f t="shared" si="125"/>
        <v>5.3932282024632228</v>
      </c>
      <c r="BL54" s="69">
        <f t="shared" si="126"/>
        <v>39.125259703815594</v>
      </c>
      <c r="BM54" s="69">
        <f t="shared" si="127"/>
        <v>44.518487906278821</v>
      </c>
      <c r="BO54" t="str">
        <f t="shared" si="145"/>
        <v>34 Culture, media and sports occupations</v>
      </c>
      <c r="BP54" s="18">
        <f t="shared" si="128"/>
        <v>0.6202089288060656</v>
      </c>
      <c r="BQ54" s="18">
        <f t="shared" si="128"/>
        <v>0.56123100255146796</v>
      </c>
      <c r="BR54" s="18">
        <f t="shared" si="128"/>
        <v>0.5747377279463316</v>
      </c>
      <c r="BS54" s="18">
        <f t="shared" si="128"/>
        <v>0.45499036594599157</v>
      </c>
      <c r="BT54" s="18">
        <f t="shared" si="128"/>
        <v>0.37554851761699126</v>
      </c>
      <c r="BV54" s="68">
        <f t="shared" si="129"/>
        <v>-39.725700660742156</v>
      </c>
      <c r="BW54" s="69">
        <f t="shared" si="130"/>
        <v>29.647446643860555</v>
      </c>
      <c r="BX54" s="69">
        <f t="shared" si="131"/>
        <v>-10.078254016881601</v>
      </c>
      <c r="BZ54" t="str">
        <f t="shared" si="146"/>
        <v>34 Culture, media and sports occupations</v>
      </c>
      <c r="CA54" s="18">
        <f t="shared" si="132"/>
        <v>0.72333849595183375</v>
      </c>
      <c r="CB54" s="18">
        <f t="shared" si="132"/>
        <v>0.68466794805184716</v>
      </c>
      <c r="CC54" s="18">
        <f t="shared" si="132"/>
        <v>0.73434744163029797</v>
      </c>
      <c r="CD54" s="18">
        <f t="shared" si="132"/>
        <v>0.60742629333671794</v>
      </c>
      <c r="CE54" s="18">
        <f t="shared" si="132"/>
        <v>0.5312329035212997</v>
      </c>
      <c r="CG54" s="68">
        <f t="shared" si="133"/>
        <v>-61.530012513486852</v>
      </c>
      <c r="CH54" s="69">
        <f t="shared" si="134"/>
        <v>22.818264434701675</v>
      </c>
      <c r="CI54" s="69">
        <f t="shared" si="135"/>
        <v>-38.711748078785178</v>
      </c>
      <c r="CK54" t="str">
        <f t="shared" si="147"/>
        <v>34 Culture, media and sports occupations</v>
      </c>
      <c r="CL54" s="18">
        <f t="shared" si="136"/>
        <v>0.68438593765049005</v>
      </c>
      <c r="CM54" s="18">
        <f t="shared" si="136"/>
        <v>0.8147037162727081</v>
      </c>
      <c r="CN54" s="18">
        <f t="shared" si="136"/>
        <v>0.90170262803721357</v>
      </c>
      <c r="CO54" s="18">
        <f t="shared" si="136"/>
        <v>0.91217888707414962</v>
      </c>
      <c r="CP54" s="18">
        <f t="shared" si="136"/>
        <v>1.1955245186017001</v>
      </c>
      <c r="CR54" s="68">
        <f t="shared" si="137"/>
        <v>-49.339271098024</v>
      </c>
      <c r="CS54" s="69">
        <f t="shared" si="138"/>
        <v>23.233756393794756</v>
      </c>
      <c r="CT54" s="69">
        <f t="shared" si="139"/>
        <v>-26.105514704229243</v>
      </c>
    </row>
    <row r="55" spans="1:98" x14ac:dyDescent="0.25">
      <c r="A55" t="str">
        <f t="shared" si="103"/>
        <v>35 Business and public service associate professionals</v>
      </c>
      <c r="B55" s="18">
        <f t="shared" ref="B55:F64" si="148">B18/B$35*100</f>
        <v>5.0163524118882421</v>
      </c>
      <c r="C55" s="18">
        <f t="shared" si="148"/>
        <v>4.7110485162231015</v>
      </c>
      <c r="D55" s="18">
        <f t="shared" si="148"/>
        <v>4.5962385014442741</v>
      </c>
      <c r="E55" s="18">
        <f t="shared" si="148"/>
        <v>4.4494553489304574</v>
      </c>
      <c r="F55" s="18">
        <f t="shared" si="148"/>
        <v>4.8301396510783849</v>
      </c>
      <c r="H55" s="68">
        <f t="shared" si="105"/>
        <v>99.827902605397114</v>
      </c>
      <c r="I55" s="69">
        <f t="shared" si="106"/>
        <v>67.399646743878606</v>
      </c>
      <c r="J55" s="69">
        <f t="shared" si="107"/>
        <v>167.22754934927573</v>
      </c>
      <c r="L55" t="str">
        <f t="shared" si="140"/>
        <v>35 Business and public service associate professionals</v>
      </c>
      <c r="M55" s="18">
        <f t="shared" ref="M55:Q64" si="149">M18/M$35*100</f>
        <v>7.7795802542957846</v>
      </c>
      <c r="N55" s="18">
        <f t="shared" si="149"/>
        <v>7.3388113764883762</v>
      </c>
      <c r="O55" s="18">
        <f t="shared" si="149"/>
        <v>7.1922678396222031</v>
      </c>
      <c r="P55" s="18">
        <f t="shared" si="149"/>
        <v>6.8055106249665407</v>
      </c>
      <c r="Q55" s="18">
        <f t="shared" si="149"/>
        <v>6.7537761295964494</v>
      </c>
      <c r="S55" s="68">
        <f t="shared" si="109"/>
        <v>74.925133278678757</v>
      </c>
      <c r="T55" s="69">
        <f t="shared" si="110"/>
        <v>64.197775153674712</v>
      </c>
      <c r="U55" s="69">
        <f t="shared" si="111"/>
        <v>139.12290843235346</v>
      </c>
      <c r="W55" t="str">
        <f t="shared" si="141"/>
        <v>35 Business and public service associate professionals</v>
      </c>
      <c r="X55" s="18">
        <f t="shared" ref="X55:AB64" si="150">X18/X$35*100</f>
        <v>8.4521495699675953</v>
      </c>
      <c r="Y55" s="18">
        <f t="shared" si="150"/>
        <v>7.9356305466831696</v>
      </c>
      <c r="Z55" s="18">
        <f t="shared" si="150"/>
        <v>7.924558477886583</v>
      </c>
      <c r="AA55" s="18">
        <f t="shared" si="150"/>
        <v>7.1519269483638608</v>
      </c>
      <c r="AB55" s="18">
        <f t="shared" si="150"/>
        <v>6.5594302603386154</v>
      </c>
      <c r="AD55" s="68">
        <f t="shared" si="113"/>
        <v>1.9188506902105402</v>
      </c>
      <c r="AE55" s="69">
        <f t="shared" si="114"/>
        <v>50.915956967261742</v>
      </c>
      <c r="AF55" s="69">
        <f t="shared" si="115"/>
        <v>52.834807657472282</v>
      </c>
      <c r="AH55" t="str">
        <f t="shared" si="142"/>
        <v>35 Business and public service associate professionals</v>
      </c>
      <c r="AI55" s="18">
        <f t="shared" ref="AI55:AM64" si="151">AI18/AI$35*100</f>
        <v>7.0951342447907493</v>
      </c>
      <c r="AJ55" s="18">
        <f t="shared" si="151"/>
        <v>7.5354067899245161</v>
      </c>
      <c r="AK55" s="18">
        <f t="shared" si="151"/>
        <v>7.8406550775067725</v>
      </c>
      <c r="AL55" s="18">
        <f t="shared" si="151"/>
        <v>7.8608155777388093</v>
      </c>
      <c r="AM55" s="18">
        <f t="shared" si="151"/>
        <v>7.9184985206475682</v>
      </c>
      <c r="AO55" s="68">
        <f t="shared" si="117"/>
        <v>6.9164100812004161</v>
      </c>
      <c r="AP55" s="69">
        <f t="shared" si="118"/>
        <v>49.986985313373367</v>
      </c>
      <c r="AQ55" s="69">
        <f t="shared" si="119"/>
        <v>56.903395394573785</v>
      </c>
      <c r="AS55" t="str">
        <f t="shared" si="143"/>
        <v>35 Business and public service associate professionals</v>
      </c>
      <c r="AT55" s="18">
        <f t="shared" ref="AT55:AX64" si="152">AT18/AT$35*100</f>
        <v>7.0314616972116122</v>
      </c>
      <c r="AU55" s="18">
        <f t="shared" si="152"/>
        <v>6.8801709121237034</v>
      </c>
      <c r="AV55" s="18">
        <f t="shared" si="152"/>
        <v>7.0639820329859067</v>
      </c>
      <c r="AW55" s="18">
        <f t="shared" si="152"/>
        <v>6.4939863805085736</v>
      </c>
      <c r="AX55" s="18">
        <f t="shared" si="152"/>
        <v>6.2094826367302041</v>
      </c>
      <c r="AZ55" s="68">
        <f t="shared" si="121"/>
        <v>3.8250076807151254</v>
      </c>
      <c r="BA55" s="69">
        <f t="shared" si="122"/>
        <v>47.516791466738859</v>
      </c>
      <c r="BB55" s="69">
        <f t="shared" si="123"/>
        <v>51.341799147453983</v>
      </c>
      <c r="BD55" t="str">
        <f t="shared" si="144"/>
        <v>35 Business and public service associate professionals</v>
      </c>
      <c r="BE55" s="18">
        <f t="shared" ref="BE55:BI64" si="153">BE18/BE$35*100</f>
        <v>5.1126465647845736</v>
      </c>
      <c r="BF55" s="18">
        <f t="shared" si="153"/>
        <v>5.0510492308275943</v>
      </c>
      <c r="BG55" s="18">
        <f t="shared" si="153"/>
        <v>5.3941293141964968</v>
      </c>
      <c r="BH55" s="18">
        <f t="shared" si="153"/>
        <v>4.8124522980930573</v>
      </c>
      <c r="BI55" s="18">
        <f t="shared" si="153"/>
        <v>4.6048446666076623</v>
      </c>
      <c r="BK55" s="68">
        <f t="shared" si="125"/>
        <v>-9.8281789041363883</v>
      </c>
      <c r="BL55" s="69">
        <f t="shared" si="126"/>
        <v>38.832402983527537</v>
      </c>
      <c r="BM55" s="69">
        <f t="shared" si="127"/>
        <v>29.00422407939115</v>
      </c>
      <c r="BO55" t="str">
        <f t="shared" si="145"/>
        <v>35 Business and public service associate professionals</v>
      </c>
      <c r="BP55" s="18">
        <f t="shared" ref="BP55:BT64" si="154">BP18/BP$35*100</f>
        <v>4.2229053542001544</v>
      </c>
      <c r="BQ55" s="18">
        <f t="shared" si="154"/>
        <v>4.1818019564396414</v>
      </c>
      <c r="BR55" s="18">
        <f t="shared" si="154"/>
        <v>4.4771371761677941</v>
      </c>
      <c r="BS55" s="18">
        <f t="shared" si="154"/>
        <v>3.9358230329531239</v>
      </c>
      <c r="BT55" s="18">
        <f t="shared" si="154"/>
        <v>3.7544757550982975</v>
      </c>
      <c r="BV55" s="68">
        <f t="shared" si="129"/>
        <v>-22.645652257939417</v>
      </c>
      <c r="BW55" s="69">
        <f t="shared" si="130"/>
        <v>36.847680811004771</v>
      </c>
      <c r="BX55" s="69">
        <f t="shared" si="131"/>
        <v>14.202028553065354</v>
      </c>
      <c r="BZ55" t="str">
        <f t="shared" si="146"/>
        <v>35 Business and public service associate professionals</v>
      </c>
      <c r="CA55" s="18">
        <f t="shared" ref="CA55:CE64" si="155">CA18/CA$35*100</f>
        <v>3.8666231906233759</v>
      </c>
      <c r="CB55" s="18">
        <f t="shared" si="155"/>
        <v>4.0015946898140955</v>
      </c>
      <c r="CC55" s="18">
        <f t="shared" si="155"/>
        <v>4.3272306182734157</v>
      </c>
      <c r="CD55" s="18">
        <f t="shared" si="155"/>
        <v>3.832459359952006</v>
      </c>
      <c r="CE55" s="18">
        <f t="shared" si="155"/>
        <v>3.6860808344443372</v>
      </c>
      <c r="CG55" s="68">
        <f t="shared" si="133"/>
        <v>-54.70049272393738</v>
      </c>
      <c r="CH55" s="69">
        <f t="shared" si="134"/>
        <v>25.276474882636279</v>
      </c>
      <c r="CI55" s="69">
        <f t="shared" si="135"/>
        <v>-29.424017841301097</v>
      </c>
      <c r="CK55" t="str">
        <f t="shared" si="147"/>
        <v>35 Business and public service associate professionals</v>
      </c>
      <c r="CL55" s="18">
        <f t="shared" ref="CL55:CP64" si="156">CL18/CL$35*100</f>
        <v>2.1829600344826465</v>
      </c>
      <c r="CM55" s="18">
        <f t="shared" si="156"/>
        <v>2.6044280196500997</v>
      </c>
      <c r="CN55" s="18">
        <f t="shared" si="156"/>
        <v>3.0548560338924737</v>
      </c>
      <c r="CO55" s="18">
        <f t="shared" si="156"/>
        <v>3.1130128088673046</v>
      </c>
      <c r="CP55" s="18">
        <f t="shared" si="156"/>
        <v>4.6936628834980665</v>
      </c>
      <c r="CR55" s="68">
        <f t="shared" si="137"/>
        <v>-41.291980767447157</v>
      </c>
      <c r="CS55" s="69">
        <f t="shared" si="138"/>
        <v>22.253517649330529</v>
      </c>
      <c r="CT55" s="69">
        <f t="shared" si="139"/>
        <v>-19.038463118116628</v>
      </c>
    </row>
    <row r="56" spans="1:98" x14ac:dyDescent="0.25">
      <c r="A56" t="str">
        <f t="shared" si="103"/>
        <v>41 Administrative occupations</v>
      </c>
      <c r="B56" s="18">
        <f t="shared" si="148"/>
        <v>4.1239027376358361</v>
      </c>
      <c r="C56" s="18">
        <f t="shared" si="148"/>
        <v>3.6432824628967504</v>
      </c>
      <c r="D56" s="18">
        <f t="shared" si="148"/>
        <v>3.9538312094823675</v>
      </c>
      <c r="E56" s="18">
        <f t="shared" si="148"/>
        <v>3.8370876765521866</v>
      </c>
      <c r="F56" s="18">
        <f t="shared" si="148"/>
        <v>4.2728708727053784</v>
      </c>
      <c r="H56" s="68">
        <f t="shared" si="105"/>
        <v>105.49470806536914</v>
      </c>
      <c r="I56" s="69">
        <f t="shared" si="106"/>
        <v>73.144138300010908</v>
      </c>
      <c r="J56" s="69">
        <f t="shared" si="107"/>
        <v>178.63884636538006</v>
      </c>
      <c r="L56" t="str">
        <f t="shared" si="140"/>
        <v>41 Administrative occupations</v>
      </c>
      <c r="M56" s="18">
        <f t="shared" si="149"/>
        <v>6.0615992915877888</v>
      </c>
      <c r="N56" s="18">
        <f t="shared" si="149"/>
        <v>5.5808547083861271</v>
      </c>
      <c r="O56" s="18">
        <f t="shared" si="149"/>
        <v>6.1059453833947739</v>
      </c>
      <c r="P56" s="18">
        <f t="shared" si="149"/>
        <v>5.7958024546578182</v>
      </c>
      <c r="Q56" s="18">
        <f t="shared" si="149"/>
        <v>5.6885539683510382</v>
      </c>
      <c r="S56" s="68">
        <f t="shared" si="109"/>
        <v>73.548303326458225</v>
      </c>
      <c r="T56" s="69">
        <f t="shared" si="110"/>
        <v>68.451108508043077</v>
      </c>
      <c r="U56" s="69">
        <f t="shared" si="111"/>
        <v>141.9994118345013</v>
      </c>
      <c r="W56" t="str">
        <f t="shared" si="141"/>
        <v>41 Administrative occupations</v>
      </c>
      <c r="X56" s="18">
        <f t="shared" si="150"/>
        <v>10.136070809928652</v>
      </c>
      <c r="Y56" s="18">
        <f t="shared" si="150"/>
        <v>9.3106400500419859</v>
      </c>
      <c r="Z56" s="18">
        <f t="shared" si="150"/>
        <v>10.132005889896089</v>
      </c>
      <c r="AA56" s="18">
        <f t="shared" si="150"/>
        <v>9.6132515853322058</v>
      </c>
      <c r="AB56" s="18">
        <f t="shared" si="150"/>
        <v>9.6219984201512396</v>
      </c>
      <c r="AD56" s="68">
        <f t="shared" si="113"/>
        <v>16.931984630767452</v>
      </c>
      <c r="AE56" s="69">
        <f t="shared" si="114"/>
        <v>60.243657589862721</v>
      </c>
      <c r="AF56" s="69">
        <f t="shared" si="115"/>
        <v>77.175642220630166</v>
      </c>
      <c r="AH56" t="str">
        <f t="shared" si="142"/>
        <v>41 Administrative occupations</v>
      </c>
      <c r="AI56" s="18">
        <f t="shared" si="151"/>
        <v>10.874579682291651</v>
      </c>
      <c r="AJ56" s="18">
        <f t="shared" si="151"/>
        <v>11.222542862072881</v>
      </c>
      <c r="AK56" s="18">
        <f t="shared" si="151"/>
        <v>12.342587994010202</v>
      </c>
      <c r="AL56" s="18">
        <f t="shared" si="151"/>
        <v>12.67556874094582</v>
      </c>
      <c r="AM56" s="18">
        <f t="shared" si="151"/>
        <v>13.472711958787869</v>
      </c>
      <c r="AO56" s="68">
        <f t="shared" si="117"/>
        <v>15.558705947436454</v>
      </c>
      <c r="AP56" s="69">
        <f t="shared" si="118"/>
        <v>63.488429860878746</v>
      </c>
      <c r="AQ56" s="69">
        <f t="shared" si="119"/>
        <v>79.047135808315204</v>
      </c>
      <c r="AS56" t="str">
        <f t="shared" si="143"/>
        <v>41 Administrative occupations</v>
      </c>
      <c r="AT56" s="18">
        <f t="shared" si="152"/>
        <v>11.246509626625045</v>
      </c>
      <c r="AU56" s="18">
        <f t="shared" si="152"/>
        <v>10.475251247706986</v>
      </c>
      <c r="AV56" s="18">
        <f t="shared" si="152"/>
        <v>11.858020783492192</v>
      </c>
      <c r="AW56" s="18">
        <f t="shared" si="152"/>
        <v>11.063031102245899</v>
      </c>
      <c r="AX56" s="18">
        <f t="shared" si="152"/>
        <v>10.972233885490251</v>
      </c>
      <c r="AZ56" s="68">
        <f t="shared" si="121"/>
        <v>9.2896386799241579</v>
      </c>
      <c r="BA56" s="69">
        <f t="shared" si="122"/>
        <v>56.160655021361691</v>
      </c>
      <c r="BB56" s="69">
        <f t="shared" si="123"/>
        <v>65.450293701285872</v>
      </c>
      <c r="BD56" t="str">
        <f t="shared" si="144"/>
        <v>41 Administrative occupations</v>
      </c>
      <c r="BE56" s="18">
        <f t="shared" si="153"/>
        <v>9.8441945767015486</v>
      </c>
      <c r="BF56" s="18">
        <f t="shared" si="153"/>
        <v>8.8198709258673613</v>
      </c>
      <c r="BG56" s="18">
        <f t="shared" si="153"/>
        <v>9.4886056820249127</v>
      </c>
      <c r="BH56" s="18">
        <f t="shared" si="153"/>
        <v>8.2207916972002337</v>
      </c>
      <c r="BI56" s="18">
        <f t="shared" si="153"/>
        <v>7.13688974330777</v>
      </c>
      <c r="BK56" s="68">
        <f t="shared" si="125"/>
        <v>-20.55184834695276</v>
      </c>
      <c r="BL56" s="69">
        <f t="shared" si="126"/>
        <v>40.615631062970856</v>
      </c>
      <c r="BM56" s="69">
        <f t="shared" si="127"/>
        <v>20.063782716018089</v>
      </c>
      <c r="BO56" t="str">
        <f t="shared" si="145"/>
        <v>41 Administrative occupations</v>
      </c>
      <c r="BP56" s="18">
        <f t="shared" si="154"/>
        <v>11.84406400822292</v>
      </c>
      <c r="BQ56" s="18">
        <f t="shared" si="154"/>
        <v>10.752474720235703</v>
      </c>
      <c r="BR56" s="18">
        <f t="shared" si="154"/>
        <v>11.505741078748439</v>
      </c>
      <c r="BS56" s="18">
        <f t="shared" si="154"/>
        <v>9.9436320157068554</v>
      </c>
      <c r="BT56" s="18">
        <f t="shared" si="154"/>
        <v>8.3946067678736913</v>
      </c>
      <c r="BV56" s="68">
        <f t="shared" si="129"/>
        <v>-32.698989371781671</v>
      </c>
      <c r="BW56" s="69">
        <f t="shared" si="130"/>
        <v>38.314720816544941</v>
      </c>
      <c r="BX56" s="69">
        <f t="shared" si="131"/>
        <v>5.6157314447632682</v>
      </c>
      <c r="BZ56" t="str">
        <f t="shared" si="146"/>
        <v>41 Administrative occupations</v>
      </c>
      <c r="CA56" s="18">
        <f t="shared" si="155"/>
        <v>9.0551362236010409</v>
      </c>
      <c r="CB56" s="18">
        <f t="shared" si="155"/>
        <v>8.2096525443221111</v>
      </c>
      <c r="CC56" s="18">
        <f t="shared" si="155"/>
        <v>8.1799007558356092</v>
      </c>
      <c r="CD56" s="18">
        <f t="shared" si="155"/>
        <v>6.5126674947906302</v>
      </c>
      <c r="CE56" s="18">
        <f t="shared" si="155"/>
        <v>3.8172896839402912</v>
      </c>
      <c r="CG56" s="68">
        <f t="shared" si="133"/>
        <v>-75.183201823960772</v>
      </c>
      <c r="CH56" s="69">
        <f t="shared" si="134"/>
        <v>21.602111813431957</v>
      </c>
      <c r="CI56" s="69">
        <f t="shared" si="135"/>
        <v>-53.581090010528811</v>
      </c>
      <c r="CK56" t="str">
        <f t="shared" si="147"/>
        <v>41 Administrative occupations</v>
      </c>
      <c r="CL56" s="18">
        <f t="shared" si="156"/>
        <v>6.0013120507924187</v>
      </c>
      <c r="CM56" s="18">
        <f t="shared" si="156"/>
        <v>5.4003962057476329</v>
      </c>
      <c r="CN56" s="18">
        <f t="shared" si="156"/>
        <v>6.3958833393803687</v>
      </c>
      <c r="CO56" s="18">
        <f t="shared" si="156"/>
        <v>6.5994846719118723</v>
      </c>
      <c r="CP56" s="18">
        <f t="shared" si="156"/>
        <v>7.7426986241604556</v>
      </c>
      <c r="CR56" s="68">
        <f t="shared" si="137"/>
        <v>-53.743996869048104</v>
      </c>
      <c r="CS56" s="69">
        <f t="shared" si="138"/>
        <v>20.547070159806683</v>
      </c>
      <c r="CT56" s="69">
        <f t="shared" si="139"/>
        <v>-33.196926709241417</v>
      </c>
    </row>
    <row r="57" spans="1:98" x14ac:dyDescent="0.25">
      <c r="A57" t="str">
        <f t="shared" si="103"/>
        <v>42 Secretarial and related occupations</v>
      </c>
      <c r="B57" s="18">
        <f t="shared" si="148"/>
        <v>0.30168535599604007</v>
      </c>
      <c r="C57" s="18">
        <f t="shared" si="148"/>
        <v>0.24003241969084055</v>
      </c>
      <c r="D57" s="18">
        <f t="shared" si="148"/>
        <v>0.29039769735906362</v>
      </c>
      <c r="E57" s="18">
        <f t="shared" si="148"/>
        <v>0.3407377787452307</v>
      </c>
      <c r="F57" s="18">
        <f t="shared" si="148"/>
        <v>0.35911958726500093</v>
      </c>
      <c r="H57" s="68">
        <f t="shared" si="105"/>
        <v>135.14996792710943</v>
      </c>
      <c r="I57" s="69">
        <f t="shared" si="106"/>
        <v>99.76412477087321</v>
      </c>
      <c r="J57" s="69">
        <f t="shared" si="107"/>
        <v>234.9140926979826</v>
      </c>
      <c r="L57" t="str">
        <f t="shared" si="140"/>
        <v>42 Secretarial and related occupations</v>
      </c>
      <c r="M57" s="18">
        <f t="shared" si="149"/>
        <v>0.96780578940417106</v>
      </c>
      <c r="N57" s="18">
        <f t="shared" si="149"/>
        <v>0.85574954381613888</v>
      </c>
      <c r="O57" s="18">
        <f t="shared" si="149"/>
        <v>0.98811699638458506</v>
      </c>
      <c r="P57" s="18">
        <f t="shared" si="149"/>
        <v>1.095355036212502</v>
      </c>
      <c r="Q57" s="18">
        <f t="shared" si="149"/>
        <v>0.63575580642393015</v>
      </c>
      <c r="S57" s="68">
        <f t="shared" si="109"/>
        <v>19.85423122552228</v>
      </c>
      <c r="T57" s="69">
        <f t="shared" si="110"/>
        <v>70.083334206668781</v>
      </c>
      <c r="U57" s="69">
        <f t="shared" si="111"/>
        <v>89.937565432191064</v>
      </c>
      <c r="W57" t="str">
        <f t="shared" si="141"/>
        <v>42 Secretarial and related occupations</v>
      </c>
      <c r="X57" s="18">
        <f t="shared" si="150"/>
        <v>1.5755478347354392</v>
      </c>
      <c r="Y57" s="18">
        <f t="shared" si="150"/>
        <v>1.3919666870245972</v>
      </c>
      <c r="Z57" s="18">
        <f t="shared" si="150"/>
        <v>1.5102835173674656</v>
      </c>
      <c r="AA57" s="18">
        <f t="shared" si="150"/>
        <v>1.9341488813810508</v>
      </c>
      <c r="AB57" s="18">
        <f t="shared" si="150"/>
        <v>2.156099862291466</v>
      </c>
      <c r="AD57" s="68">
        <f t="shared" si="113"/>
        <v>75.781781766962581</v>
      </c>
      <c r="AE57" s="69">
        <f t="shared" si="114"/>
        <v>92.419614102201081</v>
      </c>
      <c r="AF57" s="69">
        <f t="shared" si="115"/>
        <v>168.20139586916366</v>
      </c>
      <c r="AH57" t="str">
        <f t="shared" si="142"/>
        <v>42 Secretarial and related occupations</v>
      </c>
      <c r="AI57" s="18">
        <f t="shared" si="151"/>
        <v>2.3486083810760676</v>
      </c>
      <c r="AJ57" s="18">
        <f t="shared" si="151"/>
        <v>2.2534242323002505</v>
      </c>
      <c r="AK57" s="18">
        <f t="shared" si="151"/>
        <v>2.5400701185221259</v>
      </c>
      <c r="AL57" s="18">
        <f t="shared" si="151"/>
        <v>3.2429284995051626</v>
      </c>
      <c r="AM57" s="18">
        <f t="shared" si="151"/>
        <v>3.1352640434015382</v>
      </c>
      <c r="AO57" s="68">
        <f t="shared" si="117"/>
        <v>30.671926357925972</v>
      </c>
      <c r="AP57" s="69">
        <f t="shared" si="118"/>
        <v>76.145341674865335</v>
      </c>
      <c r="AQ57" s="69">
        <f t="shared" si="119"/>
        <v>106.8172680327913</v>
      </c>
      <c r="AS57" t="str">
        <f t="shared" si="143"/>
        <v>42 Secretarial and related occupations</v>
      </c>
      <c r="AT57" s="18">
        <f t="shared" si="152"/>
        <v>2.0540007667768037</v>
      </c>
      <c r="AU57" s="18">
        <f t="shared" si="152"/>
        <v>1.7953576547601955</v>
      </c>
      <c r="AV57" s="18">
        <f t="shared" si="152"/>
        <v>2.0591330417291078</v>
      </c>
      <c r="AW57" s="18">
        <f t="shared" si="152"/>
        <v>2.352445601913066</v>
      </c>
      <c r="AX57" s="18">
        <f t="shared" si="152"/>
        <v>2.1523516275716084</v>
      </c>
      <c r="AZ57" s="68">
        <f t="shared" si="121"/>
        <v>23.459625815701031</v>
      </c>
      <c r="BA57" s="69">
        <f t="shared" si="122"/>
        <v>67.80474949548838</v>
      </c>
      <c r="BB57" s="69">
        <f t="shared" si="123"/>
        <v>91.264375311189411</v>
      </c>
      <c r="BD57" t="str">
        <f t="shared" si="144"/>
        <v>42 Secretarial and related occupations</v>
      </c>
      <c r="BE57" s="18">
        <f t="shared" si="153"/>
        <v>2.0073405800113031</v>
      </c>
      <c r="BF57" s="18">
        <f t="shared" si="153"/>
        <v>1.717534787383262</v>
      </c>
      <c r="BG57" s="18">
        <f t="shared" si="153"/>
        <v>1.7036673331224446</v>
      </c>
      <c r="BH57" s="18">
        <f t="shared" si="153"/>
        <v>1.8211161322075076</v>
      </c>
      <c r="BI57" s="18">
        <f t="shared" si="153"/>
        <v>0.62034374467946118</v>
      </c>
      <c r="BK57" s="68">
        <f t="shared" si="125"/>
        <v>-61.538623727404584</v>
      </c>
      <c r="BL57" s="69">
        <f t="shared" si="126"/>
        <v>41.07870691841201</v>
      </c>
      <c r="BM57" s="69">
        <f t="shared" si="127"/>
        <v>-20.459916808992574</v>
      </c>
      <c r="BO57" t="str">
        <f t="shared" si="145"/>
        <v>42 Secretarial and related occupations</v>
      </c>
      <c r="BP57" s="18">
        <f t="shared" si="154"/>
        <v>2.6400662400639829</v>
      </c>
      <c r="BQ57" s="18">
        <f t="shared" si="154"/>
        <v>2.1100277822740212</v>
      </c>
      <c r="BR57" s="18">
        <f t="shared" si="154"/>
        <v>2.0512474796490263</v>
      </c>
      <c r="BS57" s="18">
        <f t="shared" si="154"/>
        <v>1.6758136249353215</v>
      </c>
      <c r="BT57" s="18">
        <f t="shared" si="154"/>
        <v>0.52751653364765072</v>
      </c>
      <c r="BV57" s="68">
        <f t="shared" si="129"/>
        <v>-76.277861295082459</v>
      </c>
      <c r="BW57" s="69">
        <f t="shared" si="130"/>
        <v>30.815461987421074</v>
      </c>
      <c r="BX57" s="69">
        <f t="shared" si="131"/>
        <v>-45.462399307661386</v>
      </c>
      <c r="BZ57" t="str">
        <f t="shared" si="146"/>
        <v>42 Secretarial and related occupations</v>
      </c>
      <c r="CA57" s="18">
        <f t="shared" si="155"/>
        <v>3.2285041615958092</v>
      </c>
      <c r="CB57" s="18">
        <f t="shared" si="155"/>
        <v>3.0914802957703338</v>
      </c>
      <c r="CC57" s="18">
        <f t="shared" si="155"/>
        <v>2.8069587104430171</v>
      </c>
      <c r="CD57" s="18">
        <f t="shared" si="155"/>
        <v>2.5191553000503375</v>
      </c>
      <c r="CE57" s="18">
        <f t="shared" si="155"/>
        <v>0.78072806296948061</v>
      </c>
      <c r="CG57" s="68">
        <f t="shared" si="133"/>
        <v>-85.208833339254227</v>
      </c>
      <c r="CH57" s="69">
        <f t="shared" si="134"/>
        <v>24.57344035518928</v>
      </c>
      <c r="CI57" s="69">
        <f t="shared" si="135"/>
        <v>-60.63539298406495</v>
      </c>
      <c r="CK57" t="str">
        <f t="shared" si="147"/>
        <v>42 Secretarial and related occupations</v>
      </c>
      <c r="CL57" s="18">
        <f t="shared" si="156"/>
        <v>1.8628240817872905</v>
      </c>
      <c r="CM57" s="18">
        <f t="shared" si="156"/>
        <v>1.7616553133837982</v>
      </c>
      <c r="CN57" s="18">
        <f t="shared" si="156"/>
        <v>2.0771476198872283</v>
      </c>
      <c r="CO57" s="18">
        <f t="shared" si="156"/>
        <v>2.9409912651760393</v>
      </c>
      <c r="CP57" s="18">
        <f t="shared" si="156"/>
        <v>3.9733865047730266</v>
      </c>
      <c r="CR57" s="68">
        <f t="shared" si="137"/>
        <v>-26.908019062984255</v>
      </c>
      <c r="CS57" s="69">
        <f t="shared" si="138"/>
        <v>35.346443863189663</v>
      </c>
      <c r="CT57" s="69">
        <f t="shared" si="139"/>
        <v>8.4384248002054072</v>
      </c>
    </row>
    <row r="58" spans="1:98" x14ac:dyDescent="0.25">
      <c r="A58" t="str">
        <f t="shared" si="103"/>
        <v>51 Skilled agricultural and related trades</v>
      </c>
      <c r="B58" s="18">
        <f t="shared" si="148"/>
        <v>0.1212922505843118</v>
      </c>
      <c r="C58" s="18">
        <f t="shared" si="148"/>
        <v>0.11737895324694322</v>
      </c>
      <c r="D58" s="18">
        <f t="shared" si="148"/>
        <v>9.1273819463965913E-2</v>
      </c>
      <c r="E58" s="18">
        <f t="shared" si="148"/>
        <v>8.9434617319328558E-2</v>
      </c>
      <c r="F58" s="18">
        <f t="shared" si="148"/>
        <v>0.11666970603730697</v>
      </c>
      <c r="H58" s="68">
        <f t="shared" si="105"/>
        <v>143.05853622329516</v>
      </c>
      <c r="I58" s="69">
        <f t="shared" si="106"/>
        <v>98.668056058718037</v>
      </c>
      <c r="J58" s="69">
        <f t="shared" si="107"/>
        <v>241.7265922820132</v>
      </c>
      <c r="L58" t="str">
        <f t="shared" si="140"/>
        <v>51 Skilled agricultural and related trades</v>
      </c>
      <c r="M58" s="18">
        <f t="shared" si="149"/>
        <v>0.17470224146060556</v>
      </c>
      <c r="N58" s="18">
        <f t="shared" si="149"/>
        <v>0.12600701460444211</v>
      </c>
      <c r="O58" s="18">
        <f t="shared" si="149"/>
        <v>0.10645465671035785</v>
      </c>
      <c r="P58" s="18">
        <f t="shared" si="149"/>
        <v>0.10295520473551939</v>
      </c>
      <c r="Q58" s="18">
        <f t="shared" si="149"/>
        <v>9.4152038505017882E-2</v>
      </c>
      <c r="S58" s="68">
        <f t="shared" si="109"/>
        <v>64.754190064503717</v>
      </c>
      <c r="T58" s="69">
        <f t="shared" si="110"/>
        <v>70.576170313978224</v>
      </c>
      <c r="U58" s="69">
        <f t="shared" si="111"/>
        <v>135.33036037848194</v>
      </c>
      <c r="W58" t="str">
        <f t="shared" si="141"/>
        <v>51 Skilled agricultural and related trades</v>
      </c>
      <c r="X58" s="18">
        <f t="shared" si="150"/>
        <v>0.59929016681451908</v>
      </c>
      <c r="Y58" s="18">
        <f t="shared" si="150"/>
        <v>0.45432214008925276</v>
      </c>
      <c r="Z58" s="18">
        <f t="shared" si="150"/>
        <v>0.37788444817124767</v>
      </c>
      <c r="AA58" s="18">
        <f t="shared" si="150"/>
        <v>0.40978149599848501</v>
      </c>
      <c r="AB58" s="18">
        <f t="shared" si="150"/>
        <v>0.48208167334152552</v>
      </c>
      <c r="AD58" s="68">
        <f t="shared" si="113"/>
        <v>57.08151311559039</v>
      </c>
      <c r="AE58" s="69">
        <f t="shared" si="114"/>
        <v>86.468338247935748</v>
      </c>
      <c r="AF58" s="69">
        <f t="shared" si="115"/>
        <v>143.54985136352613</v>
      </c>
      <c r="AH58" t="str">
        <f t="shared" si="142"/>
        <v>51 Skilled agricultural and related trades</v>
      </c>
      <c r="AI58" s="18">
        <f t="shared" si="151"/>
        <v>0.66392780448336519</v>
      </c>
      <c r="AJ58" s="18">
        <f t="shared" si="151"/>
        <v>0.63287140157380084</v>
      </c>
      <c r="AK58" s="18">
        <f t="shared" si="151"/>
        <v>0.49257513684918186</v>
      </c>
      <c r="AL58" s="18">
        <f t="shared" si="151"/>
        <v>0.62776221078432271</v>
      </c>
      <c r="AM58" s="18">
        <f t="shared" si="151"/>
        <v>0.78715323851835295</v>
      </c>
      <c r="AO58" s="68">
        <f t="shared" si="117"/>
        <v>69.176749781029002</v>
      </c>
      <c r="AP58" s="69">
        <f t="shared" si="118"/>
        <v>95.626053352305291</v>
      </c>
      <c r="AQ58" s="69">
        <f t="shared" si="119"/>
        <v>164.80280313333429</v>
      </c>
      <c r="AS58" t="str">
        <f t="shared" si="143"/>
        <v>51 Skilled agricultural and related trades</v>
      </c>
      <c r="AT58" s="18">
        <f t="shared" si="152"/>
        <v>1.3313612401079096</v>
      </c>
      <c r="AU58" s="18">
        <f t="shared" si="152"/>
        <v>1.2443075615003605</v>
      </c>
      <c r="AV58" s="18">
        <f t="shared" si="152"/>
        <v>1.0136030856343525</v>
      </c>
      <c r="AW58" s="18">
        <f t="shared" si="152"/>
        <v>1.1584405234293851</v>
      </c>
      <c r="AX58" s="18">
        <f t="shared" si="152"/>
        <v>1.5459581185631366</v>
      </c>
      <c r="AZ58" s="68">
        <f t="shared" si="121"/>
        <v>80.14654661722183</v>
      </c>
      <c r="BA58" s="69">
        <f t="shared" si="122"/>
        <v>84.831409222109357</v>
      </c>
      <c r="BB58" s="69">
        <f t="shared" si="123"/>
        <v>164.9779558393312</v>
      </c>
      <c r="BD58" t="str">
        <f t="shared" si="144"/>
        <v>51 Skilled agricultural and related trades</v>
      </c>
      <c r="BE58" s="18">
        <f t="shared" si="153"/>
        <v>0.56401801388564943</v>
      </c>
      <c r="BF58" s="18">
        <f t="shared" si="153"/>
        <v>0.50569086409164254</v>
      </c>
      <c r="BG58" s="18">
        <f t="shared" si="153"/>
        <v>0.4084725513224628</v>
      </c>
      <c r="BH58" s="18">
        <f t="shared" si="153"/>
        <v>0.40860016908828339</v>
      </c>
      <c r="BI58" s="18">
        <f t="shared" si="153"/>
        <v>0.44654783607341908</v>
      </c>
      <c r="BK58" s="68">
        <f t="shared" si="125"/>
        <v>15.473497649001274</v>
      </c>
      <c r="BL58" s="69">
        <f t="shared" si="126"/>
        <v>56.322537370229554</v>
      </c>
      <c r="BM58" s="69">
        <f t="shared" si="127"/>
        <v>71.796035019230814</v>
      </c>
      <c r="BO58" t="str">
        <f t="shared" si="145"/>
        <v>51 Skilled agricultural and related trades</v>
      </c>
      <c r="BP58" s="18">
        <f t="shared" si="154"/>
        <v>0.97045165575891479</v>
      </c>
      <c r="BQ58" s="18">
        <f t="shared" si="154"/>
        <v>0.8908467201502146</v>
      </c>
      <c r="BR58" s="18">
        <f t="shared" si="154"/>
        <v>0.76866285344674379</v>
      </c>
      <c r="BS58" s="18">
        <f t="shared" si="154"/>
        <v>0.74926426650953271</v>
      </c>
      <c r="BT58" s="18">
        <f t="shared" si="154"/>
        <v>0.80932090122552702</v>
      </c>
      <c r="BV58" s="68">
        <f t="shared" si="129"/>
        <v>-2.8773132380511006</v>
      </c>
      <c r="BW58" s="69">
        <f t="shared" si="130"/>
        <v>56.832920711163702</v>
      </c>
      <c r="BX58" s="69">
        <f t="shared" si="131"/>
        <v>53.9556074731126</v>
      </c>
      <c r="BZ58" t="str">
        <f t="shared" si="146"/>
        <v>51 Skilled agricultural and related trades</v>
      </c>
      <c r="CA58" s="18">
        <f t="shared" si="155"/>
        <v>1.1237098331798043</v>
      </c>
      <c r="CB58" s="18">
        <f t="shared" si="155"/>
        <v>1.0937454374289519</v>
      </c>
      <c r="CC58" s="18">
        <f t="shared" si="155"/>
        <v>1.1923015188481636</v>
      </c>
      <c r="CD58" s="18">
        <f t="shared" si="155"/>
        <v>1.4011854099459768</v>
      </c>
      <c r="CE58" s="18">
        <f t="shared" si="155"/>
        <v>2.7243126466024723</v>
      </c>
      <c r="CG58" s="68">
        <f t="shared" si="133"/>
        <v>21.509298597327721</v>
      </c>
      <c r="CH58" s="69">
        <f t="shared" si="134"/>
        <v>50.159392218846456</v>
      </c>
      <c r="CI58" s="69">
        <f t="shared" si="135"/>
        <v>71.668690816174191</v>
      </c>
      <c r="CK58" t="str">
        <f t="shared" si="147"/>
        <v>51 Skilled agricultural and related trades</v>
      </c>
      <c r="CL58" s="18">
        <f t="shared" si="156"/>
        <v>1.7986709790780728</v>
      </c>
      <c r="CM58" s="18">
        <f t="shared" si="156"/>
        <v>1.8513630330368804</v>
      </c>
      <c r="CN58" s="18">
        <f t="shared" si="156"/>
        <v>1.4785069778846611</v>
      </c>
      <c r="CO58" s="18">
        <f t="shared" si="156"/>
        <v>1.9923738339826482</v>
      </c>
      <c r="CP58" s="18">
        <f t="shared" si="156"/>
        <v>2.0378502921880237</v>
      </c>
      <c r="CR58" s="68">
        <f t="shared" si="137"/>
        <v>-47.334625150101004</v>
      </c>
      <c r="CS58" s="69">
        <f t="shared" si="138"/>
        <v>29.05029986111937</v>
      </c>
      <c r="CT58" s="69">
        <f t="shared" si="139"/>
        <v>-18.284325288981638</v>
      </c>
    </row>
    <row r="59" spans="1:98" x14ac:dyDescent="0.25">
      <c r="A59" t="str">
        <f t="shared" si="103"/>
        <v>52 Skilled metal, electrical and electronic trades</v>
      </c>
      <c r="B59" s="18">
        <f t="shared" si="148"/>
        <v>0.33094663821796949</v>
      </c>
      <c r="C59" s="18">
        <f t="shared" si="148"/>
        <v>0.21031082317657651</v>
      </c>
      <c r="D59" s="18">
        <f t="shared" si="148"/>
        <v>0.16256823283270888</v>
      </c>
      <c r="E59" s="18">
        <f t="shared" si="148"/>
        <v>0.15898317380614321</v>
      </c>
      <c r="F59" s="18">
        <f t="shared" si="148"/>
        <v>0.15885431858641211</v>
      </c>
      <c r="H59" s="68">
        <f t="shared" si="105"/>
        <v>85.807114989728532</v>
      </c>
      <c r="I59" s="69">
        <f t="shared" si="106"/>
        <v>58.257642039148806</v>
      </c>
      <c r="J59" s="69">
        <f t="shared" si="107"/>
        <v>144.06475702887732</v>
      </c>
      <c r="L59" t="str">
        <f t="shared" si="140"/>
        <v>52 Skilled metal, electrical and electronic trades</v>
      </c>
      <c r="M59" s="18">
        <f t="shared" si="149"/>
        <v>1.1786755109906253</v>
      </c>
      <c r="N59" s="18">
        <f t="shared" si="149"/>
        <v>1.0737917294805546</v>
      </c>
      <c r="O59" s="18">
        <f t="shared" si="149"/>
        <v>0.73680079329134918</v>
      </c>
      <c r="P59" s="18">
        <f t="shared" si="149"/>
        <v>0.97255867121845352</v>
      </c>
      <c r="Q59" s="18">
        <f t="shared" si="149"/>
        <v>1.0932150987170535</v>
      </c>
      <c r="S59" s="68">
        <f t="shared" si="109"/>
        <v>176.39293730254246</v>
      </c>
      <c r="T59" s="69">
        <f t="shared" si="110"/>
        <v>89.581901363546848</v>
      </c>
      <c r="U59" s="69">
        <f t="shared" si="111"/>
        <v>265.97483866608928</v>
      </c>
      <c r="W59" t="str">
        <f t="shared" si="141"/>
        <v>52 Skilled metal, electrical and electronic trades</v>
      </c>
      <c r="X59" s="18">
        <f t="shared" si="150"/>
        <v>1.5707903864911401</v>
      </c>
      <c r="Y59" s="18">
        <f t="shared" si="150"/>
        <v>1.4901762360552622</v>
      </c>
      <c r="Z59" s="18">
        <f t="shared" si="150"/>
        <v>1.0599141816091857</v>
      </c>
      <c r="AA59" s="18">
        <f t="shared" si="150"/>
        <v>1.2364449203852685</v>
      </c>
      <c r="AB59" s="18">
        <f t="shared" si="150"/>
        <v>1.3207240286175901</v>
      </c>
      <c r="AD59" s="68">
        <f t="shared" si="113"/>
        <v>53.428079664193142</v>
      </c>
      <c r="AE59" s="69">
        <f t="shared" si="114"/>
        <v>64.472887945941324</v>
      </c>
      <c r="AF59" s="69">
        <f t="shared" si="115"/>
        <v>117.90096761013449</v>
      </c>
      <c r="AH59" t="str">
        <f t="shared" si="142"/>
        <v>52 Skilled metal, electrical and electronic trades</v>
      </c>
      <c r="AI59" s="18">
        <f t="shared" si="151"/>
        <v>1.8627496858318189</v>
      </c>
      <c r="AJ59" s="18">
        <f t="shared" si="151"/>
        <v>1.7926878987772736</v>
      </c>
      <c r="AK59" s="18">
        <f t="shared" si="151"/>
        <v>1.3446671509944759</v>
      </c>
      <c r="AL59" s="18">
        <f t="shared" si="151"/>
        <v>1.4812119719685959</v>
      </c>
      <c r="AM59" s="18">
        <f t="shared" si="151"/>
        <v>1.6143100939650534</v>
      </c>
      <c r="AO59" s="68">
        <f t="shared" si="117"/>
        <v>27.094291339069223</v>
      </c>
      <c r="AP59" s="69">
        <f t="shared" si="118"/>
        <v>48.684846177997962</v>
      </c>
      <c r="AQ59" s="69">
        <f t="shared" si="119"/>
        <v>75.779137517067198</v>
      </c>
      <c r="AS59" t="str">
        <f t="shared" si="143"/>
        <v>52 Skilled metal, electrical and electronic trades</v>
      </c>
      <c r="AT59" s="18">
        <f t="shared" si="152"/>
        <v>8.8129012367289263</v>
      </c>
      <c r="AU59" s="18">
        <f t="shared" si="152"/>
        <v>8.3840560220266731</v>
      </c>
      <c r="AV59" s="18">
        <f t="shared" si="152"/>
        <v>6.6623485214742857</v>
      </c>
      <c r="AW59" s="18">
        <f t="shared" si="152"/>
        <v>6.7295273231479342</v>
      </c>
      <c r="AX59" s="18">
        <f t="shared" si="152"/>
        <v>6.5231573397271525</v>
      </c>
      <c r="AZ59" s="68">
        <f t="shared" si="121"/>
        <v>15.644943144788551</v>
      </c>
      <c r="BA59" s="69">
        <f t="shared" si="122"/>
        <v>46.40571701107595</v>
      </c>
      <c r="BB59" s="69">
        <f t="shared" si="123"/>
        <v>62.050660155864513</v>
      </c>
      <c r="BD59" t="str">
        <f t="shared" si="144"/>
        <v>52 Skilled metal, electrical and electronic trades</v>
      </c>
      <c r="BE59" s="18">
        <f t="shared" si="153"/>
        <v>10.978998441918405</v>
      </c>
      <c r="BF59" s="18">
        <f t="shared" si="153"/>
        <v>10.804602601118614</v>
      </c>
      <c r="BG59" s="18">
        <f t="shared" si="153"/>
        <v>9.4415134309989242</v>
      </c>
      <c r="BH59" s="18">
        <f t="shared" si="153"/>
        <v>8.9648066665585358</v>
      </c>
      <c r="BI59" s="18">
        <f t="shared" si="153"/>
        <v>8.4972826787764379</v>
      </c>
      <c r="BK59" s="68">
        <f t="shared" si="125"/>
        <v>-4.9360927647756823</v>
      </c>
      <c r="BL59" s="69">
        <f t="shared" si="126"/>
        <v>34.300901309929316</v>
      </c>
      <c r="BM59" s="69">
        <f t="shared" si="127"/>
        <v>29.364808545153632</v>
      </c>
      <c r="BO59" t="str">
        <f t="shared" si="145"/>
        <v>52 Skilled metal, electrical and electronic trades</v>
      </c>
      <c r="BP59" s="18">
        <f t="shared" si="154"/>
        <v>6.2696488514594018</v>
      </c>
      <c r="BQ59" s="18">
        <f t="shared" si="154"/>
        <v>6.2147327586401477</v>
      </c>
      <c r="BR59" s="18">
        <f t="shared" si="154"/>
        <v>5.7575379338017347</v>
      </c>
      <c r="BS59" s="18">
        <f t="shared" si="154"/>
        <v>5.3380364786242911</v>
      </c>
      <c r="BT59" s="18">
        <f t="shared" si="154"/>
        <v>5.1742899070480197</v>
      </c>
      <c r="BV59" s="68">
        <f t="shared" si="129"/>
        <v>-17.100907715000435</v>
      </c>
      <c r="BW59" s="69">
        <f t="shared" si="130"/>
        <v>35.320929202542317</v>
      </c>
      <c r="BX59" s="69">
        <f t="shared" si="131"/>
        <v>18.220021487541882</v>
      </c>
      <c r="BZ59" t="str">
        <f t="shared" si="146"/>
        <v>52 Skilled metal, electrical and electronic trades</v>
      </c>
      <c r="CA59" s="18">
        <f t="shared" si="155"/>
        <v>4.9700685422058504</v>
      </c>
      <c r="CB59" s="18">
        <f t="shared" si="155"/>
        <v>4.8880529809954183</v>
      </c>
      <c r="CC59" s="18">
        <f t="shared" si="155"/>
        <v>4.6908369173582232</v>
      </c>
      <c r="CD59" s="18">
        <f t="shared" si="155"/>
        <v>4.3742404546741813</v>
      </c>
      <c r="CE59" s="18">
        <f t="shared" si="155"/>
        <v>3.7718143464691463</v>
      </c>
      <c r="CG59" s="68">
        <f t="shared" si="133"/>
        <v>-57.23990727406315</v>
      </c>
      <c r="CH59" s="69">
        <f t="shared" si="134"/>
        <v>24.781520740722414</v>
      </c>
      <c r="CI59" s="69">
        <f t="shared" si="135"/>
        <v>-32.458386533340736</v>
      </c>
      <c r="CK59" t="str">
        <f t="shared" si="147"/>
        <v>52 Skilled metal, electrical and electronic trades</v>
      </c>
      <c r="CL59" s="18">
        <f t="shared" si="156"/>
        <v>5.3979895186999647</v>
      </c>
      <c r="CM59" s="18">
        <f t="shared" si="156"/>
        <v>5.6933599218991757</v>
      </c>
      <c r="CN59" s="18">
        <f t="shared" si="156"/>
        <v>4.5734042122066709</v>
      </c>
      <c r="CO59" s="18">
        <f t="shared" si="156"/>
        <v>4.268910515543209</v>
      </c>
      <c r="CP59" s="18">
        <f t="shared" si="156"/>
        <v>4.1611872114622859</v>
      </c>
      <c r="CR59" s="68">
        <f t="shared" si="137"/>
        <v>-65.234062116953879</v>
      </c>
      <c r="CS59" s="69">
        <f t="shared" si="138"/>
        <v>19.375312741919696</v>
      </c>
      <c r="CT59" s="69">
        <f t="shared" si="139"/>
        <v>-45.858749375034186</v>
      </c>
    </row>
    <row r="60" spans="1:98" x14ac:dyDescent="0.25">
      <c r="A60" t="str">
        <f t="shared" si="103"/>
        <v>53 Skilled construction and building trades</v>
      </c>
      <c r="B60" s="18">
        <f t="shared" si="148"/>
        <v>0.12688547652915597</v>
      </c>
      <c r="C60" s="18">
        <f t="shared" si="148"/>
        <v>7.8135169487377087E-2</v>
      </c>
      <c r="D60" s="18">
        <f t="shared" si="148"/>
        <v>4.8896598345171099E-2</v>
      </c>
      <c r="E60" s="18">
        <f t="shared" si="148"/>
        <v>5.5300316353990887E-2</v>
      </c>
      <c r="F60" s="18">
        <f t="shared" si="148"/>
        <v>3.9541527995077513E-2</v>
      </c>
      <c r="H60" s="68">
        <f t="shared" si="105"/>
        <v>53.770773729802897</v>
      </c>
      <c r="I60" s="69">
        <f t="shared" si="106"/>
        <v>57.666335358407991</v>
      </c>
      <c r="J60" s="69">
        <f t="shared" si="107"/>
        <v>111.43710908821089</v>
      </c>
      <c r="L60" t="str">
        <f t="shared" si="140"/>
        <v>53 Skilled construction and building trades</v>
      </c>
      <c r="M60" s="18">
        <f t="shared" si="149"/>
        <v>0.46257365486012114</v>
      </c>
      <c r="N60" s="18">
        <f t="shared" si="149"/>
        <v>0.41293557682473547</v>
      </c>
      <c r="O60" s="18">
        <f t="shared" si="149"/>
        <v>0.29220853269065394</v>
      </c>
      <c r="P60" s="18">
        <f t="shared" si="149"/>
        <v>0.32979855793225599</v>
      </c>
      <c r="Q60" s="18">
        <f t="shared" si="149"/>
        <v>0.32847957983066828</v>
      </c>
      <c r="S60" s="68">
        <f t="shared" si="109"/>
        <v>109.40492316733889</v>
      </c>
      <c r="T60" s="69">
        <f t="shared" si="110"/>
        <v>71.758336988221487</v>
      </c>
      <c r="U60" s="69">
        <f t="shared" si="111"/>
        <v>181.16326015556038</v>
      </c>
      <c r="W60" t="str">
        <f t="shared" si="141"/>
        <v>53 Skilled construction and building trades</v>
      </c>
      <c r="X60" s="18">
        <f t="shared" si="150"/>
        <v>0.78481000292404923</v>
      </c>
      <c r="Y60" s="18">
        <f t="shared" si="150"/>
        <v>0.73260282395367549</v>
      </c>
      <c r="Z60" s="18">
        <f t="shared" si="150"/>
        <v>0.5314934447802534</v>
      </c>
      <c r="AA60" s="18">
        <f t="shared" si="150"/>
        <v>0.62218199464081259</v>
      </c>
      <c r="AB60" s="18">
        <f t="shared" si="150"/>
        <v>0.61678153267583158</v>
      </c>
      <c r="AD60" s="68">
        <f t="shared" si="113"/>
        <v>42.888383308430896</v>
      </c>
      <c r="AE60" s="69">
        <f t="shared" si="114"/>
        <v>63.885890687536303</v>
      </c>
      <c r="AF60" s="69">
        <f t="shared" si="115"/>
        <v>106.77427399596719</v>
      </c>
      <c r="AH60" t="str">
        <f t="shared" si="142"/>
        <v>53 Skilled construction and building trades</v>
      </c>
      <c r="AI60" s="18">
        <f t="shared" si="151"/>
        <v>1.4316244981567627</v>
      </c>
      <c r="AJ60" s="18">
        <f t="shared" si="151"/>
        <v>1.6780300410279132</v>
      </c>
      <c r="AK60" s="18">
        <f t="shared" si="151"/>
        <v>1.3252458639302587</v>
      </c>
      <c r="AL60" s="18">
        <f t="shared" si="151"/>
        <v>1.6207083402527795</v>
      </c>
      <c r="AM60" s="18">
        <f t="shared" si="151"/>
        <v>1.7398985882255869</v>
      </c>
      <c r="AO60" s="68">
        <f t="shared" si="117"/>
        <v>38.989296073602468</v>
      </c>
      <c r="AP60" s="69">
        <f t="shared" si="118"/>
        <v>65.48603715450318</v>
      </c>
      <c r="AQ60" s="69">
        <f t="shared" si="119"/>
        <v>104.47533322810567</v>
      </c>
      <c r="AS60" t="str">
        <f t="shared" si="143"/>
        <v>53 Skilled construction and building trades</v>
      </c>
      <c r="AT60" s="18">
        <f t="shared" si="152"/>
        <v>2.1096023267709483</v>
      </c>
      <c r="AU60" s="18">
        <f t="shared" si="152"/>
        <v>2.5052963371881187</v>
      </c>
      <c r="AV60" s="18">
        <f t="shared" si="152"/>
        <v>1.9699373745426592</v>
      </c>
      <c r="AW60" s="18">
        <f t="shared" si="152"/>
        <v>2.3227149663486424</v>
      </c>
      <c r="AX60" s="18">
        <f t="shared" si="152"/>
        <v>2.1861997093917926</v>
      </c>
      <c r="AZ60" s="68">
        <f t="shared" si="121"/>
        <v>31.079130892396506</v>
      </c>
      <c r="BA60" s="69">
        <f t="shared" si="122"/>
        <v>62.296826856586037</v>
      </c>
      <c r="BB60" s="69">
        <f t="shared" si="123"/>
        <v>93.375957748982543</v>
      </c>
      <c r="BD60" t="str">
        <f t="shared" si="144"/>
        <v>53 Skilled construction and building trades</v>
      </c>
      <c r="BE60" s="18">
        <f t="shared" si="153"/>
        <v>5.7704837796337856</v>
      </c>
      <c r="BF60" s="18">
        <f t="shared" si="153"/>
        <v>6.2767605399033979</v>
      </c>
      <c r="BG60" s="18">
        <f t="shared" si="153"/>
        <v>5.4247292883234914</v>
      </c>
      <c r="BH60" s="18">
        <f t="shared" si="153"/>
        <v>5.3725377390225733</v>
      </c>
      <c r="BI60" s="18">
        <f t="shared" si="153"/>
        <v>4.7900237151816256</v>
      </c>
      <c r="BK60" s="68">
        <f t="shared" si="125"/>
        <v>-6.7311111876942595</v>
      </c>
      <c r="BL60" s="69">
        <f t="shared" si="126"/>
        <v>38.251895541854772</v>
      </c>
      <c r="BM60" s="69">
        <f t="shared" si="127"/>
        <v>31.520784354160508</v>
      </c>
      <c r="BO60" t="str">
        <f t="shared" si="145"/>
        <v>53 Skilled construction and building trades</v>
      </c>
      <c r="BP60" s="18">
        <f t="shared" si="154"/>
        <v>4.9895954980006119</v>
      </c>
      <c r="BQ60" s="18">
        <f t="shared" si="154"/>
        <v>6.1519146826309097</v>
      </c>
      <c r="BR60" s="18">
        <f t="shared" si="154"/>
        <v>5.6349294327466053</v>
      </c>
      <c r="BS60" s="18">
        <f t="shared" si="154"/>
        <v>6.1087357577638475</v>
      </c>
      <c r="BT60" s="18">
        <f t="shared" si="154"/>
        <v>6.5957102418444657</v>
      </c>
      <c r="BV60" s="68">
        <f t="shared" si="129"/>
        <v>7.9714445779219893</v>
      </c>
      <c r="BW60" s="69">
        <f t="shared" si="130"/>
        <v>51.157600130378377</v>
      </c>
      <c r="BX60" s="69">
        <f t="shared" si="131"/>
        <v>59.12904470830037</v>
      </c>
      <c r="BZ60" t="str">
        <f t="shared" si="146"/>
        <v>53 Skilled construction and building trades</v>
      </c>
      <c r="CA60" s="18">
        <f t="shared" si="155"/>
        <v>4.1631360866640312</v>
      </c>
      <c r="CB60" s="18">
        <f t="shared" si="155"/>
        <v>4.6799995188914343</v>
      </c>
      <c r="CC60" s="18">
        <f t="shared" si="155"/>
        <v>4.4460148593668833</v>
      </c>
      <c r="CD60" s="18">
        <f t="shared" si="155"/>
        <v>4.55430617399574</v>
      </c>
      <c r="CE60" s="18">
        <f t="shared" si="155"/>
        <v>5.1644843792504984</v>
      </c>
      <c r="CG60" s="68">
        <f t="shared" si="133"/>
        <v>-38.227564725483205</v>
      </c>
      <c r="CH60" s="69">
        <f t="shared" si="134"/>
        <v>31.892813767101764</v>
      </c>
      <c r="CI60" s="69">
        <f t="shared" si="135"/>
        <v>-6.3347509583814423</v>
      </c>
      <c r="CK60" t="str">
        <f t="shared" si="147"/>
        <v>53 Skilled construction and building trades</v>
      </c>
      <c r="CL60" s="18">
        <f t="shared" si="156"/>
        <v>5.8230165322003336</v>
      </c>
      <c r="CM60" s="18">
        <f t="shared" si="156"/>
        <v>7.5756556493131271</v>
      </c>
      <c r="CN60" s="18">
        <f t="shared" si="156"/>
        <v>6.251177288387237</v>
      </c>
      <c r="CO60" s="18">
        <f t="shared" si="156"/>
        <v>5.1882015657817107</v>
      </c>
      <c r="CP60" s="18">
        <f t="shared" si="156"/>
        <v>1.6179441396848959</v>
      </c>
      <c r="CR60" s="68">
        <f t="shared" si="137"/>
        <v>-90.110416777432917</v>
      </c>
      <c r="CS60" s="69">
        <f t="shared" si="138"/>
        <v>12.421956509900767</v>
      </c>
      <c r="CT60" s="69">
        <f t="shared" si="139"/>
        <v>-77.68846026753215</v>
      </c>
    </row>
    <row r="61" spans="1:98" x14ac:dyDescent="0.25">
      <c r="A61" t="str">
        <f t="shared" si="103"/>
        <v>54 Textiles, printing and other skilled trades</v>
      </c>
      <c r="B61" s="18">
        <f t="shared" si="148"/>
        <v>0.65963358469906197</v>
      </c>
      <c r="C61" s="18">
        <f t="shared" si="148"/>
        <v>0.48158593755362511</v>
      </c>
      <c r="D61" s="18">
        <f t="shared" si="148"/>
        <v>0.43977808709544775</v>
      </c>
      <c r="E61" s="18">
        <f t="shared" si="148"/>
        <v>0.43505869933654273</v>
      </c>
      <c r="F61" s="18">
        <f t="shared" si="148"/>
        <v>0.37854099194746815</v>
      </c>
      <c r="H61" s="68">
        <f t="shared" si="105"/>
        <v>63.673484719484094</v>
      </c>
      <c r="I61" s="69">
        <f t="shared" si="106"/>
        <v>62.949426296265429</v>
      </c>
      <c r="J61" s="69">
        <f t="shared" si="107"/>
        <v>126.62291101574952</v>
      </c>
      <c r="L61" t="str">
        <f t="shared" si="140"/>
        <v>54 Textiles, printing and other skilled trades</v>
      </c>
      <c r="M61" s="18">
        <f t="shared" si="149"/>
        <v>0.64417573363895497</v>
      </c>
      <c r="N61" s="18">
        <f t="shared" si="149"/>
        <v>0.58927154405404736</v>
      </c>
      <c r="O61" s="18">
        <f t="shared" si="149"/>
        <v>0.62732418683105595</v>
      </c>
      <c r="P61" s="18">
        <f t="shared" si="149"/>
        <v>0.64450476058502904</v>
      </c>
      <c r="Q61" s="18">
        <f t="shared" si="149"/>
        <v>0.66106942640990951</v>
      </c>
      <c r="S61" s="68">
        <f t="shared" si="109"/>
        <v>96.302777532635275</v>
      </c>
      <c r="T61" s="69">
        <f t="shared" si="110"/>
        <v>78.708754720789855</v>
      </c>
      <c r="U61" s="69">
        <f t="shared" si="111"/>
        <v>175.01153225342514</v>
      </c>
      <c r="W61" t="str">
        <f t="shared" si="141"/>
        <v>54 Textiles, printing and other skilled trades</v>
      </c>
      <c r="X61" s="18">
        <f t="shared" si="150"/>
        <v>0.82765203086756778</v>
      </c>
      <c r="Y61" s="18">
        <f t="shared" si="150"/>
        <v>0.71345719525646401</v>
      </c>
      <c r="Z61" s="18">
        <f t="shared" si="150"/>
        <v>0.71537149020258661</v>
      </c>
      <c r="AA61" s="18">
        <f t="shared" si="150"/>
        <v>0.79181926199030794</v>
      </c>
      <c r="AB61" s="18">
        <f t="shared" si="150"/>
        <v>0.86615668910794941</v>
      </c>
      <c r="AD61" s="68">
        <f t="shared" si="113"/>
        <v>49.08306356513306</v>
      </c>
      <c r="AE61" s="69">
        <f t="shared" si="114"/>
        <v>72.026852688501734</v>
      </c>
      <c r="AF61" s="69">
        <f t="shared" si="115"/>
        <v>121.10991625363479</v>
      </c>
      <c r="AH61" t="str">
        <f t="shared" si="142"/>
        <v>54 Textiles, printing and other skilled trades</v>
      </c>
      <c r="AI61" s="18">
        <f t="shared" si="151"/>
        <v>0.9934218359536231</v>
      </c>
      <c r="AJ61" s="18">
        <f t="shared" si="151"/>
        <v>0.84386913582099388</v>
      </c>
      <c r="AK61" s="18">
        <f t="shared" si="151"/>
        <v>0.93213047050602416</v>
      </c>
      <c r="AL61" s="18">
        <f t="shared" si="151"/>
        <v>0.9808238752639562</v>
      </c>
      <c r="AM61" s="18">
        <f t="shared" si="151"/>
        <v>1.0511689019245032</v>
      </c>
      <c r="AO61" s="68">
        <f t="shared" si="117"/>
        <v>19.38497597615202</v>
      </c>
      <c r="AP61" s="69">
        <f t="shared" si="118"/>
        <v>63.548708097381436</v>
      </c>
      <c r="AQ61" s="69">
        <f t="shared" si="119"/>
        <v>82.933684073533456</v>
      </c>
      <c r="AS61" t="str">
        <f t="shared" si="143"/>
        <v>54 Textiles, printing and other skilled trades</v>
      </c>
      <c r="AT61" s="18">
        <f t="shared" si="152"/>
        <v>1.1896661320569486</v>
      </c>
      <c r="AU61" s="18">
        <f t="shared" si="152"/>
        <v>1.0039468503538482</v>
      </c>
      <c r="AV61" s="18">
        <f t="shared" si="152"/>
        <v>1.081566293204463</v>
      </c>
      <c r="AW61" s="18">
        <f t="shared" si="152"/>
        <v>1.1405964752605322</v>
      </c>
      <c r="AX61" s="18">
        <f t="shared" si="152"/>
        <v>1.1706724729375741</v>
      </c>
      <c r="AZ61" s="68">
        <f t="shared" si="121"/>
        <v>27.843426803662897</v>
      </c>
      <c r="BA61" s="69">
        <f t="shared" si="122"/>
        <v>61.976679520335885</v>
      </c>
      <c r="BB61" s="69">
        <f t="shared" si="123"/>
        <v>89.820106323998772</v>
      </c>
      <c r="BD61" t="str">
        <f t="shared" si="144"/>
        <v>54 Textiles, printing and other skilled trades</v>
      </c>
      <c r="BE61" s="18">
        <f t="shared" si="153"/>
        <v>2.1307828948532408</v>
      </c>
      <c r="BF61" s="18">
        <f t="shared" si="153"/>
        <v>1.9451183846083737</v>
      </c>
      <c r="BG61" s="18">
        <f t="shared" si="153"/>
        <v>1.9319188274778794</v>
      </c>
      <c r="BH61" s="18">
        <f t="shared" si="153"/>
        <v>2.0172650149688764</v>
      </c>
      <c r="BI61" s="18">
        <f t="shared" si="153"/>
        <v>1.9923680802434218</v>
      </c>
      <c r="BK61" s="68">
        <f t="shared" si="125"/>
        <v>8.9326101157651774</v>
      </c>
      <c r="BL61" s="69">
        <f t="shared" si="126"/>
        <v>43.298687909032409</v>
      </c>
      <c r="BM61" s="69">
        <f t="shared" si="127"/>
        <v>52.231298024797589</v>
      </c>
      <c r="BO61" t="str">
        <f t="shared" si="145"/>
        <v>54 Textiles, printing and other skilled trades</v>
      </c>
      <c r="BP61" s="18">
        <f t="shared" si="154"/>
        <v>2.2405837237709747</v>
      </c>
      <c r="BQ61" s="18">
        <f t="shared" si="154"/>
        <v>1.9276966621648035</v>
      </c>
      <c r="BR61" s="18">
        <f t="shared" si="154"/>
        <v>2.068722842356673</v>
      </c>
      <c r="BS61" s="18">
        <f t="shared" si="154"/>
        <v>1.9050717910308372</v>
      </c>
      <c r="BT61" s="18">
        <f t="shared" si="154"/>
        <v>1.9168919149349828</v>
      </c>
      <c r="BV61" s="68">
        <f t="shared" si="129"/>
        <v>-14.5265682648542</v>
      </c>
      <c r="BW61" s="69">
        <f t="shared" si="130"/>
        <v>38.046570296602951</v>
      </c>
      <c r="BX61" s="69">
        <f t="shared" si="131"/>
        <v>23.520002031748749</v>
      </c>
      <c r="BZ61" t="str">
        <f t="shared" si="146"/>
        <v>54 Textiles, printing and other skilled trades</v>
      </c>
      <c r="CA61" s="18">
        <f t="shared" si="155"/>
        <v>2.675734416221728</v>
      </c>
      <c r="CB61" s="18">
        <f t="shared" si="155"/>
        <v>2.4743241657625923</v>
      </c>
      <c r="CC61" s="18">
        <f t="shared" si="155"/>
        <v>2.6353176312802411</v>
      </c>
      <c r="CD61" s="18">
        <f t="shared" si="155"/>
        <v>2.6479586072968315</v>
      </c>
      <c r="CE61" s="18">
        <f t="shared" si="155"/>
        <v>2.5759782108014382</v>
      </c>
      <c r="CG61" s="68">
        <f t="shared" si="133"/>
        <v>-48.018610750793719</v>
      </c>
      <c r="CH61" s="69">
        <f t="shared" si="134"/>
        <v>27.901518354763034</v>
      </c>
      <c r="CI61" s="69">
        <f t="shared" si="135"/>
        <v>-20.117092396030689</v>
      </c>
      <c r="CK61" t="str">
        <f t="shared" si="147"/>
        <v>54 Textiles, printing and other skilled trades</v>
      </c>
      <c r="CL61" s="18">
        <f t="shared" si="156"/>
        <v>3.6169682076946446</v>
      </c>
      <c r="CM61" s="18">
        <f t="shared" si="156"/>
        <v>3.405929148536504</v>
      </c>
      <c r="CN61" s="18">
        <f t="shared" si="156"/>
        <v>3.6686690570733997</v>
      </c>
      <c r="CO61" s="18">
        <f t="shared" si="156"/>
        <v>3.2347962183705401</v>
      </c>
      <c r="CP61" s="18">
        <f t="shared" si="156"/>
        <v>3.4403140219096762</v>
      </c>
      <c r="CR61" s="68">
        <f t="shared" si="137"/>
        <v>-64.168430552256652</v>
      </c>
      <c r="CS61" s="69">
        <f t="shared" si="138"/>
        <v>17.131763285064967</v>
      </c>
      <c r="CT61" s="69">
        <f t="shared" si="139"/>
        <v>-47.036667267191682</v>
      </c>
    </row>
    <row r="62" spans="1:98" x14ac:dyDescent="0.25">
      <c r="A62" t="str">
        <f t="shared" si="103"/>
        <v>61 Caring personal service occupations</v>
      </c>
      <c r="B62" s="18">
        <f t="shared" si="148"/>
        <v>0.36703337514455636</v>
      </c>
      <c r="C62" s="18">
        <f t="shared" si="148"/>
        <v>0.3761045961734199</v>
      </c>
      <c r="D62" s="18">
        <f t="shared" si="148"/>
        <v>0.38844580603971435</v>
      </c>
      <c r="E62" s="18">
        <f t="shared" si="148"/>
        <v>0.42083349096350153</v>
      </c>
      <c r="F62" s="18">
        <f t="shared" si="148"/>
        <v>0.51998218592885548</v>
      </c>
      <c r="H62" s="68">
        <f t="shared" si="105"/>
        <v>154.54057893831433</v>
      </c>
      <c r="I62" s="69">
        <f t="shared" si="106"/>
        <v>89.769514762611465</v>
      </c>
      <c r="J62" s="69">
        <f t="shared" si="107"/>
        <v>244.31009370092579</v>
      </c>
      <c r="L62" t="str">
        <f t="shared" si="140"/>
        <v>61 Caring personal service occupations</v>
      </c>
      <c r="M62" s="18">
        <f t="shared" si="149"/>
        <v>3.0865244416383346</v>
      </c>
      <c r="N62" s="18">
        <f t="shared" si="149"/>
        <v>3.3175096315971992</v>
      </c>
      <c r="O62" s="18">
        <f t="shared" si="149"/>
        <v>3.4611940585655891</v>
      </c>
      <c r="P62" s="18">
        <f t="shared" si="149"/>
        <v>3.8970168019120566</v>
      </c>
      <c r="Q62" s="18">
        <f t="shared" si="149"/>
        <v>5.113851175779236</v>
      </c>
      <c r="S62" s="68">
        <f t="shared" si="109"/>
        <v>175.22858683024441</v>
      </c>
      <c r="T62" s="69">
        <f t="shared" si="110"/>
        <v>99.836181805094256</v>
      </c>
      <c r="U62" s="69">
        <f t="shared" si="111"/>
        <v>275.06476863533862</v>
      </c>
      <c r="W62" t="str">
        <f t="shared" si="141"/>
        <v>61 Caring personal service occupations</v>
      </c>
      <c r="X62" s="18">
        <f t="shared" si="150"/>
        <v>4.9782360586154182</v>
      </c>
      <c r="Y62" s="18">
        <f t="shared" si="150"/>
        <v>5.3163104902459404</v>
      </c>
      <c r="Z62" s="18">
        <f t="shared" si="150"/>
        <v>5.6132400872395403</v>
      </c>
      <c r="AA62" s="18">
        <f t="shared" si="150"/>
        <v>6.1566190256681086</v>
      </c>
      <c r="AB62" s="18">
        <f t="shared" si="150"/>
        <v>7.0326704893172751</v>
      </c>
      <c r="AD62" s="68">
        <f t="shared" si="113"/>
        <v>54.265966484814108</v>
      </c>
      <c r="AE62" s="69">
        <f t="shared" si="114"/>
        <v>85.737189630477602</v>
      </c>
      <c r="AF62" s="69">
        <f t="shared" si="115"/>
        <v>140.00315611529172</v>
      </c>
      <c r="AH62" t="str">
        <f t="shared" si="142"/>
        <v>61 Caring personal service occupations</v>
      </c>
      <c r="AI62" s="18">
        <f t="shared" si="151"/>
        <v>13.902881588065974</v>
      </c>
      <c r="AJ62" s="18">
        <f t="shared" si="151"/>
        <v>14.115276316349995</v>
      </c>
      <c r="AK62" s="18">
        <f t="shared" si="151"/>
        <v>15.12538736251749</v>
      </c>
      <c r="AL62" s="18">
        <f t="shared" si="151"/>
        <v>15.873980809481234</v>
      </c>
      <c r="AM62" s="18">
        <f t="shared" si="151"/>
        <v>16.342300406323361</v>
      </c>
      <c r="AO62" s="68">
        <f t="shared" si="117"/>
        <v>14.38275715763149</v>
      </c>
      <c r="AP62" s="69">
        <f t="shared" si="118"/>
        <v>63.757937247126527</v>
      </c>
      <c r="AQ62" s="69">
        <f t="shared" si="119"/>
        <v>78.140694404758023</v>
      </c>
      <c r="AS62" t="str">
        <f t="shared" si="143"/>
        <v>61 Caring personal service occupations</v>
      </c>
      <c r="AT62" s="18">
        <f t="shared" si="152"/>
        <v>7.3443860332247963</v>
      </c>
      <c r="AU62" s="18">
        <f t="shared" si="152"/>
        <v>8.0465994300429333</v>
      </c>
      <c r="AV62" s="18">
        <f t="shared" si="152"/>
        <v>8.6954099564646441</v>
      </c>
      <c r="AW62" s="18">
        <f t="shared" si="152"/>
        <v>8.7535492306458682</v>
      </c>
      <c r="AX62" s="18">
        <f t="shared" si="152"/>
        <v>9.0445756664301413</v>
      </c>
      <c r="AZ62" s="68">
        <f t="shared" si="121"/>
        <v>22.855407007998302</v>
      </c>
      <c r="BA62" s="69">
        <f t="shared" si="122"/>
        <v>67.272992540413057</v>
      </c>
      <c r="BB62" s="69">
        <f t="shared" si="123"/>
        <v>90.128399548411366</v>
      </c>
      <c r="BD62" t="str">
        <f t="shared" si="144"/>
        <v>61 Caring personal service occupations</v>
      </c>
      <c r="BE62" s="18">
        <f t="shared" si="153"/>
        <v>12.37538081231499</v>
      </c>
      <c r="BF62" s="18">
        <f t="shared" si="153"/>
        <v>13.839366438730528</v>
      </c>
      <c r="BG62" s="18">
        <f t="shared" si="153"/>
        <v>13.843886887046624</v>
      </c>
      <c r="BH62" s="18">
        <f t="shared" si="153"/>
        <v>14.787880744884763</v>
      </c>
      <c r="BI62" s="18">
        <f t="shared" si="153"/>
        <v>16.080496332417454</v>
      </c>
      <c r="BK62" s="68">
        <f t="shared" si="125"/>
        <v>22.692669731555959</v>
      </c>
      <c r="BL62" s="69">
        <f t="shared" si="126"/>
        <v>64.205138453379476</v>
      </c>
      <c r="BM62" s="69">
        <f t="shared" si="127"/>
        <v>86.897808184935428</v>
      </c>
      <c r="BO62" t="str">
        <f t="shared" si="145"/>
        <v>61 Caring personal service occupations</v>
      </c>
      <c r="BP62" s="18">
        <f t="shared" si="154"/>
        <v>10.037208122721372</v>
      </c>
      <c r="BQ62" s="18">
        <f t="shared" si="154"/>
        <v>10.527314342577094</v>
      </c>
      <c r="BR62" s="18">
        <f t="shared" si="154"/>
        <v>10.08422276094071</v>
      </c>
      <c r="BS62" s="18">
        <f t="shared" si="154"/>
        <v>10.152500956981076</v>
      </c>
      <c r="BT62" s="18">
        <f t="shared" si="154"/>
        <v>9.6022197998812242</v>
      </c>
      <c r="BV62" s="68">
        <f t="shared" si="129"/>
        <v>-12.165519370776625</v>
      </c>
      <c r="BW62" s="69">
        <f t="shared" si="130"/>
        <v>52.146224781514007</v>
      </c>
      <c r="BX62" s="69">
        <f t="shared" si="131"/>
        <v>39.980705410737386</v>
      </c>
      <c r="BZ62" t="str">
        <f t="shared" si="146"/>
        <v>61 Caring personal service occupations</v>
      </c>
      <c r="CA62" s="18">
        <f t="shared" si="155"/>
        <v>4.2398156404391356</v>
      </c>
      <c r="CB62" s="18">
        <f t="shared" si="155"/>
        <v>2.7170066173850911</v>
      </c>
      <c r="CC62" s="18">
        <f t="shared" si="155"/>
        <v>2.4573779824831945</v>
      </c>
      <c r="CD62" s="18">
        <f t="shared" si="155"/>
        <v>1.9774893570706289</v>
      </c>
      <c r="CE62" s="18">
        <f t="shared" si="155"/>
        <v>2.3687952836034456</v>
      </c>
      <c r="CG62" s="68">
        <f t="shared" si="133"/>
        <v>-48.738155181125578</v>
      </c>
      <c r="CH62" s="69">
        <f t="shared" si="134"/>
        <v>22.537689424248512</v>
      </c>
      <c r="CI62" s="69">
        <f t="shared" si="135"/>
        <v>-26.200465756877062</v>
      </c>
      <c r="CK62" t="str">
        <f t="shared" si="147"/>
        <v>61 Caring personal service occupations</v>
      </c>
      <c r="CL62" s="18">
        <f t="shared" si="156"/>
        <v>1.5947209679619787</v>
      </c>
      <c r="CM62" s="18">
        <f t="shared" si="156"/>
        <v>1.5147359971080805</v>
      </c>
      <c r="CN62" s="18">
        <f t="shared" si="156"/>
        <v>1.6604905696476699</v>
      </c>
      <c r="CO62" s="18">
        <f t="shared" si="156"/>
        <v>2.1385341962638376</v>
      </c>
      <c r="CP62" s="18">
        <f t="shared" si="156"/>
        <v>2.6262635288145804</v>
      </c>
      <c r="CR62" s="68">
        <f t="shared" si="137"/>
        <v>-39.56644096484019</v>
      </c>
      <c r="CS62" s="69">
        <f t="shared" si="138"/>
        <v>22.903826264062122</v>
      </c>
      <c r="CT62" s="69">
        <f t="shared" si="139"/>
        <v>-16.662614700778065</v>
      </c>
    </row>
    <row r="63" spans="1:98" x14ac:dyDescent="0.25">
      <c r="A63" t="str">
        <f t="shared" si="103"/>
        <v>62 Leisure, travel and related personal service occupations</v>
      </c>
      <c r="B63" s="18">
        <f t="shared" si="148"/>
        <v>0.16871460053935711</v>
      </c>
      <c r="C63" s="18">
        <f t="shared" si="148"/>
        <v>0.22024271400182849</v>
      </c>
      <c r="D63" s="18">
        <f t="shared" si="148"/>
        <v>0.2427027859239986</v>
      </c>
      <c r="E63" s="18">
        <f t="shared" si="148"/>
        <v>0.26822089618139194</v>
      </c>
      <c r="F63" s="18">
        <f t="shared" si="148"/>
        <v>0.32399837899447698</v>
      </c>
      <c r="H63" s="68">
        <f t="shared" si="105"/>
        <v>153.84410066361801</v>
      </c>
      <c r="I63" s="69">
        <f t="shared" si="106"/>
        <v>95.192212838404586</v>
      </c>
      <c r="J63" s="69">
        <f t="shared" si="107"/>
        <v>249.03631350202261</v>
      </c>
      <c r="L63" t="str">
        <f t="shared" si="140"/>
        <v>62 Leisure, travel and related personal service occupations</v>
      </c>
      <c r="M63" s="18">
        <f t="shared" si="149"/>
        <v>0.56310366512345877</v>
      </c>
      <c r="N63" s="18">
        <f t="shared" si="149"/>
        <v>0.48305320170881455</v>
      </c>
      <c r="O63" s="18">
        <f t="shared" si="149"/>
        <v>0.48096810047879329</v>
      </c>
      <c r="P63" s="18">
        <f t="shared" si="149"/>
        <v>0.4940209351590118</v>
      </c>
      <c r="Q63" s="18">
        <f t="shared" si="149"/>
        <v>0.61093244241859379</v>
      </c>
      <c r="S63" s="68">
        <f t="shared" si="109"/>
        <v>136.61829442717431</v>
      </c>
      <c r="T63" s="69">
        <f t="shared" si="110"/>
        <v>85.362510802608298</v>
      </c>
      <c r="U63" s="69">
        <f t="shared" si="111"/>
        <v>221.98080522978262</v>
      </c>
      <c r="W63" t="str">
        <f t="shared" si="141"/>
        <v>62 Leisure, travel and related personal service occupations</v>
      </c>
      <c r="X63" s="18">
        <f t="shared" si="150"/>
        <v>1.0699061425883558</v>
      </c>
      <c r="Y63" s="18">
        <f t="shared" si="150"/>
        <v>1.0770965462729611</v>
      </c>
      <c r="Z63" s="18">
        <f t="shared" si="150"/>
        <v>1.0234313151406196</v>
      </c>
      <c r="AA63" s="18">
        <f t="shared" si="150"/>
        <v>1.1779739997620129</v>
      </c>
      <c r="AB63" s="18">
        <f t="shared" si="150"/>
        <v>1.455008982109115</v>
      </c>
      <c r="AD63" s="68">
        <f t="shared" si="113"/>
        <v>75.053357950056935</v>
      </c>
      <c r="AE63" s="69">
        <f t="shared" si="114"/>
        <v>86.295829163645834</v>
      </c>
      <c r="AF63" s="69">
        <f t="shared" si="115"/>
        <v>161.34918711370275</v>
      </c>
      <c r="AH63" t="str">
        <f t="shared" si="142"/>
        <v>62 Leisure, travel and related personal service occupations</v>
      </c>
      <c r="AI63" s="18">
        <f t="shared" si="151"/>
        <v>2.2265549599621499</v>
      </c>
      <c r="AJ63" s="18">
        <f t="shared" si="151"/>
        <v>2.3138994477222261</v>
      </c>
      <c r="AK63" s="18">
        <f t="shared" si="151"/>
        <v>2.2411433033118442</v>
      </c>
      <c r="AL63" s="18">
        <f t="shared" si="151"/>
        <v>2.6207638933073438</v>
      </c>
      <c r="AM63" s="18">
        <f t="shared" si="151"/>
        <v>3.2731872709838101</v>
      </c>
      <c r="AO63" s="68">
        <f t="shared" si="117"/>
        <v>54.616238527876682</v>
      </c>
      <c r="AP63" s="69">
        <f t="shared" si="118"/>
        <v>79.816155300442631</v>
      </c>
      <c r="AQ63" s="69">
        <f t="shared" si="119"/>
        <v>134.43239382831931</v>
      </c>
      <c r="AS63" t="str">
        <f t="shared" si="143"/>
        <v>62 Leisure, travel and related personal service occupations</v>
      </c>
      <c r="AT63" s="18">
        <f t="shared" si="152"/>
        <v>2.6313511301632651</v>
      </c>
      <c r="AU63" s="18">
        <f t="shared" si="152"/>
        <v>2.6241550044884954</v>
      </c>
      <c r="AV63" s="18">
        <f t="shared" si="152"/>
        <v>2.679653990646476</v>
      </c>
      <c r="AW63" s="18">
        <f t="shared" si="152"/>
        <v>3.0641884994921171</v>
      </c>
      <c r="AX63" s="18">
        <f t="shared" si="152"/>
        <v>3.7323660886790773</v>
      </c>
      <c r="AZ63" s="68">
        <f t="shared" si="121"/>
        <v>64.513543253884961</v>
      </c>
      <c r="BA63" s="69">
        <f t="shared" si="122"/>
        <v>83.251511848218968</v>
      </c>
      <c r="BB63" s="69">
        <f t="shared" si="123"/>
        <v>147.76505510210393</v>
      </c>
      <c r="BD63" t="str">
        <f t="shared" si="144"/>
        <v>62 Leisure, travel and related personal service occupations</v>
      </c>
      <c r="BE63" s="18">
        <f t="shared" si="153"/>
        <v>2.7623894332932988</v>
      </c>
      <c r="BF63" s="18">
        <f t="shared" si="153"/>
        <v>2.215118883409946</v>
      </c>
      <c r="BG63" s="18">
        <f t="shared" si="153"/>
        <v>2.0907783228433319</v>
      </c>
      <c r="BH63" s="18">
        <f t="shared" si="153"/>
        <v>1.9894104323764661</v>
      </c>
      <c r="BI63" s="18">
        <f t="shared" si="153"/>
        <v>1.8349542053289449</v>
      </c>
      <c r="BK63" s="68">
        <f t="shared" si="125"/>
        <v>-7.2968586684228676</v>
      </c>
      <c r="BL63" s="69">
        <f t="shared" si="126"/>
        <v>43.745053560257467</v>
      </c>
      <c r="BM63" s="69">
        <f t="shared" si="127"/>
        <v>36.448194891834603</v>
      </c>
      <c r="BO63" t="str">
        <f t="shared" si="145"/>
        <v>62 Leisure, travel and related personal service occupations</v>
      </c>
      <c r="BP63" s="18">
        <f t="shared" si="154"/>
        <v>2.9468004681501081</v>
      </c>
      <c r="BQ63" s="18">
        <f t="shared" si="154"/>
        <v>2.5023876792273052</v>
      </c>
      <c r="BR63" s="18">
        <f t="shared" si="154"/>
        <v>2.3413514328388483</v>
      </c>
      <c r="BS63" s="18">
        <f t="shared" si="154"/>
        <v>2.2155739977016862</v>
      </c>
      <c r="BT63" s="18">
        <f t="shared" si="154"/>
        <v>2.073815329890961</v>
      </c>
      <c r="BV63" s="68">
        <f t="shared" si="129"/>
        <v>-18.296755996379538</v>
      </c>
      <c r="BW63" s="69">
        <f t="shared" si="130"/>
        <v>46.304562151998411</v>
      </c>
      <c r="BX63" s="69">
        <f t="shared" si="131"/>
        <v>28.007806155618876</v>
      </c>
      <c r="BZ63" t="str">
        <f t="shared" si="146"/>
        <v>62 Leisure, travel and related personal service occupations</v>
      </c>
      <c r="CA63" s="18">
        <f t="shared" si="155"/>
        <v>2.6201680804189129</v>
      </c>
      <c r="CB63" s="18">
        <f t="shared" si="155"/>
        <v>2.4915965673029423</v>
      </c>
      <c r="CC63" s="18">
        <f t="shared" si="155"/>
        <v>2.3100774901011931</v>
      </c>
      <c r="CD63" s="18">
        <f t="shared" si="155"/>
        <v>2.4760354266630111</v>
      </c>
      <c r="CE63" s="18">
        <f t="shared" si="155"/>
        <v>2.6623682056252753</v>
      </c>
      <c r="CG63" s="68">
        <f t="shared" si="133"/>
        <v>-38.711324688276108</v>
      </c>
      <c r="CH63" s="69">
        <f t="shared" si="134"/>
        <v>35.588668566125072</v>
      </c>
      <c r="CI63" s="69">
        <f t="shared" si="135"/>
        <v>-3.1226561221510432</v>
      </c>
      <c r="CK63" t="str">
        <f t="shared" si="147"/>
        <v>62 Leisure, travel and related personal service occupations</v>
      </c>
      <c r="CL63" s="18">
        <f t="shared" si="156"/>
        <v>2.5348902768698904</v>
      </c>
      <c r="CM63" s="18">
        <f t="shared" si="156"/>
        <v>2.2257814471550708</v>
      </c>
      <c r="CN63" s="18">
        <f t="shared" si="156"/>
        <v>2.2982238146162506</v>
      </c>
      <c r="CO63" s="18">
        <f t="shared" si="156"/>
        <v>2.3262035263814327</v>
      </c>
      <c r="CP63" s="18">
        <f t="shared" si="156"/>
        <v>2.4293553195123194</v>
      </c>
      <c r="CR63" s="68">
        <f t="shared" si="137"/>
        <v>-59.609893218912603</v>
      </c>
      <c r="CS63" s="69">
        <f t="shared" si="138"/>
        <v>19.109441774014339</v>
      </c>
      <c r="CT63" s="69">
        <f t="shared" si="139"/>
        <v>-40.50045144489826</v>
      </c>
    </row>
    <row r="64" spans="1:98" x14ac:dyDescent="0.25">
      <c r="A64" t="str">
        <f t="shared" si="103"/>
        <v>63 Community and civil enforcement occupations</v>
      </c>
      <c r="B64" s="18">
        <f t="shared" si="148"/>
        <v>2.0382631449758704E-2</v>
      </c>
      <c r="C64" s="18">
        <f t="shared" si="148"/>
        <v>2.3448694601996271E-2</v>
      </c>
      <c r="D64" s="18">
        <f t="shared" si="148"/>
        <v>1.8851576791736057E-2</v>
      </c>
      <c r="E64" s="18">
        <f t="shared" si="148"/>
        <v>2.2562161725503009E-2</v>
      </c>
      <c r="F64" s="18">
        <f t="shared" si="148"/>
        <v>2.4367101714484474E-2</v>
      </c>
      <c r="H64" s="68">
        <f t="shared" si="105"/>
        <v>145.78489746154216</v>
      </c>
      <c r="I64" s="69">
        <f t="shared" si="106"/>
        <v>96.050515551778034</v>
      </c>
      <c r="J64" s="69">
        <f t="shared" si="107"/>
        <v>241.83541301332019</v>
      </c>
      <c r="L64" t="str">
        <f t="shared" si="140"/>
        <v>63 Community and civil enforcement occupations</v>
      </c>
      <c r="M64" s="18">
        <f t="shared" si="149"/>
        <v>3.9611181965032723E-2</v>
      </c>
      <c r="N64" s="18">
        <f t="shared" si="149"/>
        <v>3.4080921144399048E-2</v>
      </c>
      <c r="O64" s="18">
        <f t="shared" si="149"/>
        <v>3.4565982609554978E-2</v>
      </c>
      <c r="P64" s="18">
        <f t="shared" si="149"/>
        <v>3.2995148477733167E-2</v>
      </c>
      <c r="Q64" s="18">
        <f t="shared" si="149"/>
        <v>3.7005146742520596E-2</v>
      </c>
      <c r="S64" s="68">
        <f t="shared" si="109"/>
        <v>99.427308703844957</v>
      </c>
      <c r="T64" s="69">
        <f t="shared" si="110"/>
        <v>75.85978163466099</v>
      </c>
      <c r="U64" s="69">
        <f t="shared" si="111"/>
        <v>175.28709033850595</v>
      </c>
      <c r="W64" t="str">
        <f t="shared" si="141"/>
        <v>63 Community and civil enforcement occupations</v>
      </c>
      <c r="X64" s="18">
        <f t="shared" si="150"/>
        <v>7.7411568274958611E-2</v>
      </c>
      <c r="Y64" s="18">
        <f t="shared" si="150"/>
        <v>7.4165719788269649E-2</v>
      </c>
      <c r="Z64" s="18">
        <f t="shared" si="150"/>
        <v>7.7814322106341982E-2</v>
      </c>
      <c r="AA64" s="18">
        <f t="shared" si="150"/>
        <v>8.3390640149196421E-2</v>
      </c>
      <c r="AB64" s="18">
        <f t="shared" si="150"/>
        <v>9.250052026656419E-2</v>
      </c>
      <c r="AD64" s="68">
        <f t="shared" si="113"/>
        <v>46.368664480267682</v>
      </c>
      <c r="AE64" s="69">
        <f t="shared" si="114"/>
        <v>82.741161159223324</v>
      </c>
      <c r="AF64" s="69">
        <f t="shared" si="115"/>
        <v>129.10982563949099</v>
      </c>
      <c r="AH64" t="str">
        <f t="shared" si="142"/>
        <v>63 Community and civil enforcement occupations</v>
      </c>
      <c r="AI64" s="18">
        <f t="shared" si="151"/>
        <v>7.1350549507977284E-2</v>
      </c>
      <c r="AJ64" s="18">
        <f t="shared" si="151"/>
        <v>6.5253069172044292E-2</v>
      </c>
      <c r="AK64" s="18">
        <f t="shared" si="151"/>
        <v>7.756908208914931E-2</v>
      </c>
      <c r="AL64" s="18">
        <f t="shared" si="151"/>
        <v>7.6748776177554032E-2</v>
      </c>
      <c r="AM64" s="18">
        <f t="shared" si="151"/>
        <v>9.2325247995661677E-2</v>
      </c>
      <c r="AO64" s="68">
        <f t="shared" si="117"/>
        <v>26.004399152486002</v>
      </c>
      <c r="AP64" s="69">
        <f t="shared" si="118"/>
        <v>62.677127659472397</v>
      </c>
      <c r="AQ64" s="69">
        <f t="shared" si="119"/>
        <v>88.681526811958406</v>
      </c>
      <c r="AS64" t="str">
        <f t="shared" si="143"/>
        <v>63 Community and civil enforcement occupations</v>
      </c>
      <c r="AT64" s="18">
        <f t="shared" si="152"/>
        <v>7.4088390022918185E-2</v>
      </c>
      <c r="AU64" s="18">
        <f t="shared" si="152"/>
        <v>6.6397291487877541E-2</v>
      </c>
      <c r="AV64" s="18">
        <f t="shared" si="152"/>
        <v>7.853297192296016E-2</v>
      </c>
      <c r="AW64" s="18">
        <f t="shared" si="152"/>
        <v>6.4311042257452058E-2</v>
      </c>
      <c r="AX64" s="18">
        <f t="shared" si="152"/>
        <v>6.1883389646332561E-2</v>
      </c>
      <c r="AZ64" s="68">
        <f t="shared" si="121"/>
        <v>-6.9281809461860968</v>
      </c>
      <c r="BA64" s="69">
        <f t="shared" si="122"/>
        <v>57.295605846003603</v>
      </c>
      <c r="BB64" s="69">
        <f t="shared" si="123"/>
        <v>50.3674248998175</v>
      </c>
      <c r="BD64" t="str">
        <f t="shared" si="144"/>
        <v>63 Community and civil enforcement occupations</v>
      </c>
      <c r="BE64" s="18">
        <f t="shared" si="153"/>
        <v>6.984594258460998E-2</v>
      </c>
      <c r="BF64" s="18">
        <f t="shared" si="153"/>
        <v>4.6947623370910553E-2</v>
      </c>
      <c r="BG64" s="18">
        <f t="shared" si="153"/>
        <v>6.9279190013335878E-2</v>
      </c>
      <c r="BH64" s="18">
        <f t="shared" si="153"/>
        <v>4.7718521793690856E-2</v>
      </c>
      <c r="BI64" s="18">
        <f t="shared" si="153"/>
        <v>5.4309751743342433E-2</v>
      </c>
      <c r="BK64" s="68">
        <f t="shared" si="125"/>
        <v>-17.195826702513216</v>
      </c>
      <c r="BL64" s="69">
        <f t="shared" si="126"/>
        <v>28.613705829873858</v>
      </c>
      <c r="BM64" s="69">
        <f t="shared" si="127"/>
        <v>11.417879127360644</v>
      </c>
      <c r="BO64" t="str">
        <f t="shared" si="145"/>
        <v>63 Community and civil enforcement occupations</v>
      </c>
      <c r="BP64" s="18">
        <f t="shared" si="154"/>
        <v>9.9740292595494287E-2</v>
      </c>
      <c r="BQ64" s="18">
        <f t="shared" si="154"/>
        <v>8.5294806474538576E-2</v>
      </c>
      <c r="BR64" s="18">
        <f t="shared" si="154"/>
        <v>0.11599862079863001</v>
      </c>
      <c r="BS64" s="18">
        <f t="shared" si="154"/>
        <v>9.2715187493116968E-2</v>
      </c>
      <c r="BT64" s="18">
        <f t="shared" si="154"/>
        <v>0.111539796132388</v>
      </c>
      <c r="BV64" s="68">
        <f t="shared" si="129"/>
        <v>-11.3022003838587</v>
      </c>
      <c r="BW64" s="69">
        <f t="shared" si="130"/>
        <v>39.422937870270701</v>
      </c>
      <c r="BX64" s="69">
        <f t="shared" si="131"/>
        <v>28.120737486412001</v>
      </c>
      <c r="BZ64" t="str">
        <f t="shared" si="146"/>
        <v>63 Community and civil enforcement occupations</v>
      </c>
      <c r="CA64" s="18">
        <f t="shared" si="155"/>
        <v>0.12916504401468057</v>
      </c>
      <c r="CB64" s="18">
        <f t="shared" si="155"/>
        <v>0.11686616888053707</v>
      </c>
      <c r="CC64" s="18">
        <f t="shared" si="155"/>
        <v>0.1603271465621125</v>
      </c>
      <c r="CD64" s="18">
        <f t="shared" si="155"/>
        <v>0.14299712323518068</v>
      </c>
      <c r="CE64" s="18">
        <f t="shared" si="155"/>
        <v>0.18852001669352633</v>
      </c>
      <c r="CG64" s="68">
        <f t="shared" si="133"/>
        <v>-37.469907519734349</v>
      </c>
      <c r="CH64" s="69">
        <f t="shared" si="134"/>
        <v>30.18950570638496</v>
      </c>
      <c r="CI64" s="69">
        <f t="shared" si="135"/>
        <v>-7.2804018133493882</v>
      </c>
      <c r="CK64" t="str">
        <f t="shared" si="147"/>
        <v>63 Community and civil enforcement occupations</v>
      </c>
      <c r="CL64" s="18">
        <f t="shared" si="156"/>
        <v>0.1216473256383466</v>
      </c>
      <c r="CM64" s="18">
        <f t="shared" si="156"/>
        <v>9.0519174329046381E-2</v>
      </c>
      <c r="CN64" s="18">
        <f t="shared" si="156"/>
        <v>0.13515236607022468</v>
      </c>
      <c r="CO64" s="18">
        <f t="shared" si="156"/>
        <v>8.7277420789410767E-2</v>
      </c>
      <c r="CP64" s="18">
        <f t="shared" si="156"/>
        <v>8.0505238718883182E-2</v>
      </c>
      <c r="CR64" s="68">
        <f t="shared" si="137"/>
        <v>-77.239763463240479</v>
      </c>
      <c r="CS64" s="69">
        <f t="shared" si="138"/>
        <v>10.89841476606399</v>
      </c>
      <c r="CT64" s="69">
        <f t="shared" si="139"/>
        <v>-66.3413486971765</v>
      </c>
    </row>
    <row r="65" spans="1:98" x14ac:dyDescent="0.25">
      <c r="A65" t="str">
        <f t="shared" si="103"/>
        <v>71 Sales occupations</v>
      </c>
      <c r="B65" s="18">
        <f t="shared" ref="B65:F70" si="157">B28/B$35*100</f>
        <v>0.96793139703561792</v>
      </c>
      <c r="C65" s="18">
        <f t="shared" si="157"/>
        <v>0.80082832360975043</v>
      </c>
      <c r="D65" s="18">
        <f t="shared" si="157"/>
        <v>0.72325047035150891</v>
      </c>
      <c r="E65" s="18">
        <f t="shared" si="157"/>
        <v>0.66483852669414301</v>
      </c>
      <c r="F65" s="18">
        <f t="shared" si="157"/>
        <v>0.64416439451411855</v>
      </c>
      <c r="H65" s="68">
        <f t="shared" si="105"/>
        <v>69.358496773220139</v>
      </c>
      <c r="I65" s="69">
        <f t="shared" si="106"/>
        <v>57.963749948057789</v>
      </c>
      <c r="J65" s="69">
        <f t="shared" si="107"/>
        <v>127.32224672127792</v>
      </c>
      <c r="L65" t="str">
        <f t="shared" si="140"/>
        <v>71 Sales occupations</v>
      </c>
      <c r="M65" s="18">
        <f t="shared" ref="M65:Q70" si="158">M28/M$35*100</f>
        <v>2.3014165629749983</v>
      </c>
      <c r="N65" s="18">
        <f t="shared" si="158"/>
        <v>2.058799967963338</v>
      </c>
      <c r="O65" s="18">
        <f t="shared" si="158"/>
        <v>2.0461125750932165</v>
      </c>
      <c r="P65" s="18">
        <f t="shared" si="158"/>
        <v>2.0957382223226735</v>
      </c>
      <c r="Q65" s="18">
        <f t="shared" si="158"/>
        <v>2.4390255604783846</v>
      </c>
      <c r="S65" s="68">
        <f t="shared" si="109"/>
        <v>122.05381142524531</v>
      </c>
      <c r="T65" s="69">
        <f t="shared" si="110"/>
        <v>70.116555998383248</v>
      </c>
      <c r="U65" s="69">
        <f t="shared" si="111"/>
        <v>192.17036742362856</v>
      </c>
      <c r="W65" t="str">
        <f t="shared" si="141"/>
        <v>71 Sales occupations</v>
      </c>
      <c r="X65" s="18">
        <f t="shared" ref="X65:AB70" si="159">X28/X$35*100</f>
        <v>4.5292484977566465</v>
      </c>
      <c r="Y65" s="18">
        <f t="shared" si="159"/>
        <v>4.1928792378706135</v>
      </c>
      <c r="Z65" s="18">
        <f t="shared" si="159"/>
        <v>4.3239253606797332</v>
      </c>
      <c r="AA65" s="18">
        <f t="shared" si="159"/>
        <v>4.349099716684349</v>
      </c>
      <c r="AB65" s="18">
        <f t="shared" si="159"/>
        <v>4.8968268296276518</v>
      </c>
      <c r="AD65" s="68">
        <f t="shared" si="113"/>
        <v>39.444063694753275</v>
      </c>
      <c r="AE65" s="69">
        <f t="shared" si="114"/>
        <v>63.022282548886835</v>
      </c>
      <c r="AF65" s="69">
        <f t="shared" si="115"/>
        <v>102.4663462436401</v>
      </c>
      <c r="AH65" t="str">
        <f t="shared" si="142"/>
        <v>71 Sales occupations</v>
      </c>
      <c r="AI65" s="18">
        <f t="shared" ref="AI65:AM70" si="160">AI28/AI$35*100</f>
        <v>4.5853581586268364</v>
      </c>
      <c r="AJ65" s="18">
        <f t="shared" si="160"/>
        <v>4.4164154507150553</v>
      </c>
      <c r="AK65" s="18">
        <f t="shared" si="160"/>
        <v>4.7009058721415267</v>
      </c>
      <c r="AL65" s="18">
        <f t="shared" si="160"/>
        <v>4.833214143946905</v>
      </c>
      <c r="AM65" s="18">
        <f t="shared" si="160"/>
        <v>5.4720657560521859</v>
      </c>
      <c r="AO65" s="68">
        <f t="shared" si="117"/>
        <v>23.232037591888112</v>
      </c>
      <c r="AP65" s="69">
        <f t="shared" si="118"/>
        <v>58.084410156592682</v>
      </c>
      <c r="AQ65" s="69">
        <f t="shared" si="119"/>
        <v>81.316447748480797</v>
      </c>
      <c r="AS65" t="str">
        <f t="shared" si="143"/>
        <v>71 Sales occupations</v>
      </c>
      <c r="AT65" s="18">
        <f t="shared" ref="AT65:AX70" si="161">AT28/AT$35*100</f>
        <v>4.2032265734567869</v>
      </c>
      <c r="AU65" s="18">
        <f t="shared" si="161"/>
        <v>3.8929444205608199</v>
      </c>
      <c r="AV65" s="18">
        <f t="shared" si="161"/>
        <v>4.0188842137649212</v>
      </c>
      <c r="AW65" s="18">
        <f t="shared" si="161"/>
        <v>3.7571048605894135</v>
      </c>
      <c r="AX65" s="18">
        <f t="shared" si="161"/>
        <v>3.8962215758839012</v>
      </c>
      <c r="AZ65" s="68">
        <f t="shared" si="121"/>
        <v>14.507595112606172</v>
      </c>
      <c r="BA65" s="69">
        <f t="shared" si="122"/>
        <v>48.536334798715188</v>
      </c>
      <c r="BB65" s="69">
        <f t="shared" si="123"/>
        <v>63.043929911321364</v>
      </c>
      <c r="BD65" t="str">
        <f t="shared" si="144"/>
        <v>71 Sales occupations</v>
      </c>
      <c r="BE65" s="18">
        <f t="shared" ref="BE65:BI70" si="162">BE28/BE$35*100</f>
        <v>7.8073497034827604</v>
      </c>
      <c r="BF65" s="18">
        <f t="shared" si="162"/>
        <v>7.0244835310926454</v>
      </c>
      <c r="BG65" s="18">
        <f t="shared" si="162"/>
        <v>7.4130421919457694</v>
      </c>
      <c r="BH65" s="18">
        <f t="shared" si="162"/>
        <v>6.957961389655634</v>
      </c>
      <c r="BI65" s="18">
        <f t="shared" si="162"/>
        <v>6.8919068146569149</v>
      </c>
      <c r="BK65" s="68">
        <f t="shared" si="125"/>
        <v>-1.7980449004159436</v>
      </c>
      <c r="BL65" s="69">
        <f t="shared" si="126"/>
        <v>43.384401218854975</v>
      </c>
      <c r="BM65" s="69">
        <f t="shared" si="127"/>
        <v>41.58635631843903</v>
      </c>
      <c r="BO65" t="str">
        <f t="shared" si="145"/>
        <v>71 Sales occupations</v>
      </c>
      <c r="BP65" s="18">
        <f t="shared" ref="BP65:BT70" si="163">BP28/BP$35*100</f>
        <v>8.3400754218050093</v>
      </c>
      <c r="BQ65" s="18">
        <f t="shared" si="163"/>
        <v>7.3753932154729158</v>
      </c>
      <c r="BR65" s="18">
        <f t="shared" si="163"/>
        <v>7.5265165023750029</v>
      </c>
      <c r="BS65" s="18">
        <f t="shared" si="163"/>
        <v>6.7241323166200626</v>
      </c>
      <c r="BT65" s="18">
        <f t="shared" si="163"/>
        <v>6.0718488929188474</v>
      </c>
      <c r="BV65" s="68">
        <f t="shared" si="129"/>
        <v>-25.58461000999322</v>
      </c>
      <c r="BW65" s="69">
        <f t="shared" si="130"/>
        <v>41.985721219436776</v>
      </c>
      <c r="BX65" s="69">
        <f t="shared" si="131"/>
        <v>16.401111209443556</v>
      </c>
      <c r="BZ65" t="str">
        <f t="shared" si="146"/>
        <v>71 Sales occupations</v>
      </c>
      <c r="CA65" s="18">
        <f t="shared" ref="CA65:CE70" si="164">CA28/CA$35*100</f>
        <v>8.1382814328993796</v>
      </c>
      <c r="CB65" s="18">
        <f t="shared" si="164"/>
        <v>7.8610835146865039</v>
      </c>
      <c r="CC65" s="18">
        <f t="shared" si="164"/>
        <v>7.8934569865333373</v>
      </c>
      <c r="CD65" s="18">
        <f t="shared" si="164"/>
        <v>6.9902753342626065</v>
      </c>
      <c r="CE65" s="18">
        <f t="shared" si="164"/>
        <v>4.5416215438791072</v>
      </c>
      <c r="CG65" s="68">
        <f t="shared" si="133"/>
        <v>-69.402752513236805</v>
      </c>
      <c r="CH65" s="69">
        <f t="shared" si="134"/>
        <v>23.376157290424519</v>
      </c>
      <c r="CI65" s="69">
        <f t="shared" si="135"/>
        <v>-46.02659522281229</v>
      </c>
      <c r="CK65" t="str">
        <f t="shared" si="147"/>
        <v>71 Sales occupations</v>
      </c>
      <c r="CL65" s="18">
        <f t="shared" ref="CL65:CP70" si="165">CL28/CL$35*100</f>
        <v>9.630239638345877</v>
      </c>
      <c r="CM65" s="18">
        <f t="shared" si="165"/>
        <v>8.7092568996279098</v>
      </c>
      <c r="CN65" s="18">
        <f t="shared" si="165"/>
        <v>9.0984003384023531</v>
      </c>
      <c r="CO65" s="18">
        <f t="shared" si="165"/>
        <v>7.7040987374646805</v>
      </c>
      <c r="CP65" s="18">
        <f t="shared" si="165"/>
        <v>6.2602315785001927</v>
      </c>
      <c r="CR65" s="68">
        <f t="shared" si="137"/>
        <v>-73.709330915354144</v>
      </c>
      <c r="CS65" s="69">
        <f t="shared" si="138"/>
        <v>13.222759211290061</v>
      </c>
      <c r="CT65" s="69">
        <f t="shared" si="139"/>
        <v>-60.486571704064076</v>
      </c>
    </row>
    <row r="66" spans="1:98" x14ac:dyDescent="0.25">
      <c r="A66" t="str">
        <f t="shared" si="103"/>
        <v>72 Customer service occupations</v>
      </c>
      <c r="B66" s="18">
        <f t="shared" si="157"/>
        <v>0.50275382735523011</v>
      </c>
      <c r="C66" s="18">
        <f t="shared" si="157"/>
        <v>0.44154849184472034</v>
      </c>
      <c r="D66" s="18">
        <f t="shared" si="157"/>
        <v>0.48150634519091451</v>
      </c>
      <c r="E66" s="18">
        <f t="shared" si="157"/>
        <v>0.66478376378813786</v>
      </c>
      <c r="F66" s="18">
        <f t="shared" si="157"/>
        <v>0.84261955476430705</v>
      </c>
      <c r="H66" s="68">
        <f t="shared" si="105"/>
        <v>232.75800974349949</v>
      </c>
      <c r="I66" s="69">
        <f t="shared" si="106"/>
        <v>94.160297312113798</v>
      </c>
      <c r="J66" s="69">
        <f t="shared" si="107"/>
        <v>326.9183070556133</v>
      </c>
      <c r="L66" t="str">
        <f t="shared" si="140"/>
        <v>72 Customer service occupations</v>
      </c>
      <c r="M66" s="18">
        <f t="shared" si="158"/>
        <v>0.70928409680624027</v>
      </c>
      <c r="N66" s="18">
        <f t="shared" si="158"/>
        <v>0.69964630850737597</v>
      </c>
      <c r="O66" s="18">
        <f t="shared" si="158"/>
        <v>0.74773979165128268</v>
      </c>
      <c r="P66" s="18">
        <f t="shared" si="158"/>
        <v>0.987453246741956</v>
      </c>
      <c r="Q66" s="18">
        <f t="shared" si="158"/>
        <v>1.213206213164806</v>
      </c>
      <c r="S66" s="68">
        <f t="shared" si="109"/>
        <v>202.24250355643073</v>
      </c>
      <c r="T66" s="69">
        <f t="shared" si="110"/>
        <v>92.858220789833354</v>
      </c>
      <c r="U66" s="69">
        <f t="shared" si="111"/>
        <v>295.10072434626409</v>
      </c>
      <c r="W66" t="str">
        <f t="shared" si="141"/>
        <v>72 Customer service occupations</v>
      </c>
      <c r="X66" s="18">
        <f t="shared" si="159"/>
        <v>1.507420405611041</v>
      </c>
      <c r="Y66" s="18">
        <f t="shared" si="159"/>
        <v>1.4488634830747491</v>
      </c>
      <c r="Z66" s="18">
        <f t="shared" si="159"/>
        <v>1.5637919954608095</v>
      </c>
      <c r="AA66" s="18">
        <f t="shared" si="159"/>
        <v>2.006584154294774</v>
      </c>
      <c r="AB66" s="18">
        <f t="shared" si="159"/>
        <v>2.3402082458426055</v>
      </c>
      <c r="AD66" s="68">
        <f t="shared" si="113"/>
        <v>84.26336274227279</v>
      </c>
      <c r="AE66" s="69">
        <f t="shared" si="114"/>
        <v>78.479481543104583</v>
      </c>
      <c r="AF66" s="69">
        <f t="shared" si="115"/>
        <v>162.74284428537737</v>
      </c>
      <c r="AH66" t="str">
        <f t="shared" si="142"/>
        <v>72 Customer service occupations</v>
      </c>
      <c r="AI66" s="18">
        <f t="shared" si="160"/>
        <v>1.3679870431031569</v>
      </c>
      <c r="AJ66" s="18">
        <f t="shared" si="160"/>
        <v>1.4922640440583841</v>
      </c>
      <c r="AK66" s="18">
        <f t="shared" si="160"/>
        <v>1.6986234160020832</v>
      </c>
      <c r="AL66" s="18">
        <f t="shared" si="160"/>
        <v>2.4589993345070114</v>
      </c>
      <c r="AM66" s="18">
        <f t="shared" si="160"/>
        <v>3.2188483418175746</v>
      </c>
      <c r="AO66" s="68">
        <f t="shared" si="117"/>
        <v>100.6121745832702</v>
      </c>
      <c r="AP66" s="69">
        <f t="shared" si="118"/>
        <v>83.056138459479882</v>
      </c>
      <c r="AQ66" s="69">
        <f t="shared" si="119"/>
        <v>183.6683130427501</v>
      </c>
      <c r="AS66" t="str">
        <f t="shared" si="143"/>
        <v>72 Customer service occupations</v>
      </c>
      <c r="AT66" s="18">
        <f t="shared" si="161"/>
        <v>2.8108107567413754</v>
      </c>
      <c r="AU66" s="18">
        <f t="shared" si="161"/>
        <v>2.541356286518575</v>
      </c>
      <c r="AV66" s="18">
        <f t="shared" si="161"/>
        <v>2.5938363144121914</v>
      </c>
      <c r="AW66" s="18">
        <f t="shared" si="161"/>
        <v>3.3432289259122712</v>
      </c>
      <c r="AX66" s="18">
        <f t="shared" si="161"/>
        <v>3.543465091681842</v>
      </c>
      <c r="AZ66" s="68">
        <f t="shared" si="121"/>
        <v>61.35474202320156</v>
      </c>
      <c r="BA66" s="69">
        <f t="shared" si="122"/>
        <v>65.491366526201944</v>
      </c>
      <c r="BB66" s="69">
        <f t="shared" si="123"/>
        <v>126.8461085494035</v>
      </c>
      <c r="BD66" t="str">
        <f t="shared" si="144"/>
        <v>72 Customer service occupations</v>
      </c>
      <c r="BE66" s="18">
        <f t="shared" si="162"/>
        <v>2.134263840149043</v>
      </c>
      <c r="BF66" s="18">
        <f t="shared" si="162"/>
        <v>1.9964440980293638</v>
      </c>
      <c r="BG66" s="18">
        <f t="shared" si="162"/>
        <v>2.1229927481722797</v>
      </c>
      <c r="BH66" s="18">
        <f t="shared" si="162"/>
        <v>2.6351133381656915</v>
      </c>
      <c r="BI66" s="18">
        <f t="shared" si="162"/>
        <v>2.9163570990531555</v>
      </c>
      <c r="BK66" s="68">
        <f t="shared" si="125"/>
        <v>45.100663958799082</v>
      </c>
      <c r="BL66" s="69">
        <f t="shared" si="126"/>
        <v>55.521532835253616</v>
      </c>
      <c r="BM66" s="69">
        <f t="shared" si="127"/>
        <v>100.62219679405271</v>
      </c>
      <c r="BO66" t="str">
        <f t="shared" si="145"/>
        <v>72 Customer service occupations</v>
      </c>
      <c r="BP66" s="18">
        <f t="shared" si="163"/>
        <v>2.1812202191239241</v>
      </c>
      <c r="BQ66" s="18">
        <f t="shared" si="163"/>
        <v>2.1650870790997478</v>
      </c>
      <c r="BR66" s="18">
        <f t="shared" si="163"/>
        <v>2.2377217245094227</v>
      </c>
      <c r="BS66" s="18">
        <f t="shared" si="163"/>
        <v>2.7722523852401411</v>
      </c>
      <c r="BT66" s="18">
        <f t="shared" si="163"/>
        <v>3.0463090624561486</v>
      </c>
      <c r="BV66" s="68">
        <f t="shared" si="129"/>
        <v>25.57515117205331</v>
      </c>
      <c r="BW66" s="69">
        <f t="shared" si="130"/>
        <v>60.904741935852783</v>
      </c>
      <c r="BX66" s="69">
        <f t="shared" si="131"/>
        <v>86.479893107906108</v>
      </c>
      <c r="BZ66" t="str">
        <f t="shared" si="146"/>
        <v>72 Customer service occupations</v>
      </c>
      <c r="CA66" s="18">
        <f t="shared" si="164"/>
        <v>1.7800037320980275</v>
      </c>
      <c r="CB66" s="18">
        <f t="shared" si="164"/>
        <v>1.6765811907473553</v>
      </c>
      <c r="CC66" s="18">
        <f t="shared" si="164"/>
        <v>1.8140092270522534</v>
      </c>
      <c r="CD66" s="18">
        <f t="shared" si="164"/>
        <v>2.2398885454618247</v>
      </c>
      <c r="CE66" s="18">
        <f t="shared" si="164"/>
        <v>2.9772598759087225</v>
      </c>
      <c r="CG66" s="68">
        <f t="shared" si="133"/>
        <v>-12.719762885126348</v>
      </c>
      <c r="CH66" s="69">
        <f t="shared" si="134"/>
        <v>33.829608712108694</v>
      </c>
      <c r="CI66" s="69">
        <f t="shared" si="135"/>
        <v>21.109845826982347</v>
      </c>
      <c r="CK66" t="str">
        <f t="shared" si="147"/>
        <v>72 Customer service occupations</v>
      </c>
      <c r="CL66" s="18">
        <f t="shared" si="165"/>
        <v>1.2533756644153222</v>
      </c>
      <c r="CM66" s="18">
        <f t="shared" si="165"/>
        <v>1.5648361876692403</v>
      </c>
      <c r="CN66" s="18">
        <f t="shared" si="165"/>
        <v>1.9059450192616449</v>
      </c>
      <c r="CO66" s="18">
        <f t="shared" si="165"/>
        <v>3.1512393681237745</v>
      </c>
      <c r="CP66" s="18">
        <f t="shared" si="165"/>
        <v>4.8739097648636243</v>
      </c>
      <c r="CR66" s="68">
        <f t="shared" si="137"/>
        <v>-2.2890134477525175</v>
      </c>
      <c r="CS66" s="69">
        <f t="shared" si="138"/>
        <v>34.708635303739463</v>
      </c>
      <c r="CT66" s="69">
        <f t="shared" si="139"/>
        <v>32.419621855986939</v>
      </c>
    </row>
    <row r="67" spans="1:98" x14ac:dyDescent="0.25">
      <c r="A67" t="str">
        <f t="shared" si="103"/>
        <v>81 Process, plant and machine operatives</v>
      </c>
      <c r="B67" s="18">
        <f t="shared" si="157"/>
        <v>0.48408942327986987</v>
      </c>
      <c r="C67" s="18">
        <f t="shared" si="157"/>
        <v>0.48476278433044317</v>
      </c>
      <c r="D67" s="18">
        <f t="shared" si="157"/>
        <v>0.4401570928063071</v>
      </c>
      <c r="E67" s="18">
        <f t="shared" si="157"/>
        <v>0.56922724251883305</v>
      </c>
      <c r="F67" s="18">
        <f t="shared" si="157"/>
        <v>0.87332024555827648</v>
      </c>
      <c r="H67" s="68">
        <f t="shared" si="105"/>
        <v>277.28090277968505</v>
      </c>
      <c r="I67" s="69">
        <f t="shared" si="106"/>
        <v>121.23525077191168</v>
      </c>
      <c r="J67" s="69">
        <f t="shared" si="107"/>
        <v>398.5161535515968</v>
      </c>
      <c r="L67" t="str">
        <f t="shared" si="140"/>
        <v>81 Process, plant and machine operatives</v>
      </c>
      <c r="M67" s="18">
        <f t="shared" si="158"/>
        <v>0.53567886524131247</v>
      </c>
      <c r="N67" s="18">
        <f t="shared" si="158"/>
        <v>0.53082173252585785</v>
      </c>
      <c r="O67" s="18">
        <f t="shared" si="158"/>
        <v>0.44500766673248654</v>
      </c>
      <c r="P67" s="18">
        <f t="shared" si="158"/>
        <v>0.6296976083185114</v>
      </c>
      <c r="Q67" s="18">
        <f t="shared" si="158"/>
        <v>0.82271718408012273</v>
      </c>
      <c r="S67" s="68">
        <f t="shared" si="109"/>
        <v>244.39313048542493</v>
      </c>
      <c r="T67" s="69">
        <f t="shared" si="110"/>
        <v>103.71431566482509</v>
      </c>
      <c r="U67" s="69">
        <f t="shared" si="111"/>
        <v>348.1074461502501</v>
      </c>
      <c r="W67" t="str">
        <f t="shared" si="141"/>
        <v>81 Process, plant and machine operatives</v>
      </c>
      <c r="X67" s="18">
        <f t="shared" si="159"/>
        <v>0.77165002385628267</v>
      </c>
      <c r="Y67" s="18">
        <f t="shared" si="159"/>
        <v>0.76611509390561494</v>
      </c>
      <c r="Z67" s="18">
        <f t="shared" si="159"/>
        <v>0.65684346745134903</v>
      </c>
      <c r="AA67" s="18">
        <f t="shared" si="159"/>
        <v>1.0108733700312038</v>
      </c>
      <c r="AB67" s="18">
        <f t="shared" si="159"/>
        <v>1.5076615775115663</v>
      </c>
      <c r="AD67" s="68">
        <f t="shared" si="113"/>
        <v>182.62166794946185</v>
      </c>
      <c r="AE67" s="69">
        <f t="shared" si="114"/>
        <v>106.79078904423693</v>
      </c>
      <c r="AF67" s="69">
        <f t="shared" si="115"/>
        <v>289.41245699369881</v>
      </c>
      <c r="AH67" t="str">
        <f t="shared" si="142"/>
        <v>81 Process, plant and machine operatives</v>
      </c>
      <c r="AI67" s="18">
        <f t="shared" si="160"/>
        <v>1.1009454578174211</v>
      </c>
      <c r="AJ67" s="18">
        <f t="shared" si="160"/>
        <v>1.1623356031282408</v>
      </c>
      <c r="AK67" s="18">
        <f t="shared" si="160"/>
        <v>0.9879633138654802</v>
      </c>
      <c r="AL67" s="18">
        <f t="shared" si="160"/>
        <v>1.4966295618084617</v>
      </c>
      <c r="AM67" s="18">
        <f t="shared" si="160"/>
        <v>1.8335991685187185</v>
      </c>
      <c r="AO67" s="68">
        <f t="shared" si="117"/>
        <v>96.479598642544076</v>
      </c>
      <c r="AP67" s="69">
        <f t="shared" si="118"/>
        <v>74.255607813705808</v>
      </c>
      <c r="AQ67" s="69">
        <f t="shared" si="119"/>
        <v>170.73520645624987</v>
      </c>
      <c r="AS67" t="str">
        <f t="shared" si="143"/>
        <v>81 Process, plant and machine operatives</v>
      </c>
      <c r="AT67" s="18">
        <f t="shared" si="161"/>
        <v>2.9057698552938929</v>
      </c>
      <c r="AU67" s="18">
        <f t="shared" si="161"/>
        <v>2.7686083994625776</v>
      </c>
      <c r="AV67" s="18">
        <f t="shared" si="161"/>
        <v>2.319317559713296</v>
      </c>
      <c r="AW67" s="18">
        <f t="shared" si="161"/>
        <v>3.2694711119553501</v>
      </c>
      <c r="AX67" s="18">
        <f t="shared" si="161"/>
        <v>3.8594255797074402</v>
      </c>
      <c r="AZ67" s="68">
        <f t="shared" si="121"/>
        <v>96.543459327642012</v>
      </c>
      <c r="BA67" s="69">
        <f t="shared" si="122"/>
        <v>75.471715817548258</v>
      </c>
      <c r="BB67" s="69">
        <f t="shared" si="123"/>
        <v>172.01517514519026</v>
      </c>
      <c r="BD67" t="str">
        <f t="shared" si="144"/>
        <v>81 Process, plant and machine operatives</v>
      </c>
      <c r="BE67" s="18">
        <f t="shared" si="162"/>
        <v>4.5967225429445815</v>
      </c>
      <c r="BF67" s="18">
        <f t="shared" si="162"/>
        <v>4.6195112021718572</v>
      </c>
      <c r="BG67" s="18">
        <f t="shared" si="162"/>
        <v>4.1266361271947005</v>
      </c>
      <c r="BH67" s="18">
        <f t="shared" si="162"/>
        <v>5.5172821646225083</v>
      </c>
      <c r="BI67" s="18">
        <f t="shared" si="162"/>
        <v>6.277223875850793</v>
      </c>
      <c r="BK67" s="68">
        <f t="shared" si="125"/>
        <v>60.675126850197969</v>
      </c>
      <c r="BL67" s="69">
        <f t="shared" si="126"/>
        <v>53.134244874100865</v>
      </c>
      <c r="BM67" s="69">
        <f t="shared" si="127"/>
        <v>113.80937172429884</v>
      </c>
      <c r="BO67" t="str">
        <f t="shared" si="145"/>
        <v>81 Process, plant and machine operatives</v>
      </c>
      <c r="BP67" s="18">
        <f t="shared" si="163"/>
        <v>5.8135441868453377</v>
      </c>
      <c r="BQ67" s="18">
        <f t="shared" si="163"/>
        <v>5.9123481217782441</v>
      </c>
      <c r="BR67" s="18">
        <f t="shared" si="163"/>
        <v>5.4747282595060476</v>
      </c>
      <c r="BS67" s="18">
        <f t="shared" si="163"/>
        <v>7.1782803901476084</v>
      </c>
      <c r="BT67" s="18">
        <f t="shared" si="163"/>
        <v>8.0923719884111946</v>
      </c>
      <c r="BV67" s="68">
        <f t="shared" si="129"/>
        <v>36.348101678681587</v>
      </c>
      <c r="BW67" s="69">
        <f t="shared" si="130"/>
        <v>56.121974857467158</v>
      </c>
      <c r="BX67" s="69">
        <f t="shared" si="131"/>
        <v>92.470076536148753</v>
      </c>
      <c r="BZ67" t="str">
        <f t="shared" si="146"/>
        <v>81 Process, plant and machine operatives</v>
      </c>
      <c r="CA67" s="18">
        <f t="shared" si="164"/>
        <v>7.6499449353141094</v>
      </c>
      <c r="CB67" s="18">
        <f t="shared" si="164"/>
        <v>7.7245392672645474</v>
      </c>
      <c r="CC67" s="18">
        <f t="shared" si="164"/>
        <v>7.2319908622879163</v>
      </c>
      <c r="CD67" s="18">
        <f t="shared" si="164"/>
        <v>8.9677487801573204</v>
      </c>
      <c r="CE67" s="18">
        <f t="shared" si="164"/>
        <v>7.1456277812747162</v>
      </c>
      <c r="CG67" s="68">
        <f t="shared" si="133"/>
        <v>-47.456235352316291</v>
      </c>
      <c r="CH67" s="69">
        <f t="shared" si="134"/>
        <v>32.815349715600775</v>
      </c>
      <c r="CI67" s="69">
        <f t="shared" si="135"/>
        <v>-14.640885636715517</v>
      </c>
      <c r="CK67" t="str">
        <f t="shared" si="147"/>
        <v>81 Process, plant and machine operatives</v>
      </c>
      <c r="CL67" s="18">
        <f t="shared" si="165"/>
        <v>10.374548304902193</v>
      </c>
      <c r="CM67" s="18">
        <f t="shared" si="165"/>
        <v>8.9150089127256233</v>
      </c>
      <c r="CN67" s="18">
        <f t="shared" si="165"/>
        <v>7.8542812781852325</v>
      </c>
      <c r="CO67" s="18">
        <f t="shared" si="165"/>
        <v>5.1282783065535691</v>
      </c>
      <c r="CP67" s="18">
        <f t="shared" si="165"/>
        <v>3.274840256148464</v>
      </c>
      <c r="CR67" s="68">
        <f t="shared" si="137"/>
        <v>-84.068379514727681</v>
      </c>
      <c r="CS67" s="69">
        <f t="shared" si="138"/>
        <v>10.15983945796695</v>
      </c>
      <c r="CT67" s="69">
        <f t="shared" si="139"/>
        <v>-73.908540056760728</v>
      </c>
    </row>
    <row r="68" spans="1:98" x14ac:dyDescent="0.25">
      <c r="A68" t="str">
        <f t="shared" si="103"/>
        <v>82 Transport and mobile machine drivers and operatives</v>
      </c>
      <c r="B68" s="18">
        <f t="shared" si="157"/>
        <v>0.71979892985788341</v>
      </c>
      <c r="C68" s="18">
        <f t="shared" si="157"/>
        <v>0.82667170524736844</v>
      </c>
      <c r="D68" s="18">
        <f t="shared" si="157"/>
        <v>0.63369934803761208</v>
      </c>
      <c r="E68" s="18">
        <f t="shared" si="157"/>
        <v>0.86658793351635932</v>
      </c>
      <c r="F68" s="18">
        <f t="shared" si="157"/>
        <v>1.1111949630786997</v>
      </c>
      <c r="H68" s="68">
        <f t="shared" si="105"/>
        <v>233.4310214030078</v>
      </c>
      <c r="I68" s="69">
        <f t="shared" si="106"/>
        <v>130.0859438992122</v>
      </c>
      <c r="J68" s="69">
        <f t="shared" si="107"/>
        <v>363.51696530222</v>
      </c>
      <c r="L68" t="str">
        <f t="shared" si="140"/>
        <v>82 Transport and mobile machine drivers and operatives</v>
      </c>
      <c r="M68" s="18">
        <f t="shared" si="158"/>
        <v>0.67189281847653215</v>
      </c>
      <c r="N68" s="18">
        <f t="shared" si="158"/>
        <v>0.66500219528346882</v>
      </c>
      <c r="O68" s="18">
        <f t="shared" si="158"/>
        <v>0.52494893820846833</v>
      </c>
      <c r="P68" s="18">
        <f t="shared" si="158"/>
        <v>0.66842351674701972</v>
      </c>
      <c r="Q68" s="18">
        <f t="shared" si="158"/>
        <v>0.80926470773154191</v>
      </c>
      <c r="S68" s="68">
        <f t="shared" si="109"/>
        <v>187.17388550693587</v>
      </c>
      <c r="T68" s="69">
        <f t="shared" si="110"/>
        <v>114.14216844871233</v>
      </c>
      <c r="U68" s="69">
        <f t="shared" si="111"/>
        <v>301.31605395564821</v>
      </c>
      <c r="W68" t="str">
        <f t="shared" si="141"/>
        <v>82 Transport and mobile machine drivers and operatives</v>
      </c>
      <c r="X68" s="18">
        <f t="shared" si="159"/>
        <v>0.99874833518705308</v>
      </c>
      <c r="Y68" s="18">
        <f t="shared" si="159"/>
        <v>1.1361053783830464</v>
      </c>
      <c r="Z68" s="18">
        <f t="shared" si="159"/>
        <v>1.0028967319430802</v>
      </c>
      <c r="AA68" s="18">
        <f t="shared" si="159"/>
        <v>1.2542308189295626</v>
      </c>
      <c r="AB68" s="18">
        <f t="shared" si="159"/>
        <v>1.5490400925033978</v>
      </c>
      <c r="AD68" s="68">
        <f t="shared" si="113"/>
        <v>90.18222122163084</v>
      </c>
      <c r="AE68" s="69">
        <f t="shared" si="114"/>
        <v>97.38416662557205</v>
      </c>
      <c r="AF68" s="69">
        <f t="shared" si="115"/>
        <v>187.56638784720286</v>
      </c>
      <c r="AH68" t="str">
        <f t="shared" si="142"/>
        <v>82 Transport and mobile machine drivers and operatives</v>
      </c>
      <c r="AI68" s="18">
        <f t="shared" si="160"/>
        <v>1.7113773762488695</v>
      </c>
      <c r="AJ68" s="18">
        <f t="shared" si="160"/>
        <v>1.992214435043328</v>
      </c>
      <c r="AK68" s="18">
        <f t="shared" si="160"/>
        <v>1.6555006317229182</v>
      </c>
      <c r="AL68" s="18">
        <f t="shared" si="160"/>
        <v>2.1979011283385064</v>
      </c>
      <c r="AM68" s="18">
        <f t="shared" si="160"/>
        <v>2.6005210987339034</v>
      </c>
      <c r="AO68" s="68">
        <f t="shared" si="117"/>
        <v>66.297188930238192</v>
      </c>
      <c r="AP68" s="69">
        <f t="shared" si="118"/>
        <v>87.054062913701344</v>
      </c>
      <c r="AQ68" s="69">
        <f t="shared" si="119"/>
        <v>153.35125184393956</v>
      </c>
      <c r="AS68" t="str">
        <f t="shared" si="143"/>
        <v>82 Transport and mobile machine drivers and operatives</v>
      </c>
      <c r="AT68" s="18">
        <f t="shared" si="161"/>
        <v>2.8683474192345417</v>
      </c>
      <c r="AU68" s="18">
        <f t="shared" si="161"/>
        <v>3.0516703942165542</v>
      </c>
      <c r="AV68" s="18">
        <f t="shared" si="161"/>
        <v>2.6534649693664067</v>
      </c>
      <c r="AW68" s="18">
        <f t="shared" si="161"/>
        <v>3.20054310711929</v>
      </c>
      <c r="AX68" s="18">
        <f t="shared" si="161"/>
        <v>3.5336217401448931</v>
      </c>
      <c r="AZ68" s="68">
        <f t="shared" si="121"/>
        <v>57.290625870657038</v>
      </c>
      <c r="BA68" s="69">
        <f t="shared" si="122"/>
        <v>85.731184046151242</v>
      </c>
      <c r="BB68" s="69">
        <f t="shared" si="123"/>
        <v>143.02180991680825</v>
      </c>
      <c r="BD68" t="str">
        <f t="shared" si="144"/>
        <v>82 Transport and mobile machine drivers and operatives</v>
      </c>
      <c r="BE68" s="18">
        <f t="shared" si="162"/>
        <v>3.8692555545856053</v>
      </c>
      <c r="BF68" s="18">
        <f t="shared" si="162"/>
        <v>4.0547357862361189</v>
      </c>
      <c r="BG68" s="18">
        <f t="shared" si="162"/>
        <v>3.8815723794914678</v>
      </c>
      <c r="BH68" s="18">
        <f t="shared" si="162"/>
        <v>4.5957761922045002</v>
      </c>
      <c r="BI68" s="18">
        <f t="shared" si="162"/>
        <v>5.4259577644161867</v>
      </c>
      <c r="BK68" s="68">
        <f t="shared" si="125"/>
        <v>47.654242359371565</v>
      </c>
      <c r="BL68" s="69">
        <f t="shared" si="126"/>
        <v>65.888404914706612</v>
      </c>
      <c r="BM68" s="69">
        <f t="shared" si="127"/>
        <v>113.54264727407819</v>
      </c>
      <c r="BO68" t="str">
        <f t="shared" si="145"/>
        <v>82 Transport and mobile machine drivers and operatives</v>
      </c>
      <c r="BP68" s="18">
        <f t="shared" si="163"/>
        <v>6.3276462953332464</v>
      </c>
      <c r="BQ68" s="18">
        <f t="shared" si="163"/>
        <v>6.8626031018112492</v>
      </c>
      <c r="BR68" s="18">
        <f t="shared" si="163"/>
        <v>6.5968294274996175</v>
      </c>
      <c r="BS68" s="18">
        <f t="shared" si="163"/>
        <v>7.9170378129916497</v>
      </c>
      <c r="BT68" s="18">
        <f t="shared" si="163"/>
        <v>9.6642645183860587</v>
      </c>
      <c r="BV68" s="68">
        <f t="shared" si="129"/>
        <v>35.135477009749799</v>
      </c>
      <c r="BW68" s="69">
        <f t="shared" si="130"/>
        <v>72.312359342001969</v>
      </c>
      <c r="BX68" s="69">
        <f t="shared" si="131"/>
        <v>107.44783635175177</v>
      </c>
      <c r="BZ68" t="str">
        <f t="shared" si="146"/>
        <v>82 Transport and mobile machine drivers and operatives</v>
      </c>
      <c r="CA68" s="18">
        <f t="shared" si="164"/>
        <v>8.9333286343988494</v>
      </c>
      <c r="CB68" s="18">
        <f t="shared" si="164"/>
        <v>8.9725277607300669</v>
      </c>
      <c r="CC68" s="18">
        <f t="shared" si="164"/>
        <v>8.8602130301830169</v>
      </c>
      <c r="CD68" s="18">
        <f t="shared" si="164"/>
        <v>9.618269971552893</v>
      </c>
      <c r="CE68" s="18">
        <f t="shared" si="164"/>
        <v>11.946022704432995</v>
      </c>
      <c r="CG68" s="68">
        <f t="shared" si="133"/>
        <v>-28.300217778827054</v>
      </c>
      <c r="CH68" s="69">
        <f t="shared" si="134"/>
        <v>40.480585967321538</v>
      </c>
      <c r="CI68" s="69">
        <f t="shared" si="135"/>
        <v>12.180368188494485</v>
      </c>
      <c r="CK68" t="str">
        <f t="shared" si="147"/>
        <v>82 Transport and mobile machine drivers and operatives</v>
      </c>
      <c r="CL68" s="18">
        <f t="shared" si="165"/>
        <v>10.151529425600952</v>
      </c>
      <c r="CM68" s="18">
        <f t="shared" si="165"/>
        <v>12.418734266284071</v>
      </c>
      <c r="CN68" s="18">
        <f t="shared" si="165"/>
        <v>11.500108298187987</v>
      </c>
      <c r="CO68" s="18">
        <f t="shared" si="165"/>
        <v>11.869522850987281</v>
      </c>
      <c r="CP68" s="18">
        <f t="shared" si="165"/>
        <v>8.3976222618418799</v>
      </c>
      <c r="CR68" s="68">
        <f t="shared" si="137"/>
        <v>-72.098298545141716</v>
      </c>
      <c r="CS68" s="69">
        <f t="shared" si="138"/>
        <v>22.996777354641992</v>
      </c>
      <c r="CT68" s="69">
        <f t="shared" si="139"/>
        <v>-49.101521190499724</v>
      </c>
    </row>
    <row r="69" spans="1:98" x14ac:dyDescent="0.25">
      <c r="A69" t="str">
        <f t="shared" si="103"/>
        <v>91 Elementary trades and related occupations</v>
      </c>
      <c r="B69" s="18">
        <f t="shared" si="157"/>
        <v>7.0828032778661957E-3</v>
      </c>
      <c r="C69" s="18">
        <f t="shared" si="157"/>
        <v>4.9753146538564705E-3</v>
      </c>
      <c r="D69" s="18">
        <f t="shared" si="157"/>
        <v>4.0741524865219028E-3</v>
      </c>
      <c r="E69" s="18">
        <f t="shared" si="157"/>
        <v>3.8278823059304133E-3</v>
      </c>
      <c r="F69" s="18">
        <f t="shared" si="157"/>
        <v>4.3661124354656845E-3</v>
      </c>
      <c r="H69" s="68">
        <f t="shared" si="105"/>
        <v>103.7776899634415</v>
      </c>
      <c r="I69" s="69">
        <f t="shared" si="106"/>
        <v>84.404291814004793</v>
      </c>
      <c r="J69" s="69">
        <f t="shared" si="107"/>
        <v>188.18198177744628</v>
      </c>
      <c r="L69" t="str">
        <f t="shared" si="140"/>
        <v>91 Elementary trades and related occupations</v>
      </c>
      <c r="M69" s="18">
        <f t="shared" si="158"/>
        <v>0.27622357263034958</v>
      </c>
      <c r="N69" s="18">
        <f t="shared" si="158"/>
        <v>0.24488905084560025</v>
      </c>
      <c r="O69" s="18">
        <f t="shared" si="158"/>
        <v>0.17317592193553843</v>
      </c>
      <c r="P69" s="18">
        <f t="shared" si="158"/>
        <v>0.18857347131245258</v>
      </c>
      <c r="Q69" s="18">
        <f t="shared" si="158"/>
        <v>0.24684859402103057</v>
      </c>
      <c r="S69" s="68">
        <f t="shared" si="109"/>
        <v>165.53058629742694</v>
      </c>
      <c r="T69" s="69">
        <f t="shared" si="110"/>
        <v>93.310119027802671</v>
      </c>
      <c r="U69" s="69">
        <f t="shared" si="111"/>
        <v>258.84070532522958</v>
      </c>
      <c r="W69" t="str">
        <f t="shared" si="141"/>
        <v>91 Elementary trades and related occupations</v>
      </c>
      <c r="X69" s="18">
        <f t="shared" si="159"/>
        <v>0.46894975667567268</v>
      </c>
      <c r="Y69" s="18">
        <f t="shared" si="159"/>
        <v>0.38361969294709697</v>
      </c>
      <c r="Z69" s="18">
        <f t="shared" si="159"/>
        <v>0.32119548791632585</v>
      </c>
      <c r="AA69" s="18">
        <f t="shared" si="159"/>
        <v>0.31151347304739774</v>
      </c>
      <c r="AB69" s="18">
        <f t="shared" si="159"/>
        <v>0.32658486270216069</v>
      </c>
      <c r="AD69" s="68">
        <f t="shared" si="113"/>
        <v>25.195894817929886</v>
      </c>
      <c r="AE69" s="69">
        <f t="shared" si="114"/>
        <v>70.893235172649938</v>
      </c>
      <c r="AF69" s="69">
        <f t="shared" si="115"/>
        <v>96.089129990579821</v>
      </c>
      <c r="AH69" t="str">
        <f t="shared" si="142"/>
        <v>91 Elementary trades and related occupations</v>
      </c>
      <c r="AI69" s="18">
        <f t="shared" si="160"/>
        <v>1.0116511596113871</v>
      </c>
      <c r="AJ69" s="18">
        <f t="shared" si="160"/>
        <v>0.90478492328650018</v>
      </c>
      <c r="AK69" s="18">
        <f t="shared" si="160"/>
        <v>0.73998026473871037</v>
      </c>
      <c r="AL69" s="18">
        <f t="shared" si="160"/>
        <v>0.79619681955140109</v>
      </c>
      <c r="AM69" s="18">
        <f t="shared" si="160"/>
        <v>0.93149816185807488</v>
      </c>
      <c r="AO69" s="68">
        <f t="shared" si="117"/>
        <v>33.264889069976064</v>
      </c>
      <c r="AP69" s="69">
        <f t="shared" si="118"/>
        <v>72.078905149297682</v>
      </c>
      <c r="AQ69" s="69">
        <f t="shared" si="119"/>
        <v>105.34379421927373</v>
      </c>
      <c r="AS69" t="str">
        <f t="shared" si="143"/>
        <v>91 Elementary trades and related occupations</v>
      </c>
      <c r="AT69" s="18">
        <f t="shared" si="161"/>
        <v>1.100142717480826</v>
      </c>
      <c r="AU69" s="18">
        <f t="shared" si="161"/>
        <v>0.9784712448508206</v>
      </c>
      <c r="AV69" s="18">
        <f t="shared" si="161"/>
        <v>0.89156331065966765</v>
      </c>
      <c r="AW69" s="18">
        <f t="shared" si="161"/>
        <v>0.89994145811108861</v>
      </c>
      <c r="AX69" s="18">
        <f t="shared" si="161"/>
        <v>0.92724975818965283</v>
      </c>
      <c r="AZ69" s="68">
        <f t="shared" si="121"/>
        <v>22.840247095595132</v>
      </c>
      <c r="BA69" s="69">
        <f t="shared" si="122"/>
        <v>63.058830704768368</v>
      </c>
      <c r="BB69" s="69">
        <f t="shared" si="123"/>
        <v>85.8990778003635</v>
      </c>
      <c r="BD69" t="str">
        <f t="shared" si="144"/>
        <v>91 Elementary trades and related occupations</v>
      </c>
      <c r="BE69" s="18">
        <f t="shared" si="162"/>
        <v>1.3612906212318847</v>
      </c>
      <c r="BF69" s="18">
        <f t="shared" si="162"/>
        <v>1.2140226934744944</v>
      </c>
      <c r="BG69" s="18">
        <f t="shared" si="162"/>
        <v>1.094485858971906</v>
      </c>
      <c r="BH69" s="18">
        <f t="shared" si="162"/>
        <v>1.0695927100076754</v>
      </c>
      <c r="BI69" s="18">
        <f t="shared" si="162"/>
        <v>1.2723141528352289</v>
      </c>
      <c r="BK69" s="68">
        <f t="shared" si="125"/>
        <v>22.789551443960459</v>
      </c>
      <c r="BL69" s="69">
        <f t="shared" si="126"/>
        <v>38.160053263889495</v>
      </c>
      <c r="BM69" s="69">
        <f t="shared" si="127"/>
        <v>60.949604707849957</v>
      </c>
      <c r="BO69" t="str">
        <f t="shared" si="145"/>
        <v>91 Elementary trades and related occupations</v>
      </c>
      <c r="BP69" s="18">
        <f t="shared" si="163"/>
        <v>2.3967427778330435</v>
      </c>
      <c r="BQ69" s="18">
        <f t="shared" si="163"/>
        <v>2.1474546502783252</v>
      </c>
      <c r="BR69" s="18">
        <f t="shared" si="163"/>
        <v>2.0880365883697007</v>
      </c>
      <c r="BS69" s="18">
        <f t="shared" si="163"/>
        <v>1.9289408790218578</v>
      </c>
      <c r="BT69" s="18">
        <f t="shared" si="163"/>
        <v>2.2144054286357444</v>
      </c>
      <c r="BV69" s="68">
        <f t="shared" si="129"/>
        <v>-2.173873346749323</v>
      </c>
      <c r="BW69" s="69">
        <f t="shared" si="130"/>
        <v>38.215760843046567</v>
      </c>
      <c r="BX69" s="69">
        <f t="shared" si="131"/>
        <v>36.041887496297242</v>
      </c>
      <c r="BZ69" t="str">
        <f t="shared" si="146"/>
        <v>91 Elementary trades and related occupations</v>
      </c>
      <c r="CA69" s="18">
        <f t="shared" si="164"/>
        <v>4.9352719741826316</v>
      </c>
      <c r="CB69" s="18">
        <f t="shared" si="164"/>
        <v>4.7106552305870482</v>
      </c>
      <c r="CC69" s="18">
        <f t="shared" si="164"/>
        <v>4.4662306657719117</v>
      </c>
      <c r="CD69" s="18">
        <f t="shared" si="164"/>
        <v>4.0943230681965046</v>
      </c>
      <c r="CE69" s="18">
        <f t="shared" si="164"/>
        <v>5.0027209164282729</v>
      </c>
      <c r="CG69" s="68">
        <f t="shared" si="133"/>
        <v>-40.433265633773303</v>
      </c>
      <c r="CH69" s="69">
        <f t="shared" si="134"/>
        <v>29.885560586265886</v>
      </c>
      <c r="CI69" s="69">
        <f t="shared" si="135"/>
        <v>-10.547705047507417</v>
      </c>
      <c r="CK69" t="str">
        <f t="shared" si="147"/>
        <v>91 Elementary trades and related occupations</v>
      </c>
      <c r="CL69" s="18">
        <f t="shared" si="165"/>
        <v>6.6066630010191103</v>
      </c>
      <c r="CM69" s="18">
        <f t="shared" si="165"/>
        <v>6.2549260272623739</v>
      </c>
      <c r="CN69" s="18">
        <f t="shared" si="165"/>
        <v>6.0636921326683595</v>
      </c>
      <c r="CO69" s="18">
        <f t="shared" si="165"/>
        <v>5.6548673140552754</v>
      </c>
      <c r="CP69" s="18">
        <f t="shared" si="165"/>
        <v>5.6243299639380862</v>
      </c>
      <c r="CR69" s="68">
        <f t="shared" si="137"/>
        <v>-64.558676566913348</v>
      </c>
      <c r="CS69" s="69">
        <f t="shared" si="138"/>
        <v>17.873051149721729</v>
      </c>
      <c r="CT69" s="69">
        <f t="shared" si="139"/>
        <v>-46.685625417191616</v>
      </c>
    </row>
    <row r="70" spans="1:98" x14ac:dyDescent="0.25">
      <c r="A70" t="str">
        <f t="shared" si="103"/>
        <v>92 Elementary administration and service occupations</v>
      </c>
      <c r="B70" s="18">
        <f t="shared" si="157"/>
        <v>0.49776333884795243</v>
      </c>
      <c r="C70" s="18">
        <f t="shared" si="157"/>
        <v>0.47068406336663748</v>
      </c>
      <c r="D70" s="18">
        <f t="shared" si="157"/>
        <v>0.42726075435879735</v>
      </c>
      <c r="E70" s="18">
        <f t="shared" si="157"/>
        <v>0.49963686334628898</v>
      </c>
      <c r="F70" s="18">
        <f t="shared" si="157"/>
        <v>0.57649741834514145</v>
      </c>
      <c r="H70" s="68">
        <f t="shared" si="105"/>
        <v>156.56851636913922</v>
      </c>
      <c r="I70" s="69">
        <f t="shared" si="106"/>
        <v>94.863439807838873</v>
      </c>
      <c r="J70" s="69">
        <f t="shared" si="107"/>
        <v>251.43195617697808</v>
      </c>
      <c r="L70" t="str">
        <f t="shared" ref="L70" si="166">A70</f>
        <v>92 Elementary administration and service occupations</v>
      </c>
      <c r="M70" s="18">
        <f t="shared" si="158"/>
        <v>1.6601485633352873</v>
      </c>
      <c r="N70" s="18">
        <f t="shared" si="158"/>
        <v>1.6207307911163098</v>
      </c>
      <c r="O70" s="18">
        <f t="shared" si="158"/>
        <v>1.5418357324260661</v>
      </c>
      <c r="P70" s="18">
        <f t="shared" si="158"/>
        <v>1.8354424134873406</v>
      </c>
      <c r="Q70" s="18">
        <f t="shared" si="158"/>
        <v>2.4295341866892044</v>
      </c>
      <c r="S70" s="68">
        <f t="shared" si="109"/>
        <v>193.53258081046141</v>
      </c>
      <c r="T70" s="69">
        <f t="shared" si="110"/>
        <v>103.70662777881638</v>
      </c>
      <c r="U70" s="69">
        <f t="shared" si="111"/>
        <v>297.23920858927778</v>
      </c>
      <c r="W70" t="str">
        <f t="shared" ref="W70" si="167">A70</f>
        <v>92 Elementary administration and service occupations</v>
      </c>
      <c r="X70" s="18">
        <f t="shared" si="159"/>
        <v>2.8891357948637295</v>
      </c>
      <c r="Y70" s="18">
        <f t="shared" si="159"/>
        <v>2.929432390441554</v>
      </c>
      <c r="Z70" s="18">
        <f t="shared" si="159"/>
        <v>2.9092568171584698</v>
      </c>
      <c r="AA70" s="18">
        <f t="shared" si="159"/>
        <v>3.3638688396931524</v>
      </c>
      <c r="AB70" s="18">
        <f t="shared" si="159"/>
        <v>3.7797977609048514</v>
      </c>
      <c r="AD70" s="68">
        <f t="shared" si="113"/>
        <v>59.974210634699475</v>
      </c>
      <c r="AE70" s="69">
        <f t="shared" si="114"/>
        <v>87.219656773681507</v>
      </c>
      <c r="AF70" s="69">
        <f t="shared" si="115"/>
        <v>147.19386740838098</v>
      </c>
      <c r="AH70" t="str">
        <f t="shared" ref="AH70" si="168">L70</f>
        <v>92 Elementary administration and service occupations</v>
      </c>
      <c r="AI70" s="18">
        <f t="shared" si="160"/>
        <v>4.3389515394085558</v>
      </c>
      <c r="AJ70" s="18">
        <f t="shared" si="160"/>
        <v>4.5680066346327353</v>
      </c>
      <c r="AK70" s="18">
        <f t="shared" si="160"/>
        <v>4.5090678577384198</v>
      </c>
      <c r="AL70" s="18">
        <f t="shared" si="160"/>
        <v>5.5809001867340582</v>
      </c>
      <c r="AM70" s="18">
        <f t="shared" si="160"/>
        <v>7.0238830929504017</v>
      </c>
      <c r="AO70" s="68">
        <f t="shared" si="117"/>
        <v>64.909008481058308</v>
      </c>
      <c r="AP70" s="69">
        <f t="shared" si="118"/>
        <v>81.514237466509201</v>
      </c>
      <c r="AQ70" s="69">
        <f t="shared" si="119"/>
        <v>146.42324594756749</v>
      </c>
      <c r="AS70" t="str">
        <f t="shared" ref="AS70" si="169">W70</f>
        <v>92 Elementary administration and service occupations</v>
      </c>
      <c r="AT70" s="18">
        <f t="shared" si="161"/>
        <v>4.2180596088326663</v>
      </c>
      <c r="AU70" s="18">
        <f t="shared" si="161"/>
        <v>4.3702002237844848</v>
      </c>
      <c r="AV70" s="18">
        <f t="shared" si="161"/>
        <v>4.434170569305464</v>
      </c>
      <c r="AW70" s="18">
        <f t="shared" si="161"/>
        <v>5.1669673941915804</v>
      </c>
      <c r="AX70" s="18">
        <f t="shared" si="161"/>
        <v>6.0278687438737668</v>
      </c>
      <c r="AZ70" s="68">
        <f t="shared" si="121"/>
        <v>60.563761138735792</v>
      </c>
      <c r="BA70" s="69">
        <f t="shared" si="122"/>
        <v>82.296250965317057</v>
      </c>
      <c r="BB70" s="69">
        <f t="shared" si="123"/>
        <v>142.86001210405283</v>
      </c>
      <c r="BD70" t="str">
        <f t="shared" ref="BD70" si="170">AH70</f>
        <v>92 Elementary administration and service occupations</v>
      </c>
      <c r="BE70" s="18">
        <f t="shared" si="162"/>
        <v>6.7767049153596579</v>
      </c>
      <c r="BF70" s="18">
        <f t="shared" si="162"/>
        <v>6.0937913059714539</v>
      </c>
      <c r="BG70" s="18">
        <f t="shared" si="162"/>
        <v>5.9337279547228272</v>
      </c>
      <c r="BH70" s="18">
        <f t="shared" si="162"/>
        <v>5.9303099060556956</v>
      </c>
      <c r="BI70" s="18">
        <f t="shared" si="162"/>
        <v>5.4941736195177064</v>
      </c>
      <c r="BK70" s="68">
        <f t="shared" si="125"/>
        <v>-2.1970493122711576</v>
      </c>
      <c r="BL70" s="69">
        <f t="shared" si="126"/>
        <v>49.505948214845901</v>
      </c>
      <c r="BM70" s="69">
        <f t="shared" si="127"/>
        <v>47.308898902574747</v>
      </c>
      <c r="BO70" t="str">
        <f t="shared" ref="BO70" si="171">AS70</f>
        <v>92 Elementary administration and service occupations</v>
      </c>
      <c r="BP70" s="18">
        <f t="shared" si="163"/>
        <v>11.402865963589438</v>
      </c>
      <c r="BQ70" s="18">
        <f t="shared" si="163"/>
        <v>11.463689992970835</v>
      </c>
      <c r="BR70" s="18">
        <f t="shared" si="163"/>
        <v>10.906817145605482</v>
      </c>
      <c r="BS70" s="18">
        <f t="shared" si="163"/>
        <v>11.721846672533918</v>
      </c>
      <c r="BT70" s="18">
        <f t="shared" si="163"/>
        <v>12.346843783124651</v>
      </c>
      <c r="BV70" s="68">
        <f t="shared" si="129"/>
        <v>4.4224182392904154</v>
      </c>
      <c r="BW70" s="69">
        <f t="shared" si="130"/>
        <v>55.304572935456484</v>
      </c>
      <c r="BX70" s="69">
        <f t="shared" si="131"/>
        <v>59.7269911747469</v>
      </c>
      <c r="BZ70" t="str">
        <f t="shared" ref="BZ70" si="172">BD70</f>
        <v>92 Elementary administration and service occupations</v>
      </c>
      <c r="CA70" s="18">
        <f t="shared" si="164"/>
        <v>15.895572154887077</v>
      </c>
      <c r="CB70" s="18">
        <f t="shared" si="164"/>
        <v>16.275546843847984</v>
      </c>
      <c r="CC70" s="18">
        <f t="shared" si="164"/>
        <v>15.399795481932193</v>
      </c>
      <c r="CD70" s="18">
        <f t="shared" si="164"/>
        <v>16.496751446973043</v>
      </c>
      <c r="CE70" s="18">
        <f t="shared" si="164"/>
        <v>17.502624420688086</v>
      </c>
      <c r="CG70" s="68">
        <f t="shared" si="133"/>
        <v>-39.559661900772895</v>
      </c>
      <c r="CH70" s="69">
        <f t="shared" si="134"/>
        <v>34.099683531298588</v>
      </c>
      <c r="CI70" s="69">
        <f t="shared" si="135"/>
        <v>-5.4599783694743049</v>
      </c>
      <c r="CK70" t="str">
        <f t="shared" ref="CK70" si="173">BO70</f>
        <v>92 Elementary administration and service occupations</v>
      </c>
      <c r="CL70" s="18">
        <f t="shared" si="165"/>
        <v>21.312687163168224</v>
      </c>
      <c r="CM70" s="18">
        <f t="shared" si="165"/>
        <v>17.730294766698425</v>
      </c>
      <c r="CN70" s="18">
        <f t="shared" si="165"/>
        <v>17.665987634138936</v>
      </c>
      <c r="CO70" s="18">
        <f t="shared" si="165"/>
        <v>17.367430953341263</v>
      </c>
      <c r="CP70" s="18">
        <f t="shared" si="165"/>
        <v>15.173276340265163</v>
      </c>
      <c r="CR70" s="68">
        <f t="shared" si="137"/>
        <v>-67.181575556372522</v>
      </c>
      <c r="CS70" s="69">
        <f t="shared" si="138"/>
        <v>16.83785120172023</v>
      </c>
      <c r="CT70" s="69">
        <f t="shared" si="139"/>
        <v>-50.343724354652295</v>
      </c>
    </row>
    <row r="71" spans="1:98" x14ac:dyDescent="0.25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90.151168696070044</v>
      </c>
      <c r="I72" s="67">
        <f>IF(D35&gt;0,I35/D35*100,0)</f>
        <v>68.025108694017462</v>
      </c>
      <c r="J72" s="67">
        <f t="shared" ref="J72" si="175">IF(D35&gt;0,(J35/D35)*100,0)</f>
        <v>158.17627739008751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86.282219943384959</v>
      </c>
      <c r="T72" s="67">
        <f t="shared" ref="T72" si="177">IF(O35&gt;0,T35/O35*100,0)</f>
        <v>70.237889902156809</v>
      </c>
      <c r="U72" s="67">
        <f t="shared" ref="U72" si="178">IF(O35&gt;0,(U35/O35)*100,0)</f>
        <v>156.52010984554175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23.129884797627394</v>
      </c>
      <c r="AE72" s="67">
        <f t="shared" ref="AE72" si="180">IF(Z35&gt;0,AE35/Z35*100,0)</f>
        <v>62.2253139350777</v>
      </c>
      <c r="AF72" s="67">
        <f t="shared" ref="AF72" si="181">IF(Z35&gt;0,(AF35/Z35)*100,0)</f>
        <v>85.355198732705091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5.8653596241886126</v>
      </c>
      <c r="AP72" s="67">
        <f t="shared" ref="AP72" si="183">IF(AK35&gt;0,AP35/AK35*100,0)</f>
        <v>54.029899306082427</v>
      </c>
      <c r="AQ72" s="67">
        <f t="shared" ref="AQ72" si="184">IF(AK35&gt;0,(AQ35/AK35)*100,0)</f>
        <v>59.895258930271034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18.112575835689814</v>
      </c>
      <c r="BA72" s="67">
        <f t="shared" ref="BA72" si="186">IF(AV35&gt;0,BA35/AV35*100,0)</f>
        <v>56.064807646505024</v>
      </c>
      <c r="BB72" s="67">
        <f t="shared" ref="BB72" si="187">IF(AV35&gt;0,(BB35/AV35)*100,0)</f>
        <v>74.177383482194841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5.627550699990123</v>
      </c>
      <c r="BL72" s="67">
        <f t="shared" ref="BL72" si="189">IF(BG35&gt;0,BL35/BG35*100,0)</f>
        <v>46.7119369886314</v>
      </c>
      <c r="BM72" s="67">
        <f t="shared" ref="BM72" si="190">IF(BG35&gt;0,(BM35/BG35)*100,0)</f>
        <v>52.339487688621524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-7.7564888935809959</v>
      </c>
      <c r="BW72" s="67">
        <f t="shared" ref="BW72" si="192">IF(BR35&gt;0,BW35/BR35*100,0)</f>
        <v>47.665852902469936</v>
      </c>
      <c r="BX72" s="67">
        <f t="shared" ref="BX72" si="193">IF(BR35&gt;0,(BX35/BR35)*100,0)</f>
        <v>39.909364008888943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-46.82118388561409</v>
      </c>
      <c r="CH72" s="67">
        <f t="shared" ref="CH72" si="195">IF(CC35&gt;0,CH35/CC35*100,0)</f>
        <v>30.781289209359404</v>
      </c>
      <c r="CI72" s="67">
        <f t="shared" ref="CI72" si="196">IF(CC35&gt;0,(CI35/CC35)*100,0)</f>
        <v>-16.03989467625469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-61.790066470053205</v>
      </c>
      <c r="CS72" s="67">
        <f t="shared" ref="CS72" si="198">IF(CN35&gt;0,CS35/CN35*100,0)</f>
        <v>19.569106872349479</v>
      </c>
      <c r="CT72" s="67">
        <f t="shared" ref="CT72" si="199">IF(CN35&gt;0,(CT35/CN35)*100,0)</f>
        <v>-42.220959597703732</v>
      </c>
    </row>
    <row r="75" spans="1:98" ht="51" customHeight="1" x14ac:dyDescent="0.25">
      <c r="A75" s="381" t="str">
        <f>CONCATENATE(A$1," (Continued)")</f>
        <v>Basic Table 2  Employment Change by Occupation and Replacement Demand, RQF8 Doctorate, 2015-2035, Black Country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Black Country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Black Country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Black Country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Black Country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Black Country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Black Country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Black Country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Black Country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ht="13" x14ac:dyDescent="0.3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7.1954304045827921</v>
      </c>
      <c r="C82" s="18">
        <f t="shared" si="210"/>
        <v>-7.582394169690776</v>
      </c>
      <c r="D82" s="18">
        <f t="shared" si="210"/>
        <v>3.6501193639180585</v>
      </c>
      <c r="E82" s="18">
        <f t="shared" si="210"/>
        <v>4.4369689267082846</v>
      </c>
      <c r="F82" s="18">
        <f t="shared" ref="F82:F107" si="211">IF(AND(F$6-C$6 &lt;&gt; 0,C8&lt;&gt;0,F8&lt;&gt;0),(EXP(LN(F8/C8)/(F$6-C$6))-1)*100,0)</f>
        <v>3.3972875410104075</v>
      </c>
      <c r="H82" s="18">
        <f t="shared" ref="H82:H107" si="212">IF($F$6-$D$6 &lt;&gt; 0,(EXP(LN(1+(H45/100))/($F$6-$D$6))-1)*100,0)</f>
        <v>4.1740242696331142</v>
      </c>
      <c r="I82" s="18">
        <f t="shared" ref="I82:I107" si="213">IF(D8&gt;0,((1+(I8/D8))^(1/($F$6-$D$6))-1)*100,0)</f>
        <v>3.6143779396563103</v>
      </c>
      <c r="J82" s="18">
        <f t="shared" ref="J82:J107" si="214">IF($F$6-$D$6 &lt;&gt; 0,(EXP(LN(1+(J45/100))/($F$6-$D$6))-1)*100,0)</f>
        <v>6.4395085603620839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10.320378633902894</v>
      </c>
      <c r="N82" s="18">
        <f t="shared" si="215"/>
        <v>-3.7151409750332376</v>
      </c>
      <c r="O82" s="18">
        <f t="shared" si="215"/>
        <v>3.1244627693180593</v>
      </c>
      <c r="P82" s="18">
        <f t="shared" si="215"/>
        <v>4.2472989426030283</v>
      </c>
      <c r="Q82" s="18">
        <f t="shared" ref="Q82:Q107" si="216">IF(AND(Q$6-N$6 &lt;&gt; 0,N8&lt;&gt;0,Q8&lt;&gt;0),(EXP(LN(Q8/N8)/(Q$6-N$6))-1)*100,0)</f>
        <v>3.3804487209413869</v>
      </c>
      <c r="S82" s="18">
        <f t="shared" ref="S82:S107" si="217">IF($F$6-$D$6 &lt;&gt; 0,(EXP(LN(1+(S45/100))/($F$6-$D$6))-1)*100,0)</f>
        <v>3.8716683474413927</v>
      </c>
      <c r="T82" s="18">
        <f t="shared" ref="T82:T107" si="218">IF(O8&gt;0,((1+(T8/O8))^(1/($F$6-$D$6))-1)*100,0)</f>
        <v>3.5476884314180834</v>
      </c>
      <c r="U82" s="18">
        <f t="shared" ref="U82:U107" si="219">IF($F$6-$D$6 &lt;&gt; 0,(EXP(LN(1+(U45/100))/($F$6-$D$6))-1)*100,0)</f>
        <v>6.1699935685416429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1.3437779385963022</v>
      </c>
      <c r="Y82" s="18">
        <f t="shared" si="220"/>
        <v>7.3097106385064503</v>
      </c>
      <c r="Z82" s="18">
        <f t="shared" si="220"/>
        <v>-0.58156774654830601</v>
      </c>
      <c r="AA82" s="18">
        <f t="shared" si="220"/>
        <v>1.4435792632672362</v>
      </c>
      <c r="AB82" s="18">
        <f t="shared" ref="AB82:AB107" si="221">IF(AND(AB$6-Y$6 &lt;&gt; 0,Y8&lt;&gt;0,AB8&lt;&gt;0),(EXP(LN(AB8/Y8)/(AB$6-Y$6))-1)*100,0)</f>
        <v>1.1611367963707542</v>
      </c>
      <c r="AD82" s="18">
        <f t="shared" ref="AD82:AD107" si="222">IF($F$6-$D$6 &lt;&gt; 0,(EXP(LN(1+(AD45/100))/($F$6-$D$6))-1)*100,0)</f>
        <v>0.76398770183030429</v>
      </c>
      <c r="AE82" s="18">
        <f t="shared" ref="AE82:AE107" si="223">IF(Z8&gt;0,((1+(AE8/Z8))^(1/($F$6-$D$6))-1)*100,0)</f>
        <v>3.1617724288402149</v>
      </c>
      <c r="AF82" s="18">
        <f t="shared" ref="AF82:AF107" si="224">IF($F$6-$D$6 &lt;&gt; 0,(EXP(LN(1+(AF45/100))/($F$6-$D$6))-1)*100,0)</f>
        <v>3.6656069481495246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1.659622508448555</v>
      </c>
      <c r="AJ82" s="18">
        <f t="shared" si="225"/>
        <v>10.426816503527792</v>
      </c>
      <c r="AK82" s="18">
        <f t="shared" si="225"/>
        <v>-1.6813619754364906</v>
      </c>
      <c r="AL82" s="18">
        <f t="shared" si="225"/>
        <v>0.88497118417920628</v>
      </c>
      <c r="AM82" s="18">
        <f t="shared" ref="AM82:AM107" si="226">IF(AND(AM$6-AJ$6 &lt;&gt; 0,AJ8&lt;&gt;0,AM8&lt;&gt;0),(EXP(LN(AM8/AJ8)/(AM$6-AJ$6))-1)*100,0)</f>
        <v>0.64273033743642571</v>
      </c>
      <c r="AO82" s="18">
        <f t="shared" ref="AO82:AO107" si="227">IF($F$6-$D$6 &lt;&gt; 0,(EXP(LN(1+(AO45/100))/($F$6-$D$6))-1)*100,0)</f>
        <v>2.2168856729298803E-2</v>
      </c>
      <c r="AP82" s="18">
        <f t="shared" ref="AP82:AP107" si="228">IF(AK8&gt;0,((1+(AP8/AK8))^(1/($F$6-$D$6))-1)*100,0)</f>
        <v>2.7963477874388909</v>
      </c>
      <c r="AQ82" s="18">
        <f t="shared" ref="AQ82:AQ107" si="229">IF($F$6-$D$6 &lt;&gt; 0,(EXP(LN(1+(AQ45/100))/($F$6-$D$6))-1)*100,0)</f>
        <v>2.8114237091351413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-7.2868816091864463E-2</v>
      </c>
      <c r="AU82" s="18">
        <f t="shared" si="230"/>
        <v>6.1506107784420783</v>
      </c>
      <c r="AV82" s="18">
        <f t="shared" si="230"/>
        <v>-2.1824434377852531</v>
      </c>
      <c r="AW82" s="18">
        <f t="shared" si="230"/>
        <v>0.6933455401357369</v>
      </c>
      <c r="AX82" s="18">
        <f t="shared" ref="AX82:AX107" si="231">IF(AND(AX$6-AU$6 &lt;&gt; 0,AU8&lt;&gt;0,AX8&lt;&gt;0),(EXP(LN(AX8/AU8)/(AX$6-AU$6))-1)*100,0)</f>
        <v>0.11540091574702149</v>
      </c>
      <c r="AZ82" s="18">
        <f t="shared" ref="AZ82:AZ107" si="232">IF($F$6-$D$6 &lt;&gt; 0,(EXP(LN(1+(AZ45/100))/($F$6-$D$6))-1)*100,0)</f>
        <v>-0.27452419295221908</v>
      </c>
      <c r="BA82" s="18">
        <f t="shared" ref="BA82:BA107" si="233">IF(AV8&gt;0,((1+(BA8/AV8))^(1/($F$6-$D$6))-1)*100,0)</f>
        <v>2.7183460638819934</v>
      </c>
      <c r="BB82" s="18">
        <f t="shared" ref="BB82:BB107" si="234">IF($F$6-$D$6 &lt;&gt; 0,(EXP(LN(1+(BB45/100))/($F$6-$D$6))-1)*100,0)</f>
        <v>2.5309678750796483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4.9976979179853886</v>
      </c>
      <c r="BF82" s="18">
        <f t="shared" si="235"/>
        <v>2.3030869607510107</v>
      </c>
      <c r="BG82" s="18">
        <f t="shared" si="235"/>
        <v>-1.8088425391396989</v>
      </c>
      <c r="BH82" s="18">
        <f t="shared" si="235"/>
        <v>0.79628229801425032</v>
      </c>
      <c r="BI82" s="18">
        <f t="shared" ref="BI82:BI107" si="236">IF(AND(BI$6-BF$6 &lt;&gt; 0,BF8&lt;&gt;0,BI8&lt;&gt;0),(EXP(LN(BI8/BF8)/(BI$6-BF$6))-1)*100,0)</f>
        <v>6.7600511384235951E-2</v>
      </c>
      <c r="BK82" s="18">
        <f t="shared" ref="BK82:BK107" si="237">IF($F$6-$D$6 &lt;&gt; 0,(EXP(LN(1+(BK45/100))/($F$6-$D$6))-1)*100,0)</f>
        <v>-7.9683132641827914E-2</v>
      </c>
      <c r="BL82" s="18">
        <f t="shared" ref="BL82:BL107" si="238">IF(BG8&gt;0,((1+(BL8/BG8))^(1/($F$6-$D$6))-1)*100,0)</f>
        <v>2.3681282880599008</v>
      </c>
      <c r="BM82" s="18">
        <f t="shared" ref="BM82:BM107" si="239">IF($F$6-$D$6 &lt;&gt; 0,(EXP(LN(1+(BM45/100))/($F$6-$D$6))-1)*100,0)</f>
        <v>2.3108037574331108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2.8904952131157513</v>
      </c>
      <c r="BQ82" s="18">
        <f t="shared" si="240"/>
        <v>-6.8447955387539121</v>
      </c>
      <c r="BR82" s="18">
        <f t="shared" si="240"/>
        <v>-2.0075629014934759</v>
      </c>
      <c r="BS82" s="18">
        <f t="shared" si="240"/>
        <v>-1.3464838827877523</v>
      </c>
      <c r="BT82" s="18">
        <f t="shared" ref="BT82:BT107" si="241">IF(AND(BT$6-BQ$6 &lt;&gt; 0,BQ8&lt;&gt;0,BT8&lt;&gt;0),(EXP(LN(BT8/BQ8)/(BT$6-BQ$6))-1)*100,0)</f>
        <v>-1.9057671289037792</v>
      </c>
      <c r="BV82" s="18">
        <f t="shared" ref="BV82:BV107" si="242">IF($F$6-$D$6 &lt;&gt; 0,(EXP(LN(1+(BV45/100))/($F$6-$D$6))-1)*100,0)</f>
        <v>-1.5673376077163459</v>
      </c>
      <c r="BW82" s="18">
        <f t="shared" ref="BW82:BW107" si="243">IF(BR8&gt;0,((1+(BW8/BR8))^(1/($F$6-$D$6))-1)*100,0)</f>
        <v>2.3907105786632021</v>
      </c>
      <c r="BX82" s="18">
        <f t="shared" ref="BX82:BX107" si="244">IF($F$6-$D$6 &lt;&gt; 0,(EXP(LN(1+(BX45/100))/($F$6-$D$6))-1)*100,0)</f>
        <v>1.3030198869657728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0.78589956033019437</v>
      </c>
      <c r="CB82" s="18">
        <f t="shared" si="245"/>
        <v>3.7039377789607197</v>
      </c>
      <c r="CC82" s="18">
        <f t="shared" si="245"/>
        <v>-4.1115956419589654</v>
      </c>
      <c r="CD82" s="18">
        <f t="shared" si="245"/>
        <v>-3.0692219476832872</v>
      </c>
      <c r="CE82" s="18">
        <f t="shared" ref="CE82:CE107" si="246">IF(AND(CE$6-CB$6 &lt;&gt; 0,CB8&lt;&gt;0,CE8&lt;&gt;0),(EXP(LN(CE8/CB8)/(CE$6-CB$6))-1)*100,0)</f>
        <v>-2.9875062688053178</v>
      </c>
      <c r="CG82" s="18">
        <f t="shared" ref="CG82:CG107" si="247">IF($F$6-$D$6 &lt;&gt; 0,(EXP(LN(1+(CG45/100))/($F$6-$D$6))-1)*100,0)</f>
        <v>-3.4179328375319784</v>
      </c>
      <c r="CH82" s="18">
        <f t="shared" ref="CH82:CH107" si="248">IF(CC8&gt;0,((1+(CH8/CC8))^(1/($F$6-$D$6))-1)*100,0)</f>
        <v>1.9779062369945866</v>
      </c>
      <c r="CI82" s="18">
        <f t="shared" ref="CI82:CI107" si="249">IF($F$6-$D$6 &lt;&gt; 0,(EXP(LN(1+(CI45/100))/($F$6-$D$6))-1)*100,0)</f>
        <v>-0.44678173705772206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0.50377602170690317</v>
      </c>
      <c r="CM82" s="18">
        <f t="shared" si="250"/>
        <v>9.7897099387195485</v>
      </c>
      <c r="CN82" s="18">
        <f t="shared" si="250"/>
        <v>-9.5911669324748807</v>
      </c>
      <c r="CO82" s="18">
        <f t="shared" si="250"/>
        <v>-2.1221401078292845</v>
      </c>
      <c r="CP82" s="18">
        <f t="shared" ref="CP82:CP107" si="251">IF(AND(CP$6-CM$6 &lt;&gt; 0,CM8&lt;&gt;0,CP8&lt;&gt;0),(EXP(LN(CP8/CM8)/(CP$6-CM$6))-1)*100,0)</f>
        <v>-3.8323977664618925</v>
      </c>
      <c r="CR82" s="18">
        <f t="shared" ref="CR82:CR107" si="252">IF($F$6-$D$6 &lt;&gt; 0,(EXP(LN(1+(CR45/100))/($F$6-$D$6))-1)*100,0)</f>
        <v>-4.6779739737298653</v>
      </c>
      <c r="CS82" s="18">
        <f t="shared" ref="CS82:CS107" si="253">IF(CN8&gt;0,((1+(CS8/CN8))^(1/($F$6-$D$6))-1)*100,0)</f>
        <v>1.2868839510051355</v>
      </c>
      <c r="CT82" s="18">
        <f t="shared" ref="CT82:CT107" si="254">IF($F$6-$D$6 &lt;&gt; 0,(EXP(LN(1+(CT45/100))/($F$6-$D$6))-1)*100,0)</f>
        <v>-2.3605386119918137</v>
      </c>
    </row>
    <row r="83" spans="1:98" x14ac:dyDescent="0.25">
      <c r="A83" t="str">
        <f t="shared" si="209"/>
        <v>12 Other managers and proprietors</v>
      </c>
      <c r="B83" s="18">
        <f t="shared" si="210"/>
        <v>7.1953144072870012</v>
      </c>
      <c r="C83" s="18">
        <f t="shared" si="210"/>
        <v>-10.883990604454919</v>
      </c>
      <c r="D83" s="18">
        <f t="shared" si="210"/>
        <v>9.9521095177858676</v>
      </c>
      <c r="E83" s="18">
        <f t="shared" si="210"/>
        <v>5.5852033027542936</v>
      </c>
      <c r="F83" s="18">
        <f t="shared" si="211"/>
        <v>5.8035550291630988</v>
      </c>
      <c r="H83" s="18">
        <f t="shared" si="212"/>
        <v>7.0212195623951201</v>
      </c>
      <c r="I83" s="18">
        <f t="shared" si="213"/>
        <v>5.2512740052747198</v>
      </c>
      <c r="J83" s="18">
        <f t="shared" si="214"/>
        <v>9.5387221085502016</v>
      </c>
      <c r="L83" t="str">
        <f t="shared" ref="L83:L106" si="255">A83</f>
        <v>12 Other managers and proprietors</v>
      </c>
      <c r="M83" s="18">
        <f t="shared" si="215"/>
        <v>7.7771749771987642</v>
      </c>
      <c r="N83" s="18">
        <f t="shared" si="215"/>
        <v>1.6621324853104413</v>
      </c>
      <c r="O83" s="18">
        <f t="shared" si="215"/>
        <v>9.5261346280443924</v>
      </c>
      <c r="P83" s="18">
        <f t="shared" si="215"/>
        <v>5.6137056377581818</v>
      </c>
      <c r="Q83" s="18">
        <f t="shared" si="216"/>
        <v>6.5668004535369917</v>
      </c>
      <c r="S83" s="18">
        <f t="shared" si="217"/>
        <v>6.9020682236268227</v>
      </c>
      <c r="T83" s="18">
        <f t="shared" si="218"/>
        <v>5.0776650422426739</v>
      </c>
      <c r="U83" s="18">
        <f t="shared" si="219"/>
        <v>9.3530264472099667</v>
      </c>
      <c r="W83" t="str">
        <f t="shared" ref="W83:W106" si="256">A83</f>
        <v>12 Other managers and proprietors</v>
      </c>
      <c r="X83" s="18">
        <f t="shared" si="220"/>
        <v>-0.80345698850654568</v>
      </c>
      <c r="Y83" s="18">
        <f t="shared" si="220"/>
        <v>14.458816545671006</v>
      </c>
      <c r="Z83" s="18">
        <f t="shared" si="220"/>
        <v>5.2904374600857507</v>
      </c>
      <c r="AA83" s="18">
        <f t="shared" si="220"/>
        <v>2.3373687389771858</v>
      </c>
      <c r="AB83" s="18">
        <f t="shared" si="221"/>
        <v>3.976099811079381</v>
      </c>
      <c r="AD83" s="18">
        <f t="shared" si="222"/>
        <v>3.3124056438267546</v>
      </c>
      <c r="AE83" s="18">
        <f t="shared" si="223"/>
        <v>4.4556829034572587</v>
      </c>
      <c r="AF83" s="18">
        <f t="shared" si="224"/>
        <v>6.4488680011876465</v>
      </c>
      <c r="AH83" t="str">
        <f t="shared" ref="AH83:AH106" si="257">L83</f>
        <v>12 Other managers and proprietors</v>
      </c>
      <c r="AI83" s="18">
        <f t="shared" si="225"/>
        <v>-0.72969641608923164</v>
      </c>
      <c r="AJ83" s="18">
        <f t="shared" si="225"/>
        <v>17.975765918517304</v>
      </c>
      <c r="AK83" s="18">
        <f t="shared" si="225"/>
        <v>3.8318048313817243</v>
      </c>
      <c r="AL83" s="18">
        <f t="shared" si="225"/>
        <v>2.1247868850249318</v>
      </c>
      <c r="AM83" s="18">
        <f t="shared" si="226"/>
        <v>3.5850973051697377</v>
      </c>
      <c r="AO83" s="18">
        <f t="shared" si="227"/>
        <v>2.6906516673677938</v>
      </c>
      <c r="AP83" s="18">
        <f t="shared" si="228"/>
        <v>4.1548821146931036</v>
      </c>
      <c r="AQ83" s="18">
        <f t="shared" si="229"/>
        <v>5.8036725097646125</v>
      </c>
      <c r="AS83" t="str">
        <f t="shared" ref="AS83:AS106" si="258">W83</f>
        <v>12 Other managers and proprietors</v>
      </c>
      <c r="AT83" s="18">
        <f t="shared" si="230"/>
        <v>-1.3820954193739743</v>
      </c>
      <c r="AU83" s="18">
        <f t="shared" si="230"/>
        <v>13.324604033566212</v>
      </c>
      <c r="AV83" s="18">
        <f t="shared" si="230"/>
        <v>4.5489213594660072</v>
      </c>
      <c r="AW83" s="18">
        <f t="shared" si="230"/>
        <v>1.8003574910074205</v>
      </c>
      <c r="AX83" s="18">
        <f t="shared" si="231"/>
        <v>3.3417803005938218</v>
      </c>
      <c r="AZ83" s="18">
        <f t="shared" si="232"/>
        <v>2.7084213911048538</v>
      </c>
      <c r="BA83" s="18">
        <f t="shared" si="233"/>
        <v>3.9924581526641134</v>
      </c>
      <c r="BB83" s="18">
        <f t="shared" si="234"/>
        <v>5.6855156743378821</v>
      </c>
      <c r="BD83" t="str">
        <f t="shared" ref="BD83:BD106" si="259">AH83</f>
        <v>12 Other managers and proprietors</v>
      </c>
      <c r="BE83" s="18">
        <f t="shared" si="235"/>
        <v>0.81550276892203843</v>
      </c>
      <c r="BF83" s="18">
        <f t="shared" si="235"/>
        <v>-1.5717745013640871</v>
      </c>
      <c r="BG83" s="18">
        <f t="shared" si="235"/>
        <v>3.7930697140043046</v>
      </c>
      <c r="BH83" s="18">
        <f t="shared" si="235"/>
        <v>0.84449641361870054</v>
      </c>
      <c r="BI83" s="18">
        <f t="shared" si="236"/>
        <v>1.6026922319401393</v>
      </c>
      <c r="BK83" s="18">
        <f t="shared" si="237"/>
        <v>1.8179276154300705</v>
      </c>
      <c r="BL83" s="18">
        <f t="shared" si="238"/>
        <v>3.05668683310798</v>
      </c>
      <c r="BM83" s="18">
        <f t="shared" si="239"/>
        <v>4.3025710897699243</v>
      </c>
      <c r="BO83" t="str">
        <f t="shared" ref="BO83:BO106" si="260">AS83</f>
        <v>12 Other managers and proprietors</v>
      </c>
      <c r="BP83" s="18">
        <f t="shared" si="240"/>
        <v>0.66434228342659996</v>
      </c>
      <c r="BQ83" s="18">
        <f t="shared" si="240"/>
        <v>-2.2550060649073611</v>
      </c>
      <c r="BR83" s="18">
        <f t="shared" si="240"/>
        <v>4.7492293453265555</v>
      </c>
      <c r="BS83" s="18">
        <f t="shared" si="240"/>
        <v>-0.32836885652128833</v>
      </c>
      <c r="BT83" s="18">
        <f t="shared" si="241"/>
        <v>1.1079424720752851</v>
      </c>
      <c r="BV83" s="18">
        <f t="shared" si="242"/>
        <v>1.3362096211097185</v>
      </c>
      <c r="BW83" s="18">
        <f t="shared" si="243"/>
        <v>3.6654060628475094</v>
      </c>
      <c r="BX83" s="18">
        <f t="shared" si="244"/>
        <v>4.503559894963427</v>
      </c>
      <c r="BZ83" t="str">
        <f t="shared" ref="BZ83:BZ106" si="261">BD83</f>
        <v>12 Other managers and proprietors</v>
      </c>
      <c r="CA83" s="18">
        <f t="shared" si="245"/>
        <v>-1.5545462290969092</v>
      </c>
      <c r="CB83" s="18">
        <f t="shared" si="245"/>
        <v>0.27369879615826154</v>
      </c>
      <c r="CC83" s="18">
        <f t="shared" si="245"/>
        <v>0.66096407168612092</v>
      </c>
      <c r="CD83" s="18">
        <f t="shared" si="245"/>
        <v>-3.2059555191850997</v>
      </c>
      <c r="CE83" s="18">
        <f t="shared" si="246"/>
        <v>-1.7972438076778618</v>
      </c>
      <c r="CG83" s="18">
        <f t="shared" si="247"/>
        <v>-1.9337760323123843</v>
      </c>
      <c r="CH83" s="18">
        <f t="shared" si="248"/>
        <v>2.5610875219957085</v>
      </c>
      <c r="CI83" s="18">
        <f t="shared" si="249"/>
        <v>1.2643358559634388</v>
      </c>
      <c r="CK83" t="str">
        <f t="shared" ref="CK83:CK106" si="262">BO83</f>
        <v>12 Other managers and proprietors</v>
      </c>
      <c r="CL83" s="18">
        <f t="shared" si="250"/>
        <v>-2.9713612694997504</v>
      </c>
      <c r="CM83" s="18">
        <f t="shared" si="250"/>
        <v>2.1733793666479428</v>
      </c>
      <c r="CN83" s="18">
        <f t="shared" si="250"/>
        <v>-1.6214941738759037</v>
      </c>
      <c r="CO83" s="18">
        <f t="shared" si="250"/>
        <v>-3.7105467964759442</v>
      </c>
      <c r="CP83" s="18">
        <f t="shared" si="251"/>
        <v>-2.7025116199408505</v>
      </c>
      <c r="CR83" s="18">
        <f t="shared" si="252"/>
        <v>-3.0191719932900929</v>
      </c>
      <c r="CS83" s="18">
        <f t="shared" si="253"/>
        <v>1.8612944299107426</v>
      </c>
      <c r="CT83" s="18">
        <f t="shared" si="254"/>
        <v>-0.34101023114819773</v>
      </c>
    </row>
    <row r="84" spans="1:98" x14ac:dyDescent="0.25">
      <c r="A84" t="str">
        <f t="shared" si="209"/>
        <v>21 Science, research, engineering and technology professionals</v>
      </c>
      <c r="B84" s="18">
        <f t="shared" si="210"/>
        <v>6.9938907267180328</v>
      </c>
      <c r="C84" s="18">
        <f t="shared" si="210"/>
        <v>-9.8340257483674591</v>
      </c>
      <c r="D84" s="18">
        <f t="shared" si="210"/>
        <v>5.0404471061570755</v>
      </c>
      <c r="E84" s="18">
        <f t="shared" si="210"/>
        <v>3.5556084888841655</v>
      </c>
      <c r="F84" s="18">
        <f t="shared" si="211"/>
        <v>3.1211169882492618</v>
      </c>
      <c r="H84" s="18">
        <f t="shared" si="212"/>
        <v>4.0482077547018269</v>
      </c>
      <c r="I84" s="18">
        <f t="shared" si="213"/>
        <v>2.7985714040045018</v>
      </c>
      <c r="J84" s="18">
        <f t="shared" si="214"/>
        <v>5.7902220981305152</v>
      </c>
      <c r="L84" t="str">
        <f t="shared" si="255"/>
        <v>21 Science, research, engineering and technology professionals</v>
      </c>
      <c r="M84" s="18">
        <f t="shared" si="215"/>
        <v>7.7482486966417241</v>
      </c>
      <c r="N84" s="18">
        <f t="shared" si="215"/>
        <v>-5.4182138599501828</v>
      </c>
      <c r="O84" s="18">
        <f t="shared" si="215"/>
        <v>5.2460512079268495</v>
      </c>
      <c r="P84" s="18">
        <f t="shared" si="215"/>
        <v>3.619199313437349</v>
      </c>
      <c r="Q84" s="18">
        <f t="shared" si="216"/>
        <v>3.5326738256272305</v>
      </c>
      <c r="S84" s="18">
        <f t="shared" si="217"/>
        <v>4.1586697704021347</v>
      </c>
      <c r="T84" s="18">
        <f t="shared" si="218"/>
        <v>2.9568251027311865</v>
      </c>
      <c r="U84" s="18">
        <f t="shared" si="219"/>
        <v>5.9830063863501648</v>
      </c>
      <c r="W84" t="str">
        <f t="shared" si="256"/>
        <v>21 Science, research, engineering and technology professionals</v>
      </c>
      <c r="X84" s="18">
        <f t="shared" si="220"/>
        <v>-1.2680321596662547</v>
      </c>
      <c r="Y84" s="18">
        <f t="shared" si="220"/>
        <v>9.5353472761096292</v>
      </c>
      <c r="Z84" s="18">
        <f t="shared" si="220"/>
        <v>0.21328050693001366</v>
      </c>
      <c r="AA84" s="18">
        <f t="shared" si="220"/>
        <v>0.39647783585021745</v>
      </c>
      <c r="AB84" s="18">
        <f t="shared" si="221"/>
        <v>0.88703088354793458</v>
      </c>
      <c r="AD84" s="18">
        <f t="shared" si="222"/>
        <v>0.33537487881760697</v>
      </c>
      <c r="AE84" s="18">
        <f t="shared" si="223"/>
        <v>2.2917634584636248</v>
      </c>
      <c r="AF84" s="18">
        <f t="shared" si="224"/>
        <v>2.5376100315994909</v>
      </c>
      <c r="AH84" t="str">
        <f t="shared" si="257"/>
        <v>21 Science, research, engineering and technology professionals</v>
      </c>
      <c r="AI84" s="18">
        <f t="shared" si="225"/>
        <v>-2.3204934289195567</v>
      </c>
      <c r="AJ84" s="18">
        <f t="shared" si="225"/>
        <v>14.071048800182639</v>
      </c>
      <c r="AK84" s="18">
        <f t="shared" si="225"/>
        <v>-0.35586038326932412</v>
      </c>
      <c r="AL84" s="18">
        <f t="shared" si="225"/>
        <v>0.54843478155199854</v>
      </c>
      <c r="AM84" s="18">
        <f t="shared" si="226"/>
        <v>1.0588173720987193</v>
      </c>
      <c r="AO84" s="18">
        <f t="shared" si="227"/>
        <v>0.24609486274838055</v>
      </c>
      <c r="AP84" s="18">
        <f t="shared" si="228"/>
        <v>2.2025888032380259</v>
      </c>
      <c r="AQ84" s="18">
        <f t="shared" si="229"/>
        <v>2.3848537425588345</v>
      </c>
      <c r="AS84" t="str">
        <f t="shared" si="258"/>
        <v>21 Science, research, engineering and technology professionals</v>
      </c>
      <c r="AT84" s="18">
        <f t="shared" si="230"/>
        <v>-1.6101923087801895</v>
      </c>
      <c r="AU84" s="18">
        <f t="shared" si="230"/>
        <v>8.9008002119383089</v>
      </c>
      <c r="AV84" s="18">
        <f t="shared" si="230"/>
        <v>-1.5411945308668296</v>
      </c>
      <c r="AW84" s="18">
        <f t="shared" si="230"/>
        <v>-0.34512383797699053</v>
      </c>
      <c r="AX84" s="18">
        <f t="shared" si="231"/>
        <v>-0.16838684330958698</v>
      </c>
      <c r="AZ84" s="18">
        <f t="shared" si="232"/>
        <v>-0.74541983418741076</v>
      </c>
      <c r="BA84" s="18">
        <f t="shared" si="233"/>
        <v>1.8879453910043864</v>
      </c>
      <c r="BB84" s="18">
        <f t="shared" si="234"/>
        <v>1.3217349017631497</v>
      </c>
      <c r="BD84" t="str">
        <f t="shared" si="259"/>
        <v>21 Science, research, engineering and technology professionals</v>
      </c>
      <c r="BE84" s="18">
        <f t="shared" si="235"/>
        <v>3.9089563815619011</v>
      </c>
      <c r="BF84" s="18">
        <f t="shared" si="235"/>
        <v>6.8382151061283647</v>
      </c>
      <c r="BG84" s="18">
        <f t="shared" si="235"/>
        <v>-0.66065076773875742</v>
      </c>
      <c r="BH84" s="18">
        <f t="shared" si="235"/>
        <v>0.16314118313285331</v>
      </c>
      <c r="BI84" s="18">
        <f t="shared" si="236"/>
        <v>0.3086264294170471</v>
      </c>
      <c r="BK84" s="18">
        <f t="shared" si="237"/>
        <v>-0.11221240123185927</v>
      </c>
      <c r="BL84" s="18">
        <f t="shared" si="238"/>
        <v>1.7317617009901864</v>
      </c>
      <c r="BM84" s="18">
        <f t="shared" si="239"/>
        <v>1.6436829849478807</v>
      </c>
      <c r="BO84" t="str">
        <f t="shared" si="260"/>
        <v>21 Science, research, engineering and technology professionals</v>
      </c>
      <c r="BP84" s="18">
        <f t="shared" si="240"/>
        <v>2.9424431164917442</v>
      </c>
      <c r="BQ84" s="18">
        <f t="shared" si="240"/>
        <v>0.67758700847839748</v>
      </c>
      <c r="BR84" s="18">
        <f t="shared" si="240"/>
        <v>-0.22544381379271394</v>
      </c>
      <c r="BS84" s="18">
        <f t="shared" si="240"/>
        <v>-1.3912248318440068</v>
      </c>
      <c r="BT84" s="18">
        <f t="shared" si="241"/>
        <v>-0.89987173646058904</v>
      </c>
      <c r="BV84" s="18">
        <f t="shared" si="242"/>
        <v>-1.0041525349244185</v>
      </c>
      <c r="BW84" s="18">
        <f t="shared" si="243"/>
        <v>1.9129363360761431</v>
      </c>
      <c r="BX84" s="18">
        <f t="shared" si="244"/>
        <v>1.1565510187022898</v>
      </c>
      <c r="BZ84" t="str">
        <f t="shared" si="261"/>
        <v>21 Science, research, engineering and technology professionals</v>
      </c>
      <c r="CA84" s="18">
        <f t="shared" si="245"/>
        <v>0.51631195948964592</v>
      </c>
      <c r="CB84" s="18">
        <f t="shared" si="245"/>
        <v>9.3798405182915712</v>
      </c>
      <c r="CC84" s="18">
        <f t="shared" si="245"/>
        <v>-3.0314702848418418</v>
      </c>
      <c r="CD84" s="18">
        <f t="shared" si="245"/>
        <v>-3.6235713521864166</v>
      </c>
      <c r="CE84" s="18">
        <f t="shared" si="246"/>
        <v>-2.6720722389141249</v>
      </c>
      <c r="CG84" s="18">
        <f t="shared" si="247"/>
        <v>-3.4266071391192532</v>
      </c>
      <c r="CH84" s="18">
        <f t="shared" si="248"/>
        <v>1.4712100815561957</v>
      </c>
      <c r="CI84" s="18">
        <f t="shared" si="249"/>
        <v>-1.174001796056745</v>
      </c>
      <c r="CK84" t="str">
        <f t="shared" si="262"/>
        <v>21 Science, research, engineering and technology professionals</v>
      </c>
      <c r="CL84" s="18">
        <f t="shared" si="250"/>
        <v>1.8357670604854714</v>
      </c>
      <c r="CM84" s="18">
        <f t="shared" si="250"/>
        <v>15.864992505547072</v>
      </c>
      <c r="CN84" s="18">
        <f t="shared" si="250"/>
        <v>-4.8668895472589568</v>
      </c>
      <c r="CO84" s="18">
        <f t="shared" si="250"/>
        <v>-2.117902230934765</v>
      </c>
      <c r="CP84" s="18">
        <f t="shared" si="251"/>
        <v>-1.9573112852464214</v>
      </c>
      <c r="CR84" s="18">
        <f t="shared" si="252"/>
        <v>-3.0429460080711235</v>
      </c>
      <c r="CS84" s="18">
        <f t="shared" si="253"/>
        <v>1.4422216153940903</v>
      </c>
      <c r="CT84" s="18">
        <f t="shared" si="254"/>
        <v>-0.93431420679229715</v>
      </c>
    </row>
    <row r="85" spans="1:98" x14ac:dyDescent="0.25">
      <c r="A85" t="str">
        <f t="shared" si="209"/>
        <v>22 Health professionals</v>
      </c>
      <c r="B85" s="18">
        <f t="shared" si="210"/>
        <v>14.751201133888724</v>
      </c>
      <c r="C85" s="18">
        <f t="shared" si="210"/>
        <v>-2.7708859874058134</v>
      </c>
      <c r="D85" s="18">
        <f t="shared" si="210"/>
        <v>6.2952677407722035</v>
      </c>
      <c r="E85" s="18">
        <f t="shared" si="210"/>
        <v>4.2011267125465546</v>
      </c>
      <c r="F85" s="18">
        <f t="shared" si="211"/>
        <v>4.3982293956545959</v>
      </c>
      <c r="H85" s="18">
        <f t="shared" si="212"/>
        <v>4.8945490016505611</v>
      </c>
      <c r="I85" s="18">
        <f t="shared" si="213"/>
        <v>3.7379180526651457</v>
      </c>
      <c r="J85" s="18">
        <f t="shared" si="214"/>
        <v>7.0588585308832164</v>
      </c>
      <c r="L85" t="str">
        <f t="shared" si="255"/>
        <v>22 Health professionals</v>
      </c>
      <c r="M85" s="18">
        <f t="shared" si="215"/>
        <v>14.511203817366681</v>
      </c>
      <c r="N85" s="18">
        <f t="shared" si="215"/>
        <v>-1.2283033453285186</v>
      </c>
      <c r="O85" s="18">
        <f t="shared" si="215"/>
        <v>5.5887462137087951</v>
      </c>
      <c r="P85" s="18">
        <f t="shared" si="215"/>
        <v>3.9562481165673402</v>
      </c>
      <c r="Q85" s="18">
        <f t="shared" si="216"/>
        <v>4.1301911344705955</v>
      </c>
      <c r="S85" s="18">
        <f t="shared" si="217"/>
        <v>4.497590268615892</v>
      </c>
      <c r="T85" s="18">
        <f t="shared" si="218"/>
        <v>3.7662226072525895</v>
      </c>
      <c r="U85" s="18">
        <f t="shared" si="219"/>
        <v>6.7816633053338515</v>
      </c>
      <c r="W85" t="str">
        <f t="shared" si="256"/>
        <v>22 Health professionals</v>
      </c>
      <c r="X85" s="18">
        <f t="shared" si="220"/>
        <v>4.7172187214975736</v>
      </c>
      <c r="Y85" s="18">
        <f t="shared" si="220"/>
        <v>5.9322750627230025</v>
      </c>
      <c r="Z85" s="18">
        <f t="shared" si="220"/>
        <v>2.0993462519726336</v>
      </c>
      <c r="AA85" s="18">
        <f t="shared" si="220"/>
        <v>0.60985320387401121</v>
      </c>
      <c r="AB85" s="18">
        <f t="shared" si="221"/>
        <v>1.3991387373339048</v>
      </c>
      <c r="AD85" s="18">
        <f t="shared" si="222"/>
        <v>1.1039206847424321</v>
      </c>
      <c r="AE85" s="18">
        <f t="shared" si="223"/>
        <v>3.4256221045918744</v>
      </c>
      <c r="AF85" s="18">
        <f t="shared" si="224"/>
        <v>4.1352512239140715</v>
      </c>
      <c r="AH85" t="str">
        <f t="shared" si="257"/>
        <v>22 Health professionals</v>
      </c>
      <c r="AI85" s="18">
        <f t="shared" si="225"/>
        <v>-4.0465022175503744</v>
      </c>
      <c r="AJ85" s="18">
        <f t="shared" si="225"/>
        <v>-2.3389394291604138</v>
      </c>
      <c r="AK85" s="18">
        <f t="shared" si="225"/>
        <v>-9.4551830750077226</v>
      </c>
      <c r="AL85" s="18">
        <f t="shared" si="225"/>
        <v>-9.6589269298705815</v>
      </c>
      <c r="AM85" s="18">
        <f t="shared" si="226"/>
        <v>-9.1540143592290129</v>
      </c>
      <c r="AO85" s="18">
        <f t="shared" si="227"/>
        <v>-9.5910633030632191</v>
      </c>
      <c r="AP85" s="18">
        <f t="shared" si="228"/>
        <v>1.2461509908842094</v>
      </c>
      <c r="AQ85" s="18">
        <f t="shared" si="229"/>
        <v>-5.551881787877722</v>
      </c>
      <c r="AS85" t="str">
        <f t="shared" si="258"/>
        <v>22 Health professionals</v>
      </c>
      <c r="AT85" s="18">
        <f t="shared" si="230"/>
        <v>2.7809356654067363</v>
      </c>
      <c r="AU85" s="18">
        <f t="shared" si="230"/>
        <v>13.438021097481512</v>
      </c>
      <c r="AV85" s="18">
        <f t="shared" si="230"/>
        <v>0.96307744163723896</v>
      </c>
      <c r="AW85" s="18">
        <f t="shared" si="230"/>
        <v>0.7064619407136874</v>
      </c>
      <c r="AX85" s="18">
        <f t="shared" si="231"/>
        <v>1.5392749133708472</v>
      </c>
      <c r="AZ85" s="18">
        <f t="shared" si="232"/>
        <v>0.79192788863067243</v>
      </c>
      <c r="BA85" s="18">
        <f t="shared" si="233"/>
        <v>2.9511292794296429</v>
      </c>
      <c r="BB85" s="18">
        <f t="shared" si="234"/>
        <v>3.4883470085306012</v>
      </c>
      <c r="BD85" t="str">
        <f t="shared" si="259"/>
        <v>22 Health professionals</v>
      </c>
      <c r="BE85" s="18">
        <f t="shared" si="235"/>
        <v>8.9726044760355173</v>
      </c>
      <c r="BF85" s="18">
        <f t="shared" si="235"/>
        <v>-8.8387275924607049</v>
      </c>
      <c r="BG85" s="18">
        <f t="shared" si="235"/>
        <v>2.2592437397866094</v>
      </c>
      <c r="BH85" s="18">
        <f t="shared" si="235"/>
        <v>-0.54455075735574399</v>
      </c>
      <c r="BI85" s="18">
        <f t="shared" si="236"/>
        <v>-0.22124780331236327</v>
      </c>
      <c r="BK85" s="18">
        <f t="shared" si="237"/>
        <v>0.38139986446552587</v>
      </c>
      <c r="BL85" s="18">
        <f t="shared" si="238"/>
        <v>3.2523955991944575</v>
      </c>
      <c r="BM85" s="18">
        <f t="shared" si="239"/>
        <v>3.4985168922870624</v>
      </c>
      <c r="BO85" t="str">
        <f t="shared" si="260"/>
        <v>22 Health professionals</v>
      </c>
      <c r="BP85" s="18">
        <f t="shared" si="240"/>
        <v>6.2713304559112615</v>
      </c>
      <c r="BQ85" s="18">
        <f t="shared" si="240"/>
        <v>-17.097656343198597</v>
      </c>
      <c r="BR85" s="18">
        <f t="shared" si="240"/>
        <v>1.844085911109361</v>
      </c>
      <c r="BS85" s="18">
        <f t="shared" si="240"/>
        <v>-2.1231537897997255</v>
      </c>
      <c r="BT85" s="18">
        <f t="shared" si="241"/>
        <v>-1.9234123889982691</v>
      </c>
      <c r="BV85" s="18">
        <f t="shared" si="242"/>
        <v>-0.81821589136005235</v>
      </c>
      <c r="BW85" s="18">
        <f t="shared" si="243"/>
        <v>2.9176271403222209</v>
      </c>
      <c r="BX85" s="18">
        <f t="shared" si="244"/>
        <v>2.3817461511480786</v>
      </c>
      <c r="BZ85" t="str">
        <f t="shared" si="261"/>
        <v>22 Health professionals</v>
      </c>
      <c r="CA85" s="18">
        <f t="shared" si="245"/>
        <v>5.3882634358450421</v>
      </c>
      <c r="CB85" s="18">
        <f t="shared" si="245"/>
        <v>-24.077107056532821</v>
      </c>
      <c r="CC85" s="18">
        <f t="shared" si="245"/>
        <v>-2.360122899820094</v>
      </c>
      <c r="CD85" s="18">
        <f t="shared" si="245"/>
        <v>-6.9086354253711235</v>
      </c>
      <c r="CE85" s="18">
        <f t="shared" si="246"/>
        <v>-6.7067597833564747</v>
      </c>
      <c r="CG85" s="18">
        <f t="shared" si="247"/>
        <v>-5.416509097035382</v>
      </c>
      <c r="CH85" s="18">
        <f t="shared" si="248"/>
        <v>1.8819653145344617</v>
      </c>
      <c r="CI85" s="18">
        <f t="shared" si="249"/>
        <v>-1.843710982954061</v>
      </c>
      <c r="CK85" t="str">
        <f t="shared" si="262"/>
        <v>22 Health professionals</v>
      </c>
      <c r="CL85" s="18">
        <f t="shared" si="250"/>
        <v>3.6232237065805251</v>
      </c>
      <c r="CM85" s="18">
        <f t="shared" si="250"/>
        <v>26.435436499454145</v>
      </c>
      <c r="CN85" s="18">
        <f t="shared" si="250"/>
        <v>-1.4994209847602358</v>
      </c>
      <c r="CO85" s="18">
        <f t="shared" si="250"/>
        <v>1.7541325300779009</v>
      </c>
      <c r="CP85" s="18">
        <f t="shared" si="251"/>
        <v>2.10251873996401</v>
      </c>
      <c r="CR85" s="18">
        <f t="shared" si="252"/>
        <v>0.65784584978645366</v>
      </c>
      <c r="CS85" s="18">
        <f t="shared" si="253"/>
        <v>2.5097705619147037</v>
      </c>
      <c r="CT85" s="18">
        <f t="shared" si="254"/>
        <v>2.9812707850423781</v>
      </c>
    </row>
    <row r="86" spans="1:98" x14ac:dyDescent="0.25">
      <c r="A86" t="str">
        <f t="shared" si="209"/>
        <v>23 Teaching and other educational professionals</v>
      </c>
      <c r="B86" s="18">
        <f t="shared" si="210"/>
        <v>5.8861870723006637</v>
      </c>
      <c r="C86" s="18">
        <f t="shared" si="210"/>
        <v>3.3290890017636077</v>
      </c>
      <c r="D86" s="18">
        <f t="shared" si="210"/>
        <v>3.7900824082895079</v>
      </c>
      <c r="E86" s="18">
        <f t="shared" si="210"/>
        <v>2.4609447579563293</v>
      </c>
      <c r="F86" s="18">
        <f t="shared" si="211"/>
        <v>2.9287243333061541</v>
      </c>
      <c r="H86" s="18">
        <f t="shared" si="212"/>
        <v>2.902088578478601</v>
      </c>
      <c r="I86" s="18">
        <f t="shared" si="213"/>
        <v>3.3266383530876409</v>
      </c>
      <c r="J86" s="18">
        <f t="shared" si="214"/>
        <v>5.2994054598886287</v>
      </c>
      <c r="L86" t="str">
        <f t="shared" si="255"/>
        <v>23 Teaching and other educational professionals</v>
      </c>
      <c r="M86" s="18">
        <f t="shared" si="215"/>
        <v>7.0290285619479809</v>
      </c>
      <c r="N86" s="18">
        <f t="shared" si="215"/>
        <v>4.3381938294702937</v>
      </c>
      <c r="O86" s="18">
        <f t="shared" si="215"/>
        <v>3.5365728029416621</v>
      </c>
      <c r="P86" s="18">
        <f t="shared" si="215"/>
        <v>2.4209372387068662</v>
      </c>
      <c r="Q86" s="18">
        <f t="shared" si="216"/>
        <v>2.8874683429213288</v>
      </c>
      <c r="S86" s="18">
        <f t="shared" si="217"/>
        <v>2.7914736245425731</v>
      </c>
      <c r="T86" s="18">
        <f t="shared" si="218"/>
        <v>3.3822148825395137</v>
      </c>
      <c r="U86" s="18">
        <f t="shared" si="219"/>
        <v>5.2625958401942174</v>
      </c>
      <c r="W86" t="str">
        <f t="shared" si="256"/>
        <v>23 Teaching and other educational professionals</v>
      </c>
      <c r="X86" s="18">
        <f t="shared" si="220"/>
        <v>-5.5369034190533402</v>
      </c>
      <c r="Y86" s="18">
        <f t="shared" si="220"/>
        <v>12.043561818708648</v>
      </c>
      <c r="Z86" s="18">
        <f t="shared" si="220"/>
        <v>-3.3219147383975467</v>
      </c>
      <c r="AA86" s="18">
        <f t="shared" si="220"/>
        <v>-3.0658455693240327</v>
      </c>
      <c r="AB86" s="18">
        <f t="shared" si="221"/>
        <v>-2.2650915003821215</v>
      </c>
      <c r="AD86" s="18">
        <f t="shared" si="222"/>
        <v>-3.1512772309839954</v>
      </c>
      <c r="AE86" s="18">
        <f t="shared" si="223"/>
        <v>2.4037789927991993</v>
      </c>
      <c r="AF86" s="18">
        <f t="shared" si="224"/>
        <v>0.3043362876063771</v>
      </c>
      <c r="AH86" t="str">
        <f t="shared" si="257"/>
        <v>23 Teaching and other educational professionals</v>
      </c>
      <c r="AI86" s="18">
        <f t="shared" si="225"/>
        <v>-16.432258126258059</v>
      </c>
      <c r="AJ86" s="18">
        <f t="shared" si="225"/>
        <v>-1.670277989255553</v>
      </c>
      <c r="AK86" s="18">
        <f t="shared" si="225"/>
        <v>-9.0350100932593662</v>
      </c>
      <c r="AL86" s="18">
        <f t="shared" si="225"/>
        <v>-0.10777481008220624</v>
      </c>
      <c r="AM86" s="18">
        <f t="shared" si="226"/>
        <v>-3.0833672787556998</v>
      </c>
      <c r="AO86" s="18">
        <f t="shared" si="227"/>
        <v>-3.1768479395491545</v>
      </c>
      <c r="AP86" s="18">
        <f t="shared" si="228"/>
        <v>1.1878224990818254</v>
      </c>
      <c r="AQ86" s="18">
        <f t="shared" si="229"/>
        <v>-1.3955450438557171</v>
      </c>
      <c r="AS86" t="str">
        <f t="shared" si="258"/>
        <v>23 Teaching and other educational professionals</v>
      </c>
      <c r="AT86" s="18">
        <f t="shared" si="230"/>
        <v>-5.7552742621408193</v>
      </c>
      <c r="AU86" s="18">
        <f t="shared" si="230"/>
        <v>14.611920410683044</v>
      </c>
      <c r="AV86" s="18">
        <f t="shared" si="230"/>
        <v>-4.2543576904446763</v>
      </c>
      <c r="AW86" s="18">
        <f t="shared" si="230"/>
        <v>-2.0369218815414092</v>
      </c>
      <c r="AX86" s="18">
        <f t="shared" si="231"/>
        <v>-1.7764630095329581</v>
      </c>
      <c r="AZ86" s="18">
        <f t="shared" si="232"/>
        <v>-2.7817153144155893</v>
      </c>
      <c r="BA86" s="18">
        <f t="shared" si="233"/>
        <v>2.1675260574738564</v>
      </c>
      <c r="BB86" s="18">
        <f t="shared" si="234"/>
        <v>0.22557743446995904</v>
      </c>
      <c r="BD86" t="str">
        <f t="shared" si="259"/>
        <v>23 Teaching and other educational professionals</v>
      </c>
      <c r="BE86" s="18">
        <f t="shared" si="235"/>
        <v>0.64525171020610728</v>
      </c>
      <c r="BF86" s="18">
        <f t="shared" si="235"/>
        <v>8.3726344662631504</v>
      </c>
      <c r="BG86" s="18">
        <f t="shared" si="235"/>
        <v>2.5067686073820816E-2</v>
      </c>
      <c r="BH86" s="18">
        <f t="shared" si="235"/>
        <v>0.12409329219196241</v>
      </c>
      <c r="BI86" s="18">
        <f t="shared" si="236"/>
        <v>0.58960816679101136</v>
      </c>
      <c r="BK86" s="18">
        <f t="shared" si="237"/>
        <v>9.1073868705926486E-2</v>
      </c>
      <c r="BL86" s="18">
        <f t="shared" si="238"/>
        <v>2.4851393698980706</v>
      </c>
      <c r="BM86" s="18">
        <f t="shared" si="239"/>
        <v>2.5498523533217465</v>
      </c>
      <c r="BO86" t="str">
        <f t="shared" si="260"/>
        <v>23 Teaching and other educational professionals</v>
      </c>
      <c r="BP86" s="18">
        <f t="shared" si="240"/>
        <v>-7.3658082019756321E-2</v>
      </c>
      <c r="BQ86" s="18">
        <f t="shared" si="240"/>
        <v>-10.17036569997437</v>
      </c>
      <c r="BR86" s="18">
        <f t="shared" si="240"/>
        <v>-0.25537094145121619</v>
      </c>
      <c r="BS86" s="18">
        <f t="shared" si="240"/>
        <v>-2.5441816406672424</v>
      </c>
      <c r="BT86" s="18">
        <f t="shared" si="241"/>
        <v>-2.3332896714015616</v>
      </c>
      <c r="BV86" s="18">
        <f t="shared" si="242"/>
        <v>-1.7871406944736878</v>
      </c>
      <c r="BW86" s="18">
        <f t="shared" si="243"/>
        <v>2.6463515006464267</v>
      </c>
      <c r="BX86" s="18">
        <f t="shared" si="244"/>
        <v>1.4587385835110656</v>
      </c>
      <c r="BZ86" t="str">
        <f t="shared" si="261"/>
        <v>23 Teaching and other educational professionals</v>
      </c>
      <c r="CA86" s="18">
        <f t="shared" si="245"/>
        <v>-0.78999429051420655</v>
      </c>
      <c r="CB86" s="18">
        <f t="shared" si="245"/>
        <v>0.50916977046067124</v>
      </c>
      <c r="CC86" s="18">
        <f t="shared" si="245"/>
        <v>-2.9238232103784734</v>
      </c>
      <c r="CD86" s="18">
        <f t="shared" si="245"/>
        <v>-5.2114469630764155</v>
      </c>
      <c r="CE86" s="18">
        <f t="shared" si="246"/>
        <v>-4.1520129652770077</v>
      </c>
      <c r="CG86" s="18">
        <f t="shared" si="247"/>
        <v>-4.4549591458341364</v>
      </c>
      <c r="CH86" s="18">
        <f t="shared" si="248"/>
        <v>2.0563131207165242</v>
      </c>
      <c r="CI86" s="18">
        <f t="shared" si="249"/>
        <v>-0.98618407581519962</v>
      </c>
      <c r="CK86" t="str">
        <f t="shared" si="262"/>
        <v>23 Teaching and other educational professionals</v>
      </c>
      <c r="CL86" s="18">
        <f t="shared" si="250"/>
        <v>1.3907647437557458</v>
      </c>
      <c r="CM86" s="18">
        <f t="shared" si="250"/>
        <v>38.485174598953861</v>
      </c>
      <c r="CN86" s="18">
        <f t="shared" si="250"/>
        <v>-4.7318743724075185</v>
      </c>
      <c r="CO86" s="18">
        <f t="shared" si="250"/>
        <v>-2.409326062137751</v>
      </c>
      <c r="CP86" s="18">
        <f t="shared" si="251"/>
        <v>-0.99912458523990777</v>
      </c>
      <c r="CR86" s="18">
        <f t="shared" si="252"/>
        <v>-3.1897329045173173</v>
      </c>
      <c r="CS86" s="18">
        <f t="shared" si="253"/>
        <v>1.9470876579992913</v>
      </c>
      <c r="CT86" s="18">
        <f t="shared" si="254"/>
        <v>-0.33887127704038678</v>
      </c>
    </row>
    <row r="87" spans="1:98" x14ac:dyDescent="0.25">
      <c r="A87" t="str">
        <f t="shared" si="209"/>
        <v>24 Business, media and public service professionals</v>
      </c>
      <c r="B87" s="18">
        <f t="shared" si="210"/>
        <v>8.6434554894915685</v>
      </c>
      <c r="C87" s="18">
        <f t="shared" si="210"/>
        <v>1.3458531779478644</v>
      </c>
      <c r="D87" s="18">
        <f t="shared" si="210"/>
        <v>7.1134700857704125</v>
      </c>
      <c r="E87" s="18">
        <f t="shared" si="210"/>
        <v>4.5712068752274959</v>
      </c>
      <c r="F87" s="18">
        <f t="shared" si="211"/>
        <v>5.1530143892776881</v>
      </c>
      <c r="H87" s="18">
        <f t="shared" si="212"/>
        <v>5.4118519142798416</v>
      </c>
      <c r="I87" s="18">
        <f t="shared" si="213"/>
        <v>3.8737876326319975</v>
      </c>
      <c r="J87" s="18">
        <f t="shared" si="214"/>
        <v>7.534363854413062</v>
      </c>
      <c r="L87" t="str">
        <f t="shared" si="255"/>
        <v>24 Business, media and public service professionals</v>
      </c>
      <c r="M87" s="18">
        <f t="shared" si="215"/>
        <v>9.8198036830495781</v>
      </c>
      <c r="N87" s="18">
        <f t="shared" si="215"/>
        <v>0.37229557517968193</v>
      </c>
      <c r="O87" s="18">
        <f t="shared" si="215"/>
        <v>5.4330308797762239</v>
      </c>
      <c r="P87" s="18">
        <f t="shared" si="215"/>
        <v>3.5222986755327756</v>
      </c>
      <c r="Q87" s="18">
        <f t="shared" si="216"/>
        <v>3.9147683581623349</v>
      </c>
      <c r="S87" s="18">
        <f t="shared" si="217"/>
        <v>4.1553305725914091</v>
      </c>
      <c r="T87" s="18">
        <f t="shared" si="218"/>
        <v>3.5413012166265911</v>
      </c>
      <c r="U87" s="18">
        <f t="shared" si="219"/>
        <v>6.3755280969811867</v>
      </c>
      <c r="W87" t="str">
        <f t="shared" si="256"/>
        <v>24 Business, media and public service professionals</v>
      </c>
      <c r="X87" s="18">
        <f t="shared" si="220"/>
        <v>-0.14913940666179126</v>
      </c>
      <c r="Y87" s="18">
        <f t="shared" si="220"/>
        <v>17.505128621238896</v>
      </c>
      <c r="Z87" s="18">
        <f t="shared" si="220"/>
        <v>1.837431582352389</v>
      </c>
      <c r="AA87" s="18">
        <f t="shared" si="220"/>
        <v>0.98858652071149855</v>
      </c>
      <c r="AB87" s="18">
        <f t="shared" si="221"/>
        <v>2.2162182695680599</v>
      </c>
      <c r="AD87" s="18">
        <f t="shared" si="222"/>
        <v>1.270745795298045</v>
      </c>
      <c r="AE87" s="18">
        <f t="shared" si="223"/>
        <v>3.1424034845748405</v>
      </c>
      <c r="AF87" s="18">
        <f t="shared" si="224"/>
        <v>3.9930118529748038</v>
      </c>
      <c r="AH87" t="str">
        <f t="shared" si="257"/>
        <v>24 Business, media and public service professionals</v>
      </c>
      <c r="AI87" s="18">
        <f t="shared" si="225"/>
        <v>-2.4176249217514933</v>
      </c>
      <c r="AJ87" s="18">
        <f t="shared" si="225"/>
        <v>19.113446965032075</v>
      </c>
      <c r="AK87" s="18">
        <f t="shared" si="225"/>
        <v>-0.80801090766546846</v>
      </c>
      <c r="AL87" s="18">
        <f t="shared" si="225"/>
        <v>0.36619480520847514</v>
      </c>
      <c r="AM87" s="18">
        <f t="shared" si="226"/>
        <v>1.0738127564712707</v>
      </c>
      <c r="AO87" s="18">
        <f t="shared" si="227"/>
        <v>-2.6743462873723978E-2</v>
      </c>
      <c r="AP87" s="18">
        <f t="shared" si="228"/>
        <v>2.150155018335087</v>
      </c>
      <c r="AQ87" s="18">
        <f t="shared" si="229"/>
        <v>2.1303101196100904</v>
      </c>
      <c r="AS87" t="str">
        <f t="shared" si="258"/>
        <v>24 Business, media and public service professionals</v>
      </c>
      <c r="AT87" s="18">
        <f t="shared" si="230"/>
        <v>-1.3567240675602332</v>
      </c>
      <c r="AU87" s="18">
        <f t="shared" si="230"/>
        <v>17.367628355289622</v>
      </c>
      <c r="AV87" s="18">
        <f t="shared" si="230"/>
        <v>1.3908327201378912</v>
      </c>
      <c r="AW87" s="18">
        <f t="shared" si="230"/>
        <v>0.94852840818404616</v>
      </c>
      <c r="AX87" s="18">
        <f t="shared" si="231"/>
        <v>2.0431499661388353</v>
      </c>
      <c r="AZ87" s="18">
        <f t="shared" si="232"/>
        <v>1.0957483737788598</v>
      </c>
      <c r="BA87" s="18">
        <f t="shared" si="233"/>
        <v>2.899655319857386</v>
      </c>
      <c r="BB87" s="18">
        <f t="shared" si="234"/>
        <v>3.6532348820369265</v>
      </c>
      <c r="BD87" t="str">
        <f t="shared" si="259"/>
        <v>24 Business, media and public service professionals</v>
      </c>
      <c r="BE87" s="18">
        <f t="shared" si="235"/>
        <v>5.097305109679251</v>
      </c>
      <c r="BF87" s="18">
        <f t="shared" si="235"/>
        <v>10.033170554788917</v>
      </c>
      <c r="BG87" s="18">
        <f t="shared" si="235"/>
        <v>2.2199609116148489</v>
      </c>
      <c r="BH87" s="18">
        <f t="shared" si="235"/>
        <v>0.86298808020146556</v>
      </c>
      <c r="BI87" s="18">
        <f t="shared" si="236"/>
        <v>1.8374532671124877</v>
      </c>
      <c r="BK87" s="18">
        <f t="shared" si="237"/>
        <v>1.3132989168389342</v>
      </c>
      <c r="BL87" s="18">
        <f t="shared" si="238"/>
        <v>2.6633101447595564</v>
      </c>
      <c r="BM87" s="18">
        <f t="shared" si="239"/>
        <v>3.5987112635351037</v>
      </c>
      <c r="BO87" t="str">
        <f t="shared" si="260"/>
        <v>24 Business, media and public service professionals</v>
      </c>
      <c r="BP87" s="18">
        <f t="shared" si="240"/>
        <v>2.0778490422186824</v>
      </c>
      <c r="BQ87" s="18">
        <f t="shared" si="240"/>
        <v>-2.1692128656440102</v>
      </c>
      <c r="BR87" s="18">
        <f t="shared" si="240"/>
        <v>0.74209206750484036</v>
      </c>
      <c r="BS87" s="18">
        <f t="shared" si="240"/>
        <v>-1.5134754497452163</v>
      </c>
      <c r="BT87" s="18">
        <f t="shared" si="241"/>
        <v>-0.8554933610327109</v>
      </c>
      <c r="BV87" s="18">
        <f t="shared" si="242"/>
        <v>-0.7672874193114021</v>
      </c>
      <c r="BW87" s="18">
        <f t="shared" si="243"/>
        <v>2.4113551500666519</v>
      </c>
      <c r="BX87" s="18">
        <f t="shared" si="244"/>
        <v>1.8707428461548714</v>
      </c>
      <c r="BZ87" t="str">
        <f t="shared" si="261"/>
        <v>24 Business, media and public service professionals</v>
      </c>
      <c r="CA87" s="18">
        <f t="shared" si="245"/>
        <v>0.9280000967226476</v>
      </c>
      <c r="CB87" s="18">
        <f t="shared" si="245"/>
        <v>5.1948906087059932</v>
      </c>
      <c r="CC87" s="18">
        <f t="shared" si="245"/>
        <v>-1.8855817116647078</v>
      </c>
      <c r="CD87" s="18">
        <f t="shared" si="245"/>
        <v>-4.3273079260230833</v>
      </c>
      <c r="CE87" s="18">
        <f t="shared" si="246"/>
        <v>-2.9973335834074799</v>
      </c>
      <c r="CG87" s="18">
        <f t="shared" si="247"/>
        <v>-3.5202267544018229</v>
      </c>
      <c r="CH87" s="18">
        <f t="shared" si="248"/>
        <v>1.8741244987993344</v>
      </c>
      <c r="CI87" s="18">
        <f t="shared" si="249"/>
        <v>-0.66073222137655874</v>
      </c>
      <c r="CK87" t="str">
        <f t="shared" si="262"/>
        <v>24 Business, media and public service professionals</v>
      </c>
      <c r="CL87" s="18">
        <f t="shared" si="250"/>
        <v>0.59156765853729532</v>
      </c>
      <c r="CM87" s="18">
        <f t="shared" si="250"/>
        <v>21.353917198244599</v>
      </c>
      <c r="CN87" s="18">
        <f t="shared" si="250"/>
        <v>-5.5852540381390643</v>
      </c>
      <c r="CO87" s="18">
        <f t="shared" si="250"/>
        <v>-2.6298742246605555</v>
      </c>
      <c r="CP87" s="18">
        <f t="shared" si="251"/>
        <v>-2.2268987134800744</v>
      </c>
      <c r="CR87" s="18">
        <f t="shared" si="252"/>
        <v>-3.625139231055674</v>
      </c>
      <c r="CS87" s="18">
        <f t="shared" si="253"/>
        <v>1.5788489474335421</v>
      </c>
      <c r="CT87" s="18">
        <f t="shared" si="254"/>
        <v>-1.158764157111114</v>
      </c>
    </row>
    <row r="88" spans="1:98" x14ac:dyDescent="0.25">
      <c r="A88" t="str">
        <f t="shared" si="209"/>
        <v>31 Science, engineering and technology associate professionals</v>
      </c>
      <c r="B88" s="18">
        <f t="shared" si="210"/>
        <v>6.439265575065245</v>
      </c>
      <c r="C88" s="18">
        <f t="shared" si="210"/>
        <v>-4.3723417142285221</v>
      </c>
      <c r="D88" s="18">
        <f t="shared" si="210"/>
        <v>3.8501925652490776</v>
      </c>
      <c r="E88" s="18">
        <f t="shared" si="210"/>
        <v>5.0382126309864939</v>
      </c>
      <c r="F88" s="18">
        <f t="shared" si="211"/>
        <v>4.0532932737142424</v>
      </c>
      <c r="H88" s="18">
        <f t="shared" si="212"/>
        <v>4.6407034969866201</v>
      </c>
      <c r="I88" s="18">
        <f t="shared" si="213"/>
        <v>3.314730897862983</v>
      </c>
      <c r="J88" s="18">
        <f t="shared" si="214"/>
        <v>6.5928038958657176</v>
      </c>
      <c r="L88" t="str">
        <f t="shared" si="255"/>
        <v>31 Science, engineering and technology associate professionals</v>
      </c>
      <c r="M88" s="18">
        <f t="shared" si="215"/>
        <v>8.4708807831487931</v>
      </c>
      <c r="N88" s="18">
        <f t="shared" si="215"/>
        <v>-4.3709089764052305</v>
      </c>
      <c r="O88" s="18">
        <f t="shared" si="215"/>
        <v>1.1456972665935927</v>
      </c>
      <c r="P88" s="18">
        <f t="shared" si="215"/>
        <v>3.3787609085867309</v>
      </c>
      <c r="Q88" s="18">
        <f t="shared" si="216"/>
        <v>2.1768523461390021</v>
      </c>
      <c r="S88" s="18">
        <f t="shared" si="217"/>
        <v>2.6289815526314486</v>
      </c>
      <c r="T88" s="18">
        <f t="shared" si="218"/>
        <v>2.6848972337662591</v>
      </c>
      <c r="U88" s="18">
        <f t="shared" si="219"/>
        <v>4.6021808508500905</v>
      </c>
      <c r="W88" t="str">
        <f t="shared" si="256"/>
        <v>31 Science, engineering and technology associate professionals</v>
      </c>
      <c r="X88" s="18">
        <f t="shared" si="220"/>
        <v>-0.68248529036049055</v>
      </c>
      <c r="Y88" s="18">
        <f t="shared" si="220"/>
        <v>10.91594746079576</v>
      </c>
      <c r="Z88" s="18">
        <f t="shared" si="220"/>
        <v>-2.177114548744874</v>
      </c>
      <c r="AA88" s="18">
        <f t="shared" si="220"/>
        <v>0.80346450633910216</v>
      </c>
      <c r="AB88" s="18">
        <f t="shared" si="221"/>
        <v>0.46086950958192929</v>
      </c>
      <c r="AD88" s="18">
        <f t="shared" si="222"/>
        <v>-0.20001821078187154</v>
      </c>
      <c r="AE88" s="18">
        <f t="shared" si="223"/>
        <v>2.325501702168653</v>
      </c>
      <c r="AF88" s="18">
        <f t="shared" si="224"/>
        <v>2.181121009577458</v>
      </c>
      <c r="AH88" t="str">
        <f t="shared" si="257"/>
        <v>31 Science, engineering and technology associate professionals</v>
      </c>
      <c r="AI88" s="18">
        <f t="shared" si="225"/>
        <v>1.154704374712523</v>
      </c>
      <c r="AJ88" s="18">
        <f t="shared" si="225"/>
        <v>17.830096063181621</v>
      </c>
      <c r="AK88" s="18">
        <f t="shared" si="225"/>
        <v>-0.7032217322181622</v>
      </c>
      <c r="AL88" s="18">
        <f t="shared" si="225"/>
        <v>2.4875185464153127</v>
      </c>
      <c r="AM88" s="18">
        <f t="shared" si="226"/>
        <v>2.3682107633137495</v>
      </c>
      <c r="AO88" s="18">
        <f t="shared" si="227"/>
        <v>1.4127060263963154</v>
      </c>
      <c r="AP88" s="18">
        <f t="shared" si="228"/>
        <v>2.6807419658879672</v>
      </c>
      <c r="AQ88" s="18">
        <f t="shared" si="229"/>
        <v>3.6868003825968332</v>
      </c>
      <c r="AS88" t="str">
        <f t="shared" si="258"/>
        <v>31 Science, engineering and technology associate professionals</v>
      </c>
      <c r="AT88" s="18">
        <f t="shared" si="230"/>
        <v>-1.5727406645812514</v>
      </c>
      <c r="AU88" s="18">
        <f t="shared" si="230"/>
        <v>8.7062414671453823</v>
      </c>
      <c r="AV88" s="18">
        <f t="shared" si="230"/>
        <v>-4.3695886801759176</v>
      </c>
      <c r="AW88" s="18">
        <f t="shared" si="230"/>
        <v>-0.29368574422753424</v>
      </c>
      <c r="AX88" s="18">
        <f t="shared" si="231"/>
        <v>-1.0527276945692776</v>
      </c>
      <c r="AZ88" s="18">
        <f t="shared" si="232"/>
        <v>-1.6712655589234404</v>
      </c>
      <c r="BA88" s="18">
        <f t="shared" si="233"/>
        <v>1.7829095497541747</v>
      </c>
      <c r="BB88" s="18">
        <f t="shared" si="234"/>
        <v>0.51533763244047126</v>
      </c>
      <c r="BD88" t="str">
        <f t="shared" si="259"/>
        <v>31 Science, engineering and technology associate professionals</v>
      </c>
      <c r="BE88" s="18">
        <f t="shared" si="235"/>
        <v>0.22395300641600002</v>
      </c>
      <c r="BF88" s="18">
        <f t="shared" si="235"/>
        <v>8.4428204876312307</v>
      </c>
      <c r="BG88" s="18">
        <f t="shared" si="235"/>
        <v>-4.7474130465035014</v>
      </c>
      <c r="BH88" s="18">
        <f t="shared" si="235"/>
        <v>-1.5547204966577466</v>
      </c>
      <c r="BI88" s="18">
        <f t="shared" si="236"/>
        <v>-1.972967877204046</v>
      </c>
      <c r="BK88" s="18">
        <f t="shared" si="237"/>
        <v>-2.6306679615005324</v>
      </c>
      <c r="BL88" s="18">
        <f t="shared" si="238"/>
        <v>1.5669161592015035</v>
      </c>
      <c r="BM88" s="18">
        <f t="shared" si="239"/>
        <v>-0.46090277105793609</v>
      </c>
      <c r="BO88" t="str">
        <f t="shared" si="260"/>
        <v>31 Science, engineering and technology associate professionals</v>
      </c>
      <c r="BP88" s="18">
        <f t="shared" si="240"/>
        <v>3.4325399121748923</v>
      </c>
      <c r="BQ88" s="18">
        <f t="shared" si="240"/>
        <v>2.7815238105442619</v>
      </c>
      <c r="BR88" s="18">
        <f t="shared" si="240"/>
        <v>-2.8417716267003956</v>
      </c>
      <c r="BS88" s="18">
        <f t="shared" si="240"/>
        <v>-0.76291824364611571</v>
      </c>
      <c r="BT88" s="18">
        <f t="shared" si="241"/>
        <v>-1.2008286488338071</v>
      </c>
      <c r="BV88" s="18">
        <f t="shared" si="242"/>
        <v>-1.4607652112406222</v>
      </c>
      <c r="BW88" s="18">
        <f t="shared" si="243"/>
        <v>1.9154252670341876</v>
      </c>
      <c r="BX88" s="18">
        <f t="shared" si="244"/>
        <v>0.82499945879510594</v>
      </c>
      <c r="BZ88" t="str">
        <f t="shared" si="261"/>
        <v>31 Science, engineering and technology associate professionals</v>
      </c>
      <c r="CA88" s="18">
        <f t="shared" si="245"/>
        <v>0.99539563088768546</v>
      </c>
      <c r="CB88" s="18">
        <f t="shared" si="245"/>
        <v>16.71661724337843</v>
      </c>
      <c r="CC88" s="18">
        <f t="shared" si="245"/>
        <v>-6.4181620252835021</v>
      </c>
      <c r="CD88" s="18">
        <f t="shared" si="245"/>
        <v>-2.7136483159313607</v>
      </c>
      <c r="CE88" s="18">
        <f t="shared" si="246"/>
        <v>-2.7867175809340172</v>
      </c>
      <c r="CG88" s="18">
        <f t="shared" si="247"/>
        <v>-3.9645000201226299</v>
      </c>
      <c r="CH88" s="18">
        <f t="shared" si="248"/>
        <v>1.4791119937863195</v>
      </c>
      <c r="CI88" s="18">
        <f t="shared" si="249"/>
        <v>-1.5469203411895727</v>
      </c>
      <c r="CK88" t="str">
        <f t="shared" si="262"/>
        <v>31 Science, engineering and technology associate professionals</v>
      </c>
      <c r="CL88" s="18">
        <f t="shared" si="250"/>
        <v>2.0146718281228715</v>
      </c>
      <c r="CM88" s="18">
        <f t="shared" si="250"/>
        <v>32.56311347450405</v>
      </c>
      <c r="CN88" s="18">
        <f t="shared" si="250"/>
        <v>-4.8584370122636837</v>
      </c>
      <c r="CO88" s="18">
        <f t="shared" si="250"/>
        <v>1.148284137943878</v>
      </c>
      <c r="CP88" s="18">
        <f t="shared" si="251"/>
        <v>0.92324510241375002</v>
      </c>
      <c r="CR88" s="18">
        <f t="shared" si="252"/>
        <v>-0.89495254284163162</v>
      </c>
      <c r="CS88" s="18">
        <f t="shared" si="253"/>
        <v>1.8922790411706192</v>
      </c>
      <c r="CT88" s="18">
        <f t="shared" si="254"/>
        <v>1.2147597244943631</v>
      </c>
    </row>
    <row r="89" spans="1:98" x14ac:dyDescent="0.25">
      <c r="A89" t="str">
        <f t="shared" si="209"/>
        <v>32 Health and social care associate professionals</v>
      </c>
      <c r="B89" s="18">
        <f t="shared" si="210"/>
        <v>11.368047108056878</v>
      </c>
      <c r="C89" s="18">
        <f t="shared" si="210"/>
        <v>-10.677728968353705</v>
      </c>
      <c r="D89" s="18">
        <f t="shared" si="210"/>
        <v>7.5312629704778367</v>
      </c>
      <c r="E89" s="18">
        <f t="shared" si="210"/>
        <v>6.9294375895133875</v>
      </c>
      <c r="F89" s="18">
        <f t="shared" si="211"/>
        <v>5.9193714124946117</v>
      </c>
      <c r="H89" s="18">
        <f t="shared" si="212"/>
        <v>7.1296708641879647</v>
      </c>
      <c r="I89" s="18">
        <f t="shared" si="213"/>
        <v>4.7978983408684561</v>
      </c>
      <c r="J89" s="18">
        <f t="shared" si="214"/>
        <v>9.3641011923530026</v>
      </c>
      <c r="L89" t="str">
        <f t="shared" si="255"/>
        <v>32 Health and social care associate professionals</v>
      </c>
      <c r="M89" s="18">
        <f t="shared" si="215"/>
        <v>14.301139562635235</v>
      </c>
      <c r="N89" s="18">
        <f t="shared" si="215"/>
        <v>2.7096236271271001</v>
      </c>
      <c r="O89" s="18">
        <f t="shared" si="215"/>
        <v>5.7626405823197002</v>
      </c>
      <c r="P89" s="18">
        <f t="shared" si="215"/>
        <v>5.9019454357008616</v>
      </c>
      <c r="Q89" s="18">
        <f t="shared" si="216"/>
        <v>5.6560807319658624</v>
      </c>
      <c r="S89" s="18">
        <f t="shared" si="217"/>
        <v>5.8554901092938039</v>
      </c>
      <c r="T89" s="18">
        <f t="shared" si="218"/>
        <v>4.2781625324052275</v>
      </c>
      <c r="U89" s="18">
        <f t="shared" si="219"/>
        <v>8.1135793956474966</v>
      </c>
      <c r="W89" t="str">
        <f t="shared" si="256"/>
        <v>32 Health and social care associate professionals</v>
      </c>
      <c r="X89" s="18">
        <f t="shared" si="220"/>
        <v>5.1658933890398773</v>
      </c>
      <c r="Y89" s="18">
        <f t="shared" si="220"/>
        <v>11.385269995301762</v>
      </c>
      <c r="Z89" s="18">
        <f t="shared" si="220"/>
        <v>2.1703715183212013</v>
      </c>
      <c r="AA89" s="18">
        <f t="shared" si="220"/>
        <v>1.8526156786325521</v>
      </c>
      <c r="AB89" s="18">
        <f t="shared" si="221"/>
        <v>2.5234956911488471</v>
      </c>
      <c r="AD89" s="18">
        <f t="shared" si="222"/>
        <v>1.958424335445641</v>
      </c>
      <c r="AE89" s="18">
        <f t="shared" si="223"/>
        <v>3.8383458932240488</v>
      </c>
      <c r="AF89" s="18">
        <f t="shared" si="224"/>
        <v>5.0608398745644712</v>
      </c>
      <c r="AH89" t="str">
        <f t="shared" si="257"/>
        <v>32 Health and social care associate professionals</v>
      </c>
      <c r="AI89" s="18">
        <f t="shared" si="225"/>
        <v>-1.7662528659250776</v>
      </c>
      <c r="AJ89" s="18">
        <f t="shared" si="225"/>
        <v>5.5443542588081041</v>
      </c>
      <c r="AK89" s="18">
        <f t="shared" si="225"/>
        <v>-5.3860340198994656</v>
      </c>
      <c r="AL89" s="18">
        <f t="shared" si="225"/>
        <v>-4.822776561909647</v>
      </c>
      <c r="AM89" s="18">
        <f t="shared" si="226"/>
        <v>-4.3832787890225049</v>
      </c>
      <c r="AO89" s="18">
        <f t="shared" si="227"/>
        <v>-5.0109006426127252</v>
      </c>
      <c r="AP89" s="18">
        <f t="shared" si="228"/>
        <v>1.7884235183638797</v>
      </c>
      <c r="AQ89" s="18">
        <f t="shared" si="229"/>
        <v>-1.7521441870555599</v>
      </c>
      <c r="AS89" t="str">
        <f t="shared" si="258"/>
        <v>32 Health and social care associate professionals</v>
      </c>
      <c r="AT89" s="18">
        <f t="shared" si="230"/>
        <v>2.2753671743360293</v>
      </c>
      <c r="AU89" s="18">
        <f t="shared" si="230"/>
        <v>17.140813407048228</v>
      </c>
      <c r="AV89" s="18">
        <f t="shared" si="230"/>
        <v>-0.96605299314267423</v>
      </c>
      <c r="AW89" s="18">
        <f t="shared" si="230"/>
        <v>0.99666641870934658</v>
      </c>
      <c r="AX89" s="18">
        <f t="shared" si="231"/>
        <v>1.3138203010079508</v>
      </c>
      <c r="AZ89" s="18">
        <f t="shared" si="232"/>
        <v>0.338142199736291</v>
      </c>
      <c r="BA89" s="18">
        <f t="shared" si="233"/>
        <v>3.0294351194053215</v>
      </c>
      <c r="BB89" s="18">
        <f t="shared" si="234"/>
        <v>3.2539844540018459</v>
      </c>
      <c r="BD89" t="str">
        <f t="shared" si="259"/>
        <v>32 Health and social care associate professionals</v>
      </c>
      <c r="BE89" s="18">
        <f t="shared" si="235"/>
        <v>8.6479795585048471</v>
      </c>
      <c r="BF89" s="18">
        <f t="shared" si="235"/>
        <v>-5.1967130465839562</v>
      </c>
      <c r="BG89" s="18">
        <f t="shared" si="235"/>
        <v>0.91210309743909868</v>
      </c>
      <c r="BH89" s="18">
        <f t="shared" si="235"/>
        <v>0.29441725811971686</v>
      </c>
      <c r="BI89" s="18">
        <f t="shared" si="236"/>
        <v>0.13403219957248691</v>
      </c>
      <c r="BK89" s="18">
        <f t="shared" si="237"/>
        <v>0.49989129399468091</v>
      </c>
      <c r="BL89" s="18">
        <f t="shared" si="238"/>
        <v>3.1928244810355277</v>
      </c>
      <c r="BM89" s="18">
        <f t="shared" si="239"/>
        <v>3.5189682586890036</v>
      </c>
      <c r="BO89" t="str">
        <f t="shared" si="260"/>
        <v>32 Health and social care associate professionals</v>
      </c>
      <c r="BP89" s="18">
        <f t="shared" si="240"/>
        <v>5.5813430333319314</v>
      </c>
      <c r="BQ89" s="18">
        <f t="shared" si="240"/>
        <v>-17.241837238963388</v>
      </c>
      <c r="BR89" s="18">
        <f t="shared" si="240"/>
        <v>0.17400885779355058</v>
      </c>
      <c r="BS89" s="18">
        <f t="shared" si="240"/>
        <v>-2.2927871304758818</v>
      </c>
      <c r="BT89" s="18">
        <f t="shared" si="241"/>
        <v>-2.5451914551401167</v>
      </c>
      <c r="BV89" s="18">
        <f t="shared" si="242"/>
        <v>-1.4773462073599419</v>
      </c>
      <c r="BW89" s="18">
        <f t="shared" si="243"/>
        <v>2.8068520106649064</v>
      </c>
      <c r="BX89" s="18">
        <f t="shared" si="244"/>
        <v>1.8404104623570339</v>
      </c>
      <c r="BZ89" t="str">
        <f t="shared" si="261"/>
        <v>32 Health and social care associate professionals</v>
      </c>
      <c r="CA89" s="18">
        <f t="shared" si="245"/>
        <v>0.30591965205126748</v>
      </c>
      <c r="CB89" s="18">
        <f t="shared" si="245"/>
        <v>-17.515637719877887</v>
      </c>
      <c r="CC89" s="18">
        <f t="shared" si="245"/>
        <v>-4.5996074509481177</v>
      </c>
      <c r="CD89" s="18">
        <f t="shared" si="245"/>
        <v>-5.8075454868142256</v>
      </c>
      <c r="CE89" s="18">
        <f t="shared" si="246"/>
        <v>-6.2129829338567921</v>
      </c>
      <c r="CG89" s="18">
        <f t="shared" si="247"/>
        <v>-5.4066085134376056</v>
      </c>
      <c r="CH89" s="18">
        <f t="shared" si="248"/>
        <v>1.780792932966957</v>
      </c>
      <c r="CI89" s="18">
        <f t="shared" si="249"/>
        <v>-2.0090095806668984</v>
      </c>
      <c r="CK89" t="str">
        <f t="shared" si="262"/>
        <v>32 Health and social care associate professionals</v>
      </c>
      <c r="CL89" s="18">
        <f t="shared" si="250"/>
        <v>0.67733342017344267</v>
      </c>
      <c r="CM89" s="18">
        <f t="shared" si="250"/>
        <v>18.047200975142186</v>
      </c>
      <c r="CN89" s="18">
        <f t="shared" si="250"/>
        <v>-5.4080507204149697</v>
      </c>
      <c r="CO89" s="18">
        <f t="shared" si="250"/>
        <v>-0.33938111425471096</v>
      </c>
      <c r="CP89" s="18">
        <f t="shared" si="251"/>
        <v>-0.90878626339693236</v>
      </c>
      <c r="CR89" s="18">
        <f t="shared" si="252"/>
        <v>-2.0584186978872654</v>
      </c>
      <c r="CS89" s="18">
        <f t="shared" si="253"/>
        <v>1.8782156791790072</v>
      </c>
      <c r="CT89" s="18">
        <f t="shared" si="254"/>
        <v>0.35096226772697303</v>
      </c>
    </row>
    <row r="90" spans="1:98" x14ac:dyDescent="0.25">
      <c r="A90" t="str">
        <f t="shared" si="209"/>
        <v>33 Protective service occupations</v>
      </c>
      <c r="B90" s="18">
        <f t="shared" si="210"/>
        <v>10.621098710252541</v>
      </c>
      <c r="C90" s="18">
        <f t="shared" si="210"/>
        <v>-9.498812361605502</v>
      </c>
      <c r="D90" s="18">
        <f t="shared" si="210"/>
        <v>10.229363940230396</v>
      </c>
      <c r="E90" s="18">
        <f t="shared" si="210"/>
        <v>6.2077003853305834</v>
      </c>
      <c r="F90" s="18">
        <f t="shared" si="211"/>
        <v>6.3790977560647111</v>
      </c>
      <c r="H90" s="18">
        <f t="shared" si="212"/>
        <v>7.5316816205614368</v>
      </c>
      <c r="I90" s="18">
        <f t="shared" si="213"/>
        <v>3.7885773237502418</v>
      </c>
      <c r="J90" s="18">
        <f t="shared" si="214"/>
        <v>9.1507543827878948</v>
      </c>
      <c r="L90" t="str">
        <f t="shared" si="255"/>
        <v>33 Protective service occupations</v>
      </c>
      <c r="M90" s="18">
        <f t="shared" si="215"/>
        <v>8.2503886059804632</v>
      </c>
      <c r="N90" s="18">
        <f t="shared" si="215"/>
        <v>-7.4560490625237286</v>
      </c>
      <c r="O90" s="18">
        <f t="shared" si="215"/>
        <v>9.3324538536735382</v>
      </c>
      <c r="P90" s="18">
        <f t="shared" si="215"/>
        <v>5.7825274102343727</v>
      </c>
      <c r="Q90" s="18">
        <f t="shared" si="216"/>
        <v>5.9899181159595916</v>
      </c>
      <c r="S90" s="18">
        <f t="shared" si="217"/>
        <v>6.9528408417161014</v>
      </c>
      <c r="T90" s="18">
        <f t="shared" si="218"/>
        <v>3.2346719653935985</v>
      </c>
      <c r="U90" s="18">
        <f t="shared" si="219"/>
        <v>8.3997263275565679</v>
      </c>
      <c r="W90" t="str">
        <f t="shared" si="256"/>
        <v>33 Protective service occupations</v>
      </c>
      <c r="X90" s="18">
        <f t="shared" si="220"/>
        <v>3.8873821923690599E-2</v>
      </c>
      <c r="Y90" s="18">
        <f t="shared" si="220"/>
        <v>17.895546612594181</v>
      </c>
      <c r="Z90" s="18">
        <f t="shared" si="220"/>
        <v>5.5430209621724957</v>
      </c>
      <c r="AA90" s="18">
        <f t="shared" si="220"/>
        <v>3.8706595829275381</v>
      </c>
      <c r="AB90" s="18">
        <f t="shared" si="221"/>
        <v>5.2200172531297051</v>
      </c>
      <c r="AD90" s="18">
        <f t="shared" si="222"/>
        <v>4.4251481053663388</v>
      </c>
      <c r="AE90" s="18">
        <f t="shared" si="223"/>
        <v>3.3198824630810364</v>
      </c>
      <c r="AF90" s="18">
        <f t="shared" si="224"/>
        <v>6.430379687400456</v>
      </c>
      <c r="AH90" t="str">
        <f t="shared" si="257"/>
        <v>33 Protective service occupations</v>
      </c>
      <c r="AI90" s="18">
        <f t="shared" si="225"/>
        <v>-0.57975225391765361</v>
      </c>
      <c r="AJ90" s="18">
        <f t="shared" si="225"/>
        <v>15.986425007720673</v>
      </c>
      <c r="AK90" s="18">
        <f t="shared" si="225"/>
        <v>5.2719796604560054</v>
      </c>
      <c r="AL90" s="18">
        <f t="shared" si="225"/>
        <v>3.5126991585280765</v>
      </c>
      <c r="AM90" s="18">
        <f t="shared" si="226"/>
        <v>4.8019142555687511</v>
      </c>
      <c r="AO90" s="18">
        <f t="shared" si="227"/>
        <v>4.0958347474095769</v>
      </c>
      <c r="AP90" s="18">
        <f t="shared" si="228"/>
        <v>2.8988047127611827</v>
      </c>
      <c r="AQ90" s="18">
        <f t="shared" si="229"/>
        <v>5.8949035220029922</v>
      </c>
      <c r="AS90" t="str">
        <f t="shared" si="258"/>
        <v>33 Protective service occupations</v>
      </c>
      <c r="AT90" s="18">
        <f t="shared" si="230"/>
        <v>-2.8343527785695377</v>
      </c>
      <c r="AU90" s="18">
        <f t="shared" si="230"/>
        <v>13.099593435161028</v>
      </c>
      <c r="AV90" s="18">
        <f t="shared" si="230"/>
        <v>2.6035943745191137</v>
      </c>
      <c r="AW90" s="18">
        <f t="shared" si="230"/>
        <v>1.8992087083734566</v>
      </c>
      <c r="AX90" s="18">
        <f t="shared" si="231"/>
        <v>2.7865707855084798</v>
      </c>
      <c r="AZ90" s="18">
        <f t="shared" si="232"/>
        <v>2.1334649855605958</v>
      </c>
      <c r="BA90" s="18">
        <f t="shared" si="233"/>
        <v>2.6101298374128001</v>
      </c>
      <c r="BB90" s="18">
        <f t="shared" si="234"/>
        <v>4.1652321553470761</v>
      </c>
      <c r="BD90" t="str">
        <f t="shared" si="259"/>
        <v>33 Protective service occupations</v>
      </c>
      <c r="BE90" s="18">
        <f t="shared" si="235"/>
        <v>-0.60065639083014544</v>
      </c>
      <c r="BF90" s="18">
        <f t="shared" si="235"/>
        <v>5.4709840324016268</v>
      </c>
      <c r="BG90" s="18">
        <f t="shared" si="235"/>
        <v>3.2343414719855801</v>
      </c>
      <c r="BH90" s="18">
        <f t="shared" si="235"/>
        <v>0.68124228105872486</v>
      </c>
      <c r="BI90" s="18">
        <f t="shared" si="236"/>
        <v>1.7674109367147528</v>
      </c>
      <c r="BK90" s="18">
        <f t="shared" si="237"/>
        <v>1.5251814379069861</v>
      </c>
      <c r="BL90" s="18">
        <f t="shared" si="238"/>
        <v>1.8003638631441499</v>
      </c>
      <c r="BM90" s="18">
        <f t="shared" si="239"/>
        <v>3.0168089341675142</v>
      </c>
      <c r="BO90" t="str">
        <f t="shared" si="260"/>
        <v>33 Protective service occupations</v>
      </c>
      <c r="BP90" s="18">
        <f t="shared" si="240"/>
        <v>0.85758614229107799</v>
      </c>
      <c r="BQ90" s="18">
        <f t="shared" si="240"/>
        <v>-2.7556995913393556</v>
      </c>
      <c r="BR90" s="18">
        <f t="shared" si="240"/>
        <v>3.5943687047051309</v>
      </c>
      <c r="BS90" s="18">
        <f t="shared" si="240"/>
        <v>-0.75412493713670203</v>
      </c>
      <c r="BT90" s="18">
        <f t="shared" si="241"/>
        <v>0.45680163889010306</v>
      </c>
      <c r="BV90" s="18">
        <f t="shared" si="242"/>
        <v>0.67470358812109499</v>
      </c>
      <c r="BW90" s="18">
        <f t="shared" si="243"/>
        <v>2.0607059918829274</v>
      </c>
      <c r="BX90" s="18">
        <f t="shared" si="244"/>
        <v>2.573999524567161</v>
      </c>
      <c r="BZ90" t="str">
        <f t="shared" si="261"/>
        <v>33 Protective service occupations</v>
      </c>
      <c r="CA90" s="18">
        <f t="shared" si="245"/>
        <v>-2.032563656398001</v>
      </c>
      <c r="CB90" s="18">
        <f t="shared" si="245"/>
        <v>3.3068935716970893</v>
      </c>
      <c r="CC90" s="18">
        <f t="shared" si="245"/>
        <v>0.62637277942190206</v>
      </c>
      <c r="CD90" s="18">
        <f t="shared" si="245"/>
        <v>-4.339096663993713</v>
      </c>
      <c r="CE90" s="18">
        <f t="shared" si="246"/>
        <v>-2.3461043272663962</v>
      </c>
      <c r="CG90" s="18">
        <f t="shared" si="247"/>
        <v>-2.7117799361583317</v>
      </c>
      <c r="CH90" s="18">
        <f t="shared" si="248"/>
        <v>1.8455390839033026</v>
      </c>
      <c r="CI90" s="18">
        <f t="shared" si="249"/>
        <v>-0.15031104871461309</v>
      </c>
      <c r="CK90" t="str">
        <f t="shared" si="262"/>
        <v>33 Protective service occupations</v>
      </c>
      <c r="CL90" s="18">
        <f t="shared" si="250"/>
        <v>-6.6530939476628692</v>
      </c>
      <c r="CM90" s="18">
        <f t="shared" si="250"/>
        <v>12.337382923998819</v>
      </c>
      <c r="CN90" s="18">
        <f t="shared" si="250"/>
        <v>-4.8522897491260819</v>
      </c>
      <c r="CO90" s="18">
        <f t="shared" si="250"/>
        <v>-2.0244187065927122</v>
      </c>
      <c r="CP90" s="18">
        <f t="shared" si="251"/>
        <v>-2.0834944198012684</v>
      </c>
      <c r="CR90" s="18">
        <f t="shared" si="252"/>
        <v>-2.9762596558805088</v>
      </c>
      <c r="CS90" s="18">
        <f t="shared" si="253"/>
        <v>1.1212871088869036</v>
      </c>
      <c r="CT90" s="18">
        <f t="shared" si="254"/>
        <v>-1.3332687021198053</v>
      </c>
    </row>
    <row r="91" spans="1:98" x14ac:dyDescent="0.25">
      <c r="A91" t="str">
        <f t="shared" si="209"/>
        <v>34 Culture, media and sports occupations</v>
      </c>
      <c r="B91" s="18">
        <f t="shared" si="210"/>
        <v>9.5203297947539021</v>
      </c>
      <c r="C91" s="18">
        <f t="shared" si="210"/>
        <v>2.3256307047338609</v>
      </c>
      <c r="D91" s="18">
        <f t="shared" si="210"/>
        <v>3.8079738855094636</v>
      </c>
      <c r="E91" s="18">
        <f t="shared" si="210"/>
        <v>3.7903781946686976</v>
      </c>
      <c r="F91" s="18">
        <f t="shared" si="211"/>
        <v>3.7037137444874579</v>
      </c>
      <c r="H91" s="18">
        <f t="shared" si="212"/>
        <v>3.7962430935339686</v>
      </c>
      <c r="I91" s="18">
        <f t="shared" si="213"/>
        <v>3.5042308698405522</v>
      </c>
      <c r="J91" s="18">
        <f t="shared" si="214"/>
        <v>6.083735561529835</v>
      </c>
      <c r="L91" t="str">
        <f t="shared" si="255"/>
        <v>34 Culture, media and sports occupations</v>
      </c>
      <c r="M91" s="18">
        <f t="shared" si="215"/>
        <v>7.8823078356346832</v>
      </c>
      <c r="N91" s="18">
        <f t="shared" si="215"/>
        <v>-0.38127549198171407</v>
      </c>
      <c r="O91" s="18">
        <f t="shared" si="215"/>
        <v>2.0071215734230874</v>
      </c>
      <c r="P91" s="18">
        <f t="shared" si="215"/>
        <v>3.1293137112235581</v>
      </c>
      <c r="Q91" s="18">
        <f t="shared" si="216"/>
        <v>2.5550781436678882</v>
      </c>
      <c r="S91" s="18">
        <f t="shared" si="217"/>
        <v>2.7538846220960922</v>
      </c>
      <c r="T91" s="18">
        <f t="shared" si="218"/>
        <v>3.1967612135874512</v>
      </c>
      <c r="U91" s="18">
        <f t="shared" si="219"/>
        <v>5.0914805603164526</v>
      </c>
      <c r="W91" t="str">
        <f t="shared" si="256"/>
        <v>34 Culture, media and sports occupations</v>
      </c>
      <c r="X91" s="18">
        <f t="shared" si="220"/>
        <v>-1.755990373497629</v>
      </c>
      <c r="Y91" s="18">
        <f t="shared" si="220"/>
        <v>5.0630582393631274</v>
      </c>
      <c r="Z91" s="18">
        <f t="shared" si="220"/>
        <v>-1.03829141023285</v>
      </c>
      <c r="AA91" s="18">
        <f t="shared" si="220"/>
        <v>0.96242173521654539</v>
      </c>
      <c r="AB91" s="18">
        <f t="shared" si="221"/>
        <v>0.58285811836058521</v>
      </c>
      <c r="AD91" s="18">
        <f t="shared" si="222"/>
        <v>0.29106298790735341</v>
      </c>
      <c r="AE91" s="18">
        <f t="shared" si="223"/>
        <v>2.6564984197753105</v>
      </c>
      <c r="AF91" s="18">
        <f t="shared" si="224"/>
        <v>2.8594657200253781</v>
      </c>
      <c r="AH91" t="str">
        <f t="shared" si="257"/>
        <v>34 Culture, media and sports occupations</v>
      </c>
      <c r="AI91" s="18">
        <f t="shared" si="225"/>
        <v>-4.9550604872154347</v>
      </c>
      <c r="AJ91" s="18">
        <f t="shared" si="225"/>
        <v>20.747855397302175</v>
      </c>
      <c r="AK91" s="18">
        <f t="shared" si="225"/>
        <v>-0.18291903438308887</v>
      </c>
      <c r="AL91" s="18">
        <f t="shared" si="225"/>
        <v>2.6840226850708193</v>
      </c>
      <c r="AM91" s="18">
        <f t="shared" si="226"/>
        <v>2.8154263485261843</v>
      </c>
      <c r="AO91" s="18">
        <f t="shared" si="227"/>
        <v>1.7193409671072413</v>
      </c>
      <c r="AP91" s="18">
        <f t="shared" si="228"/>
        <v>3.003366840319277</v>
      </c>
      <c r="AQ91" s="18">
        <f t="shared" si="229"/>
        <v>4.1869074710441545</v>
      </c>
      <c r="AS91" t="str">
        <f t="shared" si="258"/>
        <v>34 Culture, media and sports occupations</v>
      </c>
      <c r="AT91" s="18">
        <f t="shared" si="230"/>
        <v>-2.8706238977876608</v>
      </c>
      <c r="AU91" s="18">
        <f t="shared" si="230"/>
        <v>4.8200005665218981</v>
      </c>
      <c r="AV91" s="18">
        <f t="shared" si="230"/>
        <v>-2.6804108003507632</v>
      </c>
      <c r="AW91" s="18">
        <f t="shared" si="230"/>
        <v>0.36059085889055265</v>
      </c>
      <c r="AX91" s="18">
        <f t="shared" si="231"/>
        <v>-0.32933652111516443</v>
      </c>
      <c r="AZ91" s="18">
        <f t="shared" si="232"/>
        <v>-0.66349056450234478</v>
      </c>
      <c r="BA91" s="18">
        <f t="shared" si="233"/>
        <v>2.3923239778729455</v>
      </c>
      <c r="BB91" s="18">
        <f t="shared" si="234"/>
        <v>1.9225073183741337</v>
      </c>
      <c r="BD91" t="str">
        <f t="shared" si="259"/>
        <v>34 Culture, media and sports occupations</v>
      </c>
      <c r="BE91" s="18">
        <f t="shared" si="235"/>
        <v>0.85668169751083045</v>
      </c>
      <c r="BF91" s="18">
        <f t="shared" si="235"/>
        <v>2.9629863317127025</v>
      </c>
      <c r="BG91" s="18">
        <f t="shared" si="235"/>
        <v>-1.1087306106368322</v>
      </c>
      <c r="BH91" s="18">
        <f t="shared" si="235"/>
        <v>1.0886262950865255</v>
      </c>
      <c r="BI91" s="18">
        <f t="shared" si="236"/>
        <v>0.51210417613265502</v>
      </c>
      <c r="BK91" s="18">
        <f t="shared" si="237"/>
        <v>0.35080187120533068</v>
      </c>
      <c r="BL91" s="18">
        <f t="shared" si="238"/>
        <v>2.2257720494639255</v>
      </c>
      <c r="BM91" s="18">
        <f t="shared" si="239"/>
        <v>2.4852961895822867</v>
      </c>
      <c r="BO91" t="str">
        <f t="shared" si="260"/>
        <v>34 Culture, media and sports occupations</v>
      </c>
      <c r="BP91" s="18">
        <f t="shared" si="240"/>
        <v>-1.8247435368597076</v>
      </c>
      <c r="BQ91" s="18">
        <f t="shared" si="240"/>
        <v>-11.608479028665053</v>
      </c>
      <c r="BR91" s="18">
        <f t="shared" si="240"/>
        <v>-3.5285954108619566</v>
      </c>
      <c r="BS91" s="18">
        <f t="shared" si="240"/>
        <v>-3.2136936569023167</v>
      </c>
      <c r="BT91" s="18">
        <f t="shared" si="241"/>
        <v>-3.8589361304521841</v>
      </c>
      <c r="BV91" s="18">
        <f t="shared" si="242"/>
        <v>-3.3187749541373934</v>
      </c>
      <c r="BW91" s="18">
        <f t="shared" si="243"/>
        <v>1.7460593433055172</v>
      </c>
      <c r="BX91" s="18">
        <f t="shared" si="244"/>
        <v>-0.70570070830706655</v>
      </c>
      <c r="BZ91" t="str">
        <f t="shared" si="261"/>
        <v>34 Culture, media and sports occupations</v>
      </c>
      <c r="CA91" s="18">
        <f t="shared" si="245"/>
        <v>-4.2276833689173117</v>
      </c>
      <c r="CB91" s="18">
        <f t="shared" si="245"/>
        <v>-2.4260202396194419</v>
      </c>
      <c r="CC91" s="18">
        <f t="shared" si="245"/>
        <v>-6.5274471186633543</v>
      </c>
      <c r="CD91" s="18">
        <f t="shared" si="245"/>
        <v>-5.9908442645670856</v>
      </c>
      <c r="CE91" s="18">
        <f t="shared" si="246"/>
        <v>-5.9403184624776673</v>
      </c>
      <c r="CG91" s="18">
        <f t="shared" si="247"/>
        <v>-6.1700532904896637</v>
      </c>
      <c r="CH91" s="18">
        <f t="shared" si="248"/>
        <v>1.3796677850781203</v>
      </c>
      <c r="CI91" s="18">
        <f t="shared" si="249"/>
        <v>-3.211190302720246</v>
      </c>
      <c r="CK91" t="str">
        <f t="shared" si="262"/>
        <v>34 Culture, media and sports occupations</v>
      </c>
      <c r="CL91" s="18">
        <f t="shared" si="250"/>
        <v>-1.538404737173471</v>
      </c>
      <c r="CM91" s="18">
        <f t="shared" si="250"/>
        <v>8.6985814833355981</v>
      </c>
      <c r="CN91" s="18">
        <f t="shared" si="250"/>
        <v>-8.7219888262267453</v>
      </c>
      <c r="CO91" s="18">
        <f t="shared" si="250"/>
        <v>-2.212338839331951</v>
      </c>
      <c r="CP91" s="18">
        <f t="shared" si="251"/>
        <v>-3.6601519678173489</v>
      </c>
      <c r="CR91" s="18">
        <f t="shared" si="252"/>
        <v>-4.432235118841243</v>
      </c>
      <c r="CS91" s="18">
        <f t="shared" si="253"/>
        <v>1.4024961387467894</v>
      </c>
      <c r="CT91" s="18">
        <f t="shared" si="254"/>
        <v>-1.9966769265287954</v>
      </c>
    </row>
    <row r="92" spans="1:98" x14ac:dyDescent="0.25">
      <c r="A92" t="str">
        <f t="shared" si="209"/>
        <v>35 Business and public service associate professionals</v>
      </c>
      <c r="B92" s="18">
        <f t="shared" si="210"/>
        <v>6.6341111797058039</v>
      </c>
      <c r="C92" s="18">
        <f t="shared" si="210"/>
        <v>-5.3148810438776177</v>
      </c>
      <c r="D92" s="18">
        <f t="shared" si="210"/>
        <v>4.6087287921700248</v>
      </c>
      <c r="E92" s="18">
        <f t="shared" si="210"/>
        <v>4.7807857078345561</v>
      </c>
      <c r="F92" s="18">
        <f t="shared" si="211"/>
        <v>4.0659411386065436</v>
      </c>
      <c r="H92" s="18">
        <f t="shared" si="212"/>
        <v>4.7234019818629402</v>
      </c>
      <c r="I92" s="18">
        <f t="shared" si="213"/>
        <v>3.494428131253513</v>
      </c>
      <c r="J92" s="18">
        <f t="shared" si="214"/>
        <v>6.7723370157344531</v>
      </c>
      <c r="L92" t="str">
        <f t="shared" si="255"/>
        <v>35 Business and public service associate professionals</v>
      </c>
      <c r="M92" s="18">
        <f t="shared" si="215"/>
        <v>7.118154555597167</v>
      </c>
      <c r="N92" s="18">
        <f t="shared" si="215"/>
        <v>-2.1158975040146966</v>
      </c>
      <c r="O92" s="18">
        <f t="shared" si="215"/>
        <v>3.7311507945357203</v>
      </c>
      <c r="P92" s="18">
        <f t="shared" si="215"/>
        <v>3.8318574901337721</v>
      </c>
      <c r="Q92" s="18">
        <f t="shared" si="216"/>
        <v>3.4183902551323753</v>
      </c>
      <c r="S92" s="18">
        <f t="shared" si="217"/>
        <v>3.7982777329054418</v>
      </c>
      <c r="T92" s="18">
        <f t="shared" si="218"/>
        <v>3.3612654830435407</v>
      </c>
      <c r="U92" s="18">
        <f t="shared" si="219"/>
        <v>5.9842698706525699</v>
      </c>
      <c r="W92" t="str">
        <f t="shared" si="256"/>
        <v>35 Business and public service associate professionals</v>
      </c>
      <c r="X92" s="18">
        <f t="shared" si="220"/>
        <v>-2.0848140582945707</v>
      </c>
      <c r="Y92" s="18">
        <f t="shared" si="220"/>
        <v>10.977290075680092</v>
      </c>
      <c r="Z92" s="18">
        <f t="shared" si="220"/>
        <v>-0.68143756400734778</v>
      </c>
      <c r="AA92" s="18">
        <f t="shared" si="220"/>
        <v>0.53336964589620894</v>
      </c>
      <c r="AB92" s="18">
        <f t="shared" si="221"/>
        <v>0.77273360469083396</v>
      </c>
      <c r="AD92" s="18">
        <f t="shared" si="222"/>
        <v>0.12679184087329709</v>
      </c>
      <c r="AE92" s="18">
        <f t="shared" si="223"/>
        <v>2.7816718047440014</v>
      </c>
      <c r="AF92" s="18">
        <f t="shared" si="224"/>
        <v>2.8682815798146244</v>
      </c>
      <c r="AH92" t="str">
        <f t="shared" si="257"/>
        <v>35 Business and public service associate professionals</v>
      </c>
      <c r="AI92" s="18">
        <f t="shared" si="225"/>
        <v>-0.66056475949592963</v>
      </c>
      <c r="AJ92" s="18">
        <f t="shared" si="225"/>
        <v>15.826717296203373</v>
      </c>
      <c r="AK92" s="18">
        <f t="shared" si="225"/>
        <v>-0.46043946984111184</v>
      </c>
      <c r="AL92" s="18">
        <f t="shared" si="225"/>
        <v>0.90358053163221985</v>
      </c>
      <c r="AM92" s="18">
        <f t="shared" si="226"/>
        <v>1.3452316596907377</v>
      </c>
      <c r="AO92" s="18">
        <f t="shared" si="227"/>
        <v>0.44684290530920823</v>
      </c>
      <c r="AP92" s="18">
        <f t="shared" si="228"/>
        <v>2.7393716029921578</v>
      </c>
      <c r="AQ92" s="18">
        <f t="shared" si="229"/>
        <v>3.0486142876671396</v>
      </c>
      <c r="AS92" t="str">
        <f t="shared" si="258"/>
        <v>35 Business and public service associate professionals</v>
      </c>
      <c r="AT92" s="18">
        <f t="shared" si="230"/>
        <v>-2.3151580948087558</v>
      </c>
      <c r="AU92" s="18">
        <f t="shared" si="230"/>
        <v>11.763276459839256</v>
      </c>
      <c r="AV92" s="18">
        <f t="shared" si="230"/>
        <v>-0.9470784025597645</v>
      </c>
      <c r="AW92" s="18">
        <f t="shared" si="230"/>
        <v>0.85479531807048925</v>
      </c>
      <c r="AX92" s="18">
        <f t="shared" si="231"/>
        <v>0.9340195085462133</v>
      </c>
      <c r="AZ92" s="18">
        <f t="shared" si="232"/>
        <v>0.2505578896439431</v>
      </c>
      <c r="BA92" s="18">
        <f t="shared" si="233"/>
        <v>2.6256916742880998</v>
      </c>
      <c r="BB92" s="18">
        <f t="shared" si="234"/>
        <v>2.8009811130023765</v>
      </c>
      <c r="BD92" t="str">
        <f t="shared" si="259"/>
        <v>35 Business and public service associate professionals</v>
      </c>
      <c r="BE92" s="18">
        <f t="shared" si="235"/>
        <v>1.736642800592203</v>
      </c>
      <c r="BF92" s="18">
        <f t="shared" si="235"/>
        <v>1.5828114133410454</v>
      </c>
      <c r="BG92" s="18">
        <f t="shared" si="235"/>
        <v>-1.3690468543981371</v>
      </c>
      <c r="BH92" s="18">
        <f t="shared" si="235"/>
        <v>-0.34468435828975963</v>
      </c>
      <c r="BI92" s="18">
        <f t="shared" si="236"/>
        <v>-0.54693046305763771</v>
      </c>
      <c r="BK92" s="18">
        <f t="shared" si="237"/>
        <v>-0.68731519292337673</v>
      </c>
      <c r="BL92" s="18">
        <f t="shared" si="238"/>
        <v>2.2114123505071914</v>
      </c>
      <c r="BM92" s="18">
        <f t="shared" si="239"/>
        <v>1.7123281881950003</v>
      </c>
      <c r="BO92" t="str">
        <f t="shared" si="260"/>
        <v>35 Business and public service associate professionals</v>
      </c>
      <c r="BP92" s="18">
        <f t="shared" si="240"/>
        <v>0.41281977027420869</v>
      </c>
      <c r="BQ92" s="18">
        <f t="shared" si="240"/>
        <v>-7.5898887004991478</v>
      </c>
      <c r="BR92" s="18">
        <f t="shared" si="240"/>
        <v>-1.4857318669203812</v>
      </c>
      <c r="BS92" s="18">
        <f t="shared" si="240"/>
        <v>-1.8028450562833975</v>
      </c>
      <c r="BT92" s="18">
        <f t="shared" si="241"/>
        <v>-2.0763114674491989</v>
      </c>
      <c r="BV92" s="18">
        <f t="shared" si="242"/>
        <v>-1.6972542416984426</v>
      </c>
      <c r="BW92" s="18">
        <f t="shared" si="243"/>
        <v>2.1133433997344353</v>
      </c>
      <c r="BX92" s="18">
        <f t="shared" si="244"/>
        <v>0.88925642833890262</v>
      </c>
      <c r="BZ92" t="str">
        <f t="shared" si="261"/>
        <v>35 Business and public service associate professionals</v>
      </c>
      <c r="CA92" s="18">
        <f t="shared" si="245"/>
        <v>-2.0666299153783929</v>
      </c>
      <c r="CB92" s="18">
        <f t="shared" si="245"/>
        <v>-1.6239516568936962</v>
      </c>
      <c r="CC92" s="18">
        <f t="shared" si="245"/>
        <v>-5.2412752744414366</v>
      </c>
      <c r="CD92" s="18">
        <f t="shared" si="245"/>
        <v>-5.0926725175602261</v>
      </c>
      <c r="CE92" s="18">
        <f t="shared" si="246"/>
        <v>-4.9260739753511196</v>
      </c>
      <c r="CG92" s="18">
        <f t="shared" si="247"/>
        <v>-5.1422326453980034</v>
      </c>
      <c r="CH92" s="18">
        <f t="shared" si="248"/>
        <v>1.5136947661279265</v>
      </c>
      <c r="CI92" s="18">
        <f t="shared" si="249"/>
        <v>-2.2964234067371136</v>
      </c>
      <c r="CK92" t="str">
        <f t="shared" si="262"/>
        <v>35 Business and public service associate professionals</v>
      </c>
      <c r="CL92" s="18">
        <f t="shared" si="250"/>
        <v>-1.4835267196234403</v>
      </c>
      <c r="CM92" s="18">
        <f t="shared" si="250"/>
        <v>15.196325823744928</v>
      </c>
      <c r="CN92" s="18">
        <f t="shared" si="250"/>
        <v>-8.5884938669797624</v>
      </c>
      <c r="CO92" s="18">
        <f t="shared" si="250"/>
        <v>-0.83251241865349712</v>
      </c>
      <c r="CP92" s="18">
        <f t="shared" si="251"/>
        <v>-2.414901806810632</v>
      </c>
      <c r="CR92" s="18">
        <f t="shared" si="252"/>
        <v>-3.4883304501046597</v>
      </c>
      <c r="CS92" s="18">
        <f t="shared" si="253"/>
        <v>1.3485230881010946</v>
      </c>
      <c r="CT92" s="18">
        <f t="shared" si="254"/>
        <v>-1.398107727627762</v>
      </c>
    </row>
    <row r="93" spans="1:98" x14ac:dyDescent="0.25">
      <c r="A93" t="str">
        <f t="shared" si="209"/>
        <v>41 Administrative occupations</v>
      </c>
      <c r="B93" s="18">
        <f t="shared" si="210"/>
        <v>5.0170649479653218</v>
      </c>
      <c r="C93" s="18">
        <f t="shared" si="210"/>
        <v>5.3227115145680237</v>
      </c>
      <c r="D93" s="18">
        <f t="shared" si="210"/>
        <v>4.6607360768391892</v>
      </c>
      <c r="E93" s="18">
        <f t="shared" si="210"/>
        <v>5.048092763953016</v>
      </c>
      <c r="F93" s="18">
        <f t="shared" si="211"/>
        <v>4.9440129401976618</v>
      </c>
      <c r="H93" s="18">
        <f t="shared" si="212"/>
        <v>4.9188148370269635</v>
      </c>
      <c r="I93" s="18">
        <f t="shared" si="213"/>
        <v>3.7274861625842926</v>
      </c>
      <c r="J93" s="18">
        <f t="shared" si="214"/>
        <v>7.0704047046391549</v>
      </c>
      <c r="L93" t="str">
        <f t="shared" si="255"/>
        <v>41 Administrative occupations</v>
      </c>
      <c r="M93" s="18">
        <f t="shared" si="215"/>
        <v>6.4692182182243263</v>
      </c>
      <c r="N93" s="18">
        <f t="shared" si="215"/>
        <v>9.2758606199996763</v>
      </c>
      <c r="O93" s="18">
        <f t="shared" si="215"/>
        <v>3.7964152874988333</v>
      </c>
      <c r="P93" s="18">
        <f t="shared" si="215"/>
        <v>3.7172181262951964</v>
      </c>
      <c r="Q93" s="18">
        <f t="shared" si="216"/>
        <v>4.0810195921186621</v>
      </c>
      <c r="S93" s="18">
        <f t="shared" si="217"/>
        <v>3.7436104635504508</v>
      </c>
      <c r="T93" s="18">
        <f t="shared" si="218"/>
        <v>3.5376391920011185</v>
      </c>
      <c r="U93" s="18">
        <f t="shared" si="219"/>
        <v>6.068791493321668</v>
      </c>
      <c r="W93" t="str">
        <f t="shared" si="256"/>
        <v>41 Administrative occupations</v>
      </c>
      <c r="X93" s="18">
        <f t="shared" si="220"/>
        <v>-2.6190601737697494</v>
      </c>
      <c r="Y93" s="18">
        <f t="shared" si="220"/>
        <v>20.936216650793703</v>
      </c>
      <c r="Z93" s="18">
        <f t="shared" si="220"/>
        <v>0.31729213014610735</v>
      </c>
      <c r="AA93" s="18">
        <f t="shared" si="220"/>
        <v>1.4157558341949761</v>
      </c>
      <c r="AB93" s="18">
        <f t="shared" si="221"/>
        <v>2.1893428128656689</v>
      </c>
      <c r="AD93" s="18">
        <f t="shared" si="222"/>
        <v>1.048271277713031</v>
      </c>
      <c r="AE93" s="18">
        <f t="shared" si="223"/>
        <v>3.1934320444365172</v>
      </c>
      <c r="AF93" s="18">
        <f t="shared" si="224"/>
        <v>3.8867757689443172</v>
      </c>
      <c r="AH93" t="str">
        <f t="shared" si="257"/>
        <v>41 Administrative occupations</v>
      </c>
      <c r="AI93" s="18">
        <f t="shared" si="225"/>
        <v>-1.3709469150185227</v>
      </c>
      <c r="AJ93" s="18">
        <f t="shared" si="225"/>
        <v>22.427240450008611</v>
      </c>
      <c r="AK93" s="18">
        <f t="shared" si="225"/>
        <v>1.9553586416476421E-2</v>
      </c>
      <c r="AL93" s="18">
        <f t="shared" si="225"/>
        <v>1.4466735583535728</v>
      </c>
      <c r="AM93" s="18">
        <f t="shared" si="226"/>
        <v>2.1921522034281216</v>
      </c>
      <c r="AO93" s="18">
        <f t="shared" si="227"/>
        <v>0.96871860475440386</v>
      </c>
      <c r="AP93" s="18">
        <f t="shared" si="228"/>
        <v>3.3314367991438054</v>
      </c>
      <c r="AQ93" s="18">
        <f t="shared" si="229"/>
        <v>3.9595741595590095</v>
      </c>
      <c r="AS93" t="str">
        <f t="shared" si="258"/>
        <v>41 Administrative occupations</v>
      </c>
      <c r="AT93" s="18">
        <f t="shared" si="230"/>
        <v>-3.5115239088516992</v>
      </c>
      <c r="AU93" s="18">
        <f t="shared" si="230"/>
        <v>23.224346851743725</v>
      </c>
      <c r="AV93" s="18">
        <f t="shared" si="230"/>
        <v>-0.65470185911654655</v>
      </c>
      <c r="AW93" s="18">
        <f t="shared" si="230"/>
        <v>1.22417370304162</v>
      </c>
      <c r="AX93" s="18">
        <f t="shared" si="231"/>
        <v>1.8778379242707643</v>
      </c>
      <c r="AZ93" s="18">
        <f t="shared" si="232"/>
        <v>0.59396641067248623</v>
      </c>
      <c r="BA93" s="18">
        <f t="shared" si="233"/>
        <v>3.016021849488526</v>
      </c>
      <c r="BB93" s="18">
        <f t="shared" si="234"/>
        <v>3.4136426842502177</v>
      </c>
      <c r="BD93" t="str">
        <f t="shared" si="259"/>
        <v>41 Administrative occupations</v>
      </c>
      <c r="BE93" s="18">
        <f t="shared" si="235"/>
        <v>-0.71950021105521289</v>
      </c>
      <c r="BF93" s="18">
        <f t="shared" si="235"/>
        <v>2.334163890048635</v>
      </c>
      <c r="BG93" s="18">
        <f t="shared" si="235"/>
        <v>-1.9457409606193576</v>
      </c>
      <c r="BH93" s="18">
        <f t="shared" si="235"/>
        <v>-1.3095455826777069</v>
      </c>
      <c r="BI93" s="18">
        <f t="shared" si="236"/>
        <v>-1.285368711416679</v>
      </c>
      <c r="BK93" s="18">
        <f t="shared" si="237"/>
        <v>-1.5220680312131418</v>
      </c>
      <c r="BL93" s="18">
        <f t="shared" si="238"/>
        <v>2.2984154306701532</v>
      </c>
      <c r="BM93" s="18">
        <f t="shared" si="239"/>
        <v>1.2264799153737238</v>
      </c>
      <c r="BO93" t="str">
        <f t="shared" si="260"/>
        <v>41 Administrative occupations</v>
      </c>
      <c r="BP93" s="18">
        <f t="shared" si="240"/>
        <v>-1.7453629479363464</v>
      </c>
      <c r="BQ93" s="18">
        <f t="shared" si="240"/>
        <v>-7.6389800666062264</v>
      </c>
      <c r="BR93" s="18">
        <f t="shared" si="240"/>
        <v>-1.8210931147669918</v>
      </c>
      <c r="BS93" s="18">
        <f t="shared" si="240"/>
        <v>-2.9952362307360314</v>
      </c>
      <c r="BT93" s="18">
        <f t="shared" si="241"/>
        <v>-2.9279068995215707</v>
      </c>
      <c r="BV93" s="18">
        <f t="shared" si="242"/>
        <v>-2.6054237471477171</v>
      </c>
      <c r="BW93" s="18">
        <f t="shared" si="243"/>
        <v>2.1859594441421715</v>
      </c>
      <c r="BX93" s="18">
        <f t="shared" si="244"/>
        <v>0.36491182926354782</v>
      </c>
      <c r="BZ93" t="str">
        <f t="shared" si="261"/>
        <v>41 Administrative occupations</v>
      </c>
      <c r="CA93" s="18">
        <f t="shared" si="245"/>
        <v>-5.2535742992058987</v>
      </c>
      <c r="CB93" s="18">
        <f t="shared" si="245"/>
        <v>-9.3567042848561996</v>
      </c>
      <c r="CC93" s="18">
        <f t="shared" si="245"/>
        <v>-7.2384753517080513</v>
      </c>
      <c r="CD93" s="18">
        <f t="shared" si="245"/>
        <v>-9.67860516464577</v>
      </c>
      <c r="CE93" s="18">
        <f t="shared" si="246"/>
        <v>-8.9027871515300347</v>
      </c>
      <c r="CG93" s="18">
        <f t="shared" si="247"/>
        <v>-8.8724453137878694</v>
      </c>
      <c r="CH93" s="18">
        <f t="shared" si="248"/>
        <v>1.3124321048625598</v>
      </c>
      <c r="CI93" s="18">
        <f t="shared" si="249"/>
        <v>-4.9877369321440046</v>
      </c>
      <c r="CK93" t="str">
        <f t="shared" si="262"/>
        <v>41 Administrative occupations</v>
      </c>
      <c r="CL93" s="18">
        <f t="shared" si="250"/>
        <v>-8.1906174982103401</v>
      </c>
      <c r="CM93" s="18">
        <f t="shared" si="250"/>
        <v>16.314845636187748</v>
      </c>
      <c r="CN93" s="18">
        <f t="shared" si="250"/>
        <v>-8.3600737780587071</v>
      </c>
      <c r="CO93" s="18">
        <f t="shared" si="250"/>
        <v>-3.2893182210135818</v>
      </c>
      <c r="CP93" s="18">
        <f t="shared" si="251"/>
        <v>-3.7999709300355566</v>
      </c>
      <c r="CR93" s="18">
        <f t="shared" si="252"/>
        <v>-5.0100030823407415</v>
      </c>
      <c r="CS93" s="18">
        <f t="shared" si="253"/>
        <v>1.2535931861151317</v>
      </c>
      <c r="CT93" s="18">
        <f t="shared" si="254"/>
        <v>-2.6536297024230215</v>
      </c>
    </row>
    <row r="94" spans="1:98" x14ac:dyDescent="0.25">
      <c r="A94" t="str">
        <f t="shared" si="209"/>
        <v>42 Secretarial and related occupations</v>
      </c>
      <c r="B94" s="18">
        <f t="shared" si="210"/>
        <v>2.3040171286984767</v>
      </c>
      <c r="C94" s="18">
        <f t="shared" si="210"/>
        <v>17.414035464647437</v>
      </c>
      <c r="D94" s="18">
        <f t="shared" si="210"/>
        <v>8.7107492999334291</v>
      </c>
      <c r="E94" s="18">
        <f t="shared" si="210"/>
        <v>4.4716004208696924</v>
      </c>
      <c r="F94" s="18">
        <f t="shared" si="211"/>
        <v>6.5532151406494155</v>
      </c>
      <c r="H94" s="18">
        <f t="shared" si="212"/>
        <v>5.8659571171760572</v>
      </c>
      <c r="I94" s="18">
        <f t="shared" si="213"/>
        <v>4.7211733885865304</v>
      </c>
      <c r="J94" s="18">
        <f t="shared" si="214"/>
        <v>8.3915836302931979</v>
      </c>
      <c r="L94" t="str">
        <f t="shared" si="255"/>
        <v>42 Secretarial and related occupations</v>
      </c>
      <c r="M94" s="18">
        <f t="shared" si="215"/>
        <v>5.3987128187777067</v>
      </c>
      <c r="N94" s="18">
        <f t="shared" si="215"/>
        <v>15.32772625550265</v>
      </c>
      <c r="O94" s="18">
        <f t="shared" si="215"/>
        <v>7.0679607655740773</v>
      </c>
      <c r="P94" s="18">
        <f t="shared" si="215"/>
        <v>-1.5908294116360522</v>
      </c>
      <c r="Q94" s="18">
        <f t="shared" si="216"/>
        <v>2.0438166542482206</v>
      </c>
      <c r="S94" s="18">
        <f t="shared" si="217"/>
        <v>1.21469203851714</v>
      </c>
      <c r="T94" s="18">
        <f t="shared" si="218"/>
        <v>3.6042212652975136</v>
      </c>
      <c r="U94" s="18">
        <f t="shared" si="219"/>
        <v>4.369609319635881</v>
      </c>
      <c r="W94" t="str">
        <f t="shared" si="256"/>
        <v>42 Secretarial and related occupations</v>
      </c>
      <c r="X94" s="18">
        <f t="shared" si="220"/>
        <v>-3.5625321925264464</v>
      </c>
      <c r="Y94" s="18">
        <f t="shared" si="220"/>
        <v>20.578568208214797</v>
      </c>
      <c r="Z94" s="18">
        <f t="shared" si="220"/>
        <v>6.5190070612417106</v>
      </c>
      <c r="AA94" s="18">
        <f t="shared" si="220"/>
        <v>2.5141538804970054</v>
      </c>
      <c r="AB94" s="18">
        <f t="shared" si="221"/>
        <v>4.8069901432818307</v>
      </c>
      <c r="AD94" s="18">
        <f t="shared" si="222"/>
        <v>3.832088793584898</v>
      </c>
      <c r="AE94" s="18">
        <f t="shared" si="223"/>
        <v>4.4599842345132368</v>
      </c>
      <c r="AF94" s="18">
        <f t="shared" si="224"/>
        <v>6.7982334098862562</v>
      </c>
      <c r="AH94" t="str">
        <f t="shared" si="257"/>
        <v>42 Secretarial and related occupations</v>
      </c>
      <c r="AI94" s="18">
        <f t="shared" si="225"/>
        <v>-3.151420808721328</v>
      </c>
      <c r="AJ94" s="18">
        <f t="shared" si="225"/>
        <v>25.477496848891512</v>
      </c>
      <c r="AK94" s="18">
        <f t="shared" si="225"/>
        <v>4.4698571570511492</v>
      </c>
      <c r="AL94" s="18">
        <f t="shared" si="225"/>
        <v>0.4899728535060488</v>
      </c>
      <c r="AM94" s="18">
        <f t="shared" si="226"/>
        <v>3.1387250907104924</v>
      </c>
      <c r="AO94" s="18">
        <f t="shared" si="227"/>
        <v>1.7994628037567129</v>
      </c>
      <c r="AP94" s="18">
        <f t="shared" si="228"/>
        <v>3.846391678272143</v>
      </c>
      <c r="AQ94" s="18">
        <f t="shared" si="229"/>
        <v>4.963697219333052</v>
      </c>
      <c r="AS94" t="str">
        <f t="shared" si="258"/>
        <v>42 Secretarial and related occupations</v>
      </c>
      <c r="AT94" s="18">
        <f t="shared" si="230"/>
        <v>-5.0322017870606857</v>
      </c>
      <c r="AU94" s="18">
        <f t="shared" si="230"/>
        <v>24.848174260929355</v>
      </c>
      <c r="AV94" s="18">
        <f t="shared" si="230"/>
        <v>3.452733080217496</v>
      </c>
      <c r="AW94" s="18">
        <f t="shared" si="230"/>
        <v>0.41105064732465113</v>
      </c>
      <c r="AX94" s="18">
        <f t="shared" si="231"/>
        <v>2.7410966430617911</v>
      </c>
      <c r="AZ94" s="18">
        <f t="shared" si="232"/>
        <v>1.4148759480251627</v>
      </c>
      <c r="BA94" s="18">
        <f t="shared" si="233"/>
        <v>3.5111062244112645</v>
      </c>
      <c r="BB94" s="18">
        <f t="shared" si="234"/>
        <v>4.4180565461187316</v>
      </c>
      <c r="BD94" t="str">
        <f t="shared" si="259"/>
        <v>42 Secretarial and related occupations</v>
      </c>
      <c r="BE94" s="18">
        <f t="shared" si="235"/>
        <v>-1.8558169825988347</v>
      </c>
      <c r="BF94" s="18">
        <f t="shared" si="235"/>
        <v>-5.6461273440243094</v>
      </c>
      <c r="BG94" s="18">
        <f t="shared" si="235"/>
        <v>2.2621177553780125</v>
      </c>
      <c r="BH94" s="18">
        <f t="shared" si="235"/>
        <v>-10.123719517666352</v>
      </c>
      <c r="BI94" s="18">
        <f t="shared" si="236"/>
        <v>-6.1387066083681274</v>
      </c>
      <c r="BK94" s="18">
        <f t="shared" si="237"/>
        <v>-6.1714536447405326</v>
      </c>
      <c r="BL94" s="18">
        <f t="shared" si="238"/>
        <v>2.3208402860494193</v>
      </c>
      <c r="BM94" s="18">
        <f t="shared" si="239"/>
        <v>-1.5144753706560765</v>
      </c>
      <c r="BO94" t="str">
        <f t="shared" si="260"/>
        <v>42 Secretarial and related occupations</v>
      </c>
      <c r="BP94" s="18">
        <f t="shared" si="240"/>
        <v>-4.8257480305130667</v>
      </c>
      <c r="BQ94" s="18">
        <f t="shared" si="240"/>
        <v>-16.090247406935944</v>
      </c>
      <c r="BR94" s="18">
        <f t="shared" si="240"/>
        <v>-2.9191356803097701</v>
      </c>
      <c r="BS94" s="18">
        <f t="shared" si="240"/>
        <v>-12.10815786942554</v>
      </c>
      <c r="BT94" s="18">
        <f t="shared" si="241"/>
        <v>-9.5964692033836059</v>
      </c>
      <c r="BV94" s="18">
        <f t="shared" si="242"/>
        <v>-9.1460969039132696</v>
      </c>
      <c r="BW94" s="18">
        <f t="shared" si="243"/>
        <v>1.8069137105427791</v>
      </c>
      <c r="BX94" s="18">
        <f t="shared" si="244"/>
        <v>-3.9612714441368047</v>
      </c>
      <c r="BZ94" t="str">
        <f t="shared" si="261"/>
        <v>42 Secretarial and related occupations</v>
      </c>
      <c r="CA94" s="18">
        <f t="shared" si="245"/>
        <v>-3.9501543961978247</v>
      </c>
      <c r="CB94" s="18">
        <f t="shared" si="245"/>
        <v>-17.399633997178999</v>
      </c>
      <c r="CC94" s="18">
        <f t="shared" si="245"/>
        <v>-4.9899629643701315</v>
      </c>
      <c r="CD94" s="18">
        <f t="shared" si="245"/>
        <v>-15.254723821182914</v>
      </c>
      <c r="CE94" s="18">
        <f t="shared" si="246"/>
        <v>-12.312734865648633</v>
      </c>
      <c r="CG94" s="18">
        <f t="shared" si="247"/>
        <v>-11.962676907661173</v>
      </c>
      <c r="CH94" s="18">
        <f t="shared" si="248"/>
        <v>1.475616207606989</v>
      </c>
      <c r="CI94" s="18">
        <f t="shared" si="249"/>
        <v>-6.0261410025445166</v>
      </c>
      <c r="CK94" t="str">
        <f t="shared" si="262"/>
        <v>42 Secretarial and related occupations</v>
      </c>
      <c r="CL94" s="18">
        <f t="shared" si="250"/>
        <v>-7.0435592499399675</v>
      </c>
      <c r="CM94" s="18">
        <f t="shared" si="250"/>
        <v>15.799494283268455</v>
      </c>
      <c r="CN94" s="18">
        <f t="shared" si="250"/>
        <v>-2.3734129076065202</v>
      </c>
      <c r="CO94" s="18">
        <f t="shared" si="250"/>
        <v>-1.9149269994886864</v>
      </c>
      <c r="CP94" s="18">
        <f t="shared" si="251"/>
        <v>-1.0368467545492366</v>
      </c>
      <c r="CR94" s="18">
        <f t="shared" si="252"/>
        <v>-2.0679943817002777</v>
      </c>
      <c r="CS94" s="18">
        <f t="shared" si="253"/>
        <v>2.0382785779992307</v>
      </c>
      <c r="CT94" s="18">
        <f t="shared" si="254"/>
        <v>0.5415431559881112</v>
      </c>
    </row>
    <row r="95" spans="1:98" x14ac:dyDescent="0.25">
      <c r="A95" t="str">
        <f t="shared" si="209"/>
        <v>51 Skilled agricultural and related trades</v>
      </c>
      <c r="B95" s="18">
        <f t="shared" si="210"/>
        <v>7.4367997509917627</v>
      </c>
      <c r="C95" s="18">
        <f t="shared" si="210"/>
        <v>-24.533754902499705</v>
      </c>
      <c r="D95" s="18">
        <f t="shared" si="210"/>
        <v>4.8621966295706365</v>
      </c>
      <c r="E95" s="18">
        <f t="shared" si="210"/>
        <v>6.7238815902336713</v>
      </c>
      <c r="F95" s="18">
        <f t="shared" si="211"/>
        <v>3.8643425085058247</v>
      </c>
      <c r="H95" s="18">
        <f t="shared" si="212"/>
        <v>6.0996762092763612</v>
      </c>
      <c r="I95" s="18">
        <f t="shared" si="213"/>
        <v>4.6827692473576654</v>
      </c>
      <c r="J95" s="18">
        <f t="shared" si="214"/>
        <v>8.5371928581354553</v>
      </c>
      <c r="L95" t="str">
        <f t="shared" si="255"/>
        <v>51 Skilled agricultural and related trades</v>
      </c>
      <c r="M95" s="18">
        <f t="shared" si="215"/>
        <v>0.1658667144213144</v>
      </c>
      <c r="N95" s="18">
        <f t="shared" si="215"/>
        <v>-15.619522621878534</v>
      </c>
      <c r="O95" s="18">
        <f t="shared" si="215"/>
        <v>4.1854211687671006</v>
      </c>
      <c r="P95" s="18">
        <f t="shared" si="215"/>
        <v>2.9864696741973118</v>
      </c>
      <c r="Q95" s="18">
        <f t="shared" si="216"/>
        <v>2.0804093440035532</v>
      </c>
      <c r="S95" s="18">
        <f t="shared" si="217"/>
        <v>3.384579237459695</v>
      </c>
      <c r="T95" s="18">
        <f t="shared" si="218"/>
        <v>3.6242079327175158</v>
      </c>
      <c r="U95" s="18">
        <f t="shared" si="219"/>
        <v>5.8713694323426102</v>
      </c>
      <c r="W95" t="str">
        <f t="shared" si="256"/>
        <v>51 Skilled agricultural and related trades</v>
      </c>
      <c r="X95" s="18">
        <f t="shared" si="220"/>
        <v>-7.1828618284624941</v>
      </c>
      <c r="Y95" s="18">
        <f t="shared" si="220"/>
        <v>-7.5651801603377589</v>
      </c>
      <c r="Z95" s="18">
        <f t="shared" si="220"/>
        <v>3.0337462261524895</v>
      </c>
      <c r="AA95" s="18">
        <f t="shared" si="220"/>
        <v>3.0677421384134762</v>
      </c>
      <c r="AB95" s="18">
        <f t="shared" si="221"/>
        <v>2.3581769293309351</v>
      </c>
      <c r="AD95" s="18">
        <f t="shared" si="222"/>
        <v>3.056408921517284</v>
      </c>
      <c r="AE95" s="18">
        <f t="shared" si="223"/>
        <v>4.2414250966612554</v>
      </c>
      <c r="AF95" s="18">
        <f t="shared" si="224"/>
        <v>6.1139606332850205</v>
      </c>
      <c r="AH95" t="str">
        <f t="shared" si="257"/>
        <v>51 Skilled agricultural and related trades</v>
      </c>
      <c r="AI95" s="18">
        <f t="shared" si="225"/>
        <v>-3.3094971286388386</v>
      </c>
      <c r="AJ95" s="18">
        <f t="shared" si="225"/>
        <v>-13.359666220353116</v>
      </c>
      <c r="AK95" s="18">
        <f t="shared" si="225"/>
        <v>4.4328676989910054</v>
      </c>
      <c r="AL95" s="18">
        <f t="shared" si="225"/>
        <v>3.1372306216422619</v>
      </c>
      <c r="AM95" s="18">
        <f t="shared" si="226"/>
        <v>2.4185916549591679</v>
      </c>
      <c r="AO95" s="18">
        <f t="shared" si="227"/>
        <v>3.5673137046026371</v>
      </c>
      <c r="AP95" s="18">
        <f t="shared" si="228"/>
        <v>4.5751379675463388</v>
      </c>
      <c r="AQ95" s="18">
        <f t="shared" si="229"/>
        <v>6.7074738076961182</v>
      </c>
      <c r="AS95" t="str">
        <f t="shared" si="258"/>
        <v>51 Skilled agricultural and related trades</v>
      </c>
      <c r="AT95" s="18">
        <f t="shared" si="230"/>
        <v>-3.4289990432990525</v>
      </c>
      <c r="AU95" s="18">
        <f t="shared" si="230"/>
        <v>-11.327500686068248</v>
      </c>
      <c r="AV95" s="18">
        <f t="shared" si="230"/>
        <v>3.4608627573458062</v>
      </c>
      <c r="AW95" s="18">
        <f t="shared" si="230"/>
        <v>4.2736428969462281</v>
      </c>
      <c r="AX95" s="18">
        <f t="shared" si="231"/>
        <v>2.9706444162451939</v>
      </c>
      <c r="AZ95" s="18">
        <f t="shared" si="232"/>
        <v>4.0020091901227017</v>
      </c>
      <c r="BA95" s="18">
        <f t="shared" si="233"/>
        <v>4.180167571346094</v>
      </c>
      <c r="BB95" s="18">
        <f t="shared" si="234"/>
        <v>6.7121777700062557</v>
      </c>
      <c r="BD95" t="str">
        <f t="shared" si="259"/>
        <v>51 Skilled agricultural and related trades</v>
      </c>
      <c r="BE95" s="18">
        <f t="shared" si="235"/>
        <v>-0.70177670628296385</v>
      </c>
      <c r="BF95" s="18">
        <f t="shared" si="235"/>
        <v>-23.165150248491486</v>
      </c>
      <c r="BG95" s="18">
        <f t="shared" si="235"/>
        <v>0.91398259503170376</v>
      </c>
      <c r="BH95" s="18">
        <f t="shared" si="235"/>
        <v>0.98864822756314918</v>
      </c>
      <c r="BI95" s="18">
        <f t="shared" si="236"/>
        <v>-0.74496760686514341</v>
      </c>
      <c r="BK95" s="18">
        <f t="shared" si="237"/>
        <v>0.96375354711026873</v>
      </c>
      <c r="BL95" s="18">
        <f t="shared" si="238"/>
        <v>3.0231377748463073</v>
      </c>
      <c r="BM95" s="18">
        <f t="shared" si="239"/>
        <v>3.6734479421310251</v>
      </c>
      <c r="BO95" t="str">
        <f t="shared" si="260"/>
        <v>51 Skilled agricultural and related trades</v>
      </c>
      <c r="BP95" s="18">
        <f t="shared" si="240"/>
        <v>-1.4722864429619342</v>
      </c>
      <c r="BQ95" s="18">
        <f t="shared" si="240"/>
        <v>-25.524151104310498</v>
      </c>
      <c r="BR95" s="18">
        <f t="shared" si="240"/>
        <v>0.57080545958969608</v>
      </c>
      <c r="BS95" s="18">
        <f t="shared" si="240"/>
        <v>-0.57488439519451928</v>
      </c>
      <c r="BT95" s="18">
        <f t="shared" si="241"/>
        <v>-2.0039638157633988</v>
      </c>
      <c r="BV95" s="18">
        <f t="shared" si="242"/>
        <v>-0.19444534100748756</v>
      </c>
      <c r="BW95" s="18">
        <f t="shared" si="243"/>
        <v>3.045527954989069</v>
      </c>
      <c r="BX95" s="18">
        <f t="shared" si="244"/>
        <v>2.9184019414992601</v>
      </c>
      <c r="BZ95" t="str">
        <f t="shared" si="261"/>
        <v>51 Skilled agricultural and related trades</v>
      </c>
      <c r="CA95" s="18">
        <f t="shared" si="245"/>
        <v>-3.5569566880138903</v>
      </c>
      <c r="CB95" s="18">
        <f t="shared" si="245"/>
        <v>-0.82955250324981966</v>
      </c>
      <c r="CC95" s="18">
        <f t="shared" si="245"/>
        <v>0.27383057413024048</v>
      </c>
      <c r="CD95" s="18">
        <f t="shared" si="245"/>
        <v>1.8279846669033484</v>
      </c>
      <c r="CE95" s="18">
        <f t="shared" si="246"/>
        <v>1.172384690204753</v>
      </c>
      <c r="CG95" s="18">
        <f t="shared" si="247"/>
        <v>1.3072751310694963</v>
      </c>
      <c r="CH95" s="18">
        <f t="shared" si="248"/>
        <v>2.7472405001791822</v>
      </c>
      <c r="CI95" s="18">
        <f t="shared" si="249"/>
        <v>3.6683229570803721</v>
      </c>
      <c r="CK95" t="str">
        <f t="shared" si="262"/>
        <v>51 Skilled agricultural and related trades</v>
      </c>
      <c r="CL95" s="18">
        <f t="shared" si="250"/>
        <v>-5.0538896060651428</v>
      </c>
      <c r="CM95" s="18">
        <f t="shared" si="250"/>
        <v>-21.568227600995737</v>
      </c>
      <c r="CN95" s="18">
        <f t="shared" si="250"/>
        <v>-3.3343172114298048</v>
      </c>
      <c r="CO95" s="18">
        <f t="shared" si="250"/>
        <v>-4.6070330663823373</v>
      </c>
      <c r="CP95" s="18">
        <f t="shared" si="251"/>
        <v>-5.376049521127535</v>
      </c>
      <c r="CR95" s="18">
        <f t="shared" si="252"/>
        <v>-4.1846672919403805</v>
      </c>
      <c r="CS95" s="18">
        <f t="shared" si="253"/>
        <v>1.7147496562352593</v>
      </c>
      <c r="CT95" s="18">
        <f t="shared" si="254"/>
        <v>-1.3371420603037976</v>
      </c>
    </row>
    <row r="96" spans="1:98" x14ac:dyDescent="0.25">
      <c r="A96" t="str">
        <f t="shared" si="209"/>
        <v>52 Skilled metal, electrical and electronic trades</v>
      </c>
      <c r="B96" s="18">
        <f t="shared" si="210"/>
        <v>-3.285925255934119</v>
      </c>
      <c r="C96" s="18">
        <f t="shared" si="210"/>
        <v>-24.981079391302853</v>
      </c>
      <c r="D96" s="18">
        <f t="shared" si="210"/>
        <v>4.8214494689277521</v>
      </c>
      <c r="E96" s="18">
        <f t="shared" si="210"/>
        <v>3.9156966830930173</v>
      </c>
      <c r="F96" s="18">
        <f t="shared" si="211"/>
        <v>2.097374003022634</v>
      </c>
      <c r="H96" s="18">
        <f t="shared" si="212"/>
        <v>4.2167413074409632</v>
      </c>
      <c r="I96" s="18">
        <f t="shared" si="213"/>
        <v>3.1076715390144338</v>
      </c>
      <c r="J96" s="18">
        <f t="shared" si="214"/>
        <v>6.128902090603372</v>
      </c>
      <c r="L96" t="str">
        <f t="shared" si="255"/>
        <v>52 Skilled metal, electrical and electronic trades</v>
      </c>
      <c r="M96" s="18">
        <f t="shared" si="215"/>
        <v>6.1884155043117506</v>
      </c>
      <c r="N96" s="18">
        <f t="shared" si="215"/>
        <v>-31.466633361567943</v>
      </c>
      <c r="O96" s="18">
        <f t="shared" si="215"/>
        <v>10.872379490972527</v>
      </c>
      <c r="P96" s="18">
        <f t="shared" si="215"/>
        <v>5.1334727046369544</v>
      </c>
      <c r="Q96" s="18">
        <f t="shared" si="216"/>
        <v>4.0732969861499546</v>
      </c>
      <c r="S96" s="18">
        <f t="shared" si="217"/>
        <v>7.0126526136332856</v>
      </c>
      <c r="T96" s="18">
        <f t="shared" si="218"/>
        <v>4.3565688952910131</v>
      </c>
      <c r="U96" s="18">
        <f t="shared" si="219"/>
        <v>9.0343691542956286</v>
      </c>
      <c r="W96" t="str">
        <f t="shared" si="256"/>
        <v>52 Skilled metal, electrical and electronic trades</v>
      </c>
      <c r="X96" s="18">
        <f t="shared" si="220"/>
        <v>-1.830554940720841</v>
      </c>
      <c r="Y96" s="18">
        <f t="shared" si="220"/>
        <v>-20.955155166394825</v>
      </c>
      <c r="Z96" s="18">
        <f t="shared" si="220"/>
        <v>4.5494229498583172</v>
      </c>
      <c r="AA96" s="18">
        <f t="shared" si="220"/>
        <v>2.0774153289648156</v>
      </c>
      <c r="AB96" s="18">
        <f t="shared" si="221"/>
        <v>1.2129655786374371</v>
      </c>
      <c r="AD96" s="18">
        <f t="shared" si="222"/>
        <v>2.8948543196866794</v>
      </c>
      <c r="AE96" s="18">
        <f t="shared" si="223"/>
        <v>3.3728018944410021</v>
      </c>
      <c r="AF96" s="18">
        <f t="shared" si="224"/>
        <v>5.3296426065266189</v>
      </c>
      <c r="AH96" t="str">
        <f t="shared" si="257"/>
        <v>52 Skilled metal, electrical and electronic trades</v>
      </c>
      <c r="AI96" s="18">
        <f t="shared" si="225"/>
        <v>-3.0779229891317761</v>
      </c>
      <c r="AJ96" s="18">
        <f t="shared" si="225"/>
        <v>-16.502550492349343</v>
      </c>
      <c r="AK96" s="18">
        <f t="shared" si="225"/>
        <v>1.4315707422226653</v>
      </c>
      <c r="AL96" s="18">
        <f t="shared" si="225"/>
        <v>1.7011886719765057</v>
      </c>
      <c r="AM96" s="18">
        <f t="shared" si="226"/>
        <v>0.37197120874767897</v>
      </c>
      <c r="AO96" s="18">
        <f t="shared" si="227"/>
        <v>1.6112364917080679</v>
      </c>
      <c r="AP96" s="18">
        <f t="shared" si="228"/>
        <v>2.6796659713700821</v>
      </c>
      <c r="AQ96" s="18">
        <f t="shared" si="229"/>
        <v>3.831984664509025</v>
      </c>
      <c r="AS96" t="str">
        <f t="shared" si="258"/>
        <v>52 Skilled metal, electrical and electronic trades</v>
      </c>
      <c r="AT96" s="18">
        <f t="shared" si="230"/>
        <v>-2.999808375235824</v>
      </c>
      <c r="AU96" s="18">
        <f t="shared" si="230"/>
        <v>-13.498837876882241</v>
      </c>
      <c r="AV96" s="18">
        <f t="shared" si="230"/>
        <v>0.93606618184924884</v>
      </c>
      <c r="AW96" s="18">
        <f t="shared" si="230"/>
        <v>0.99258238900041817</v>
      </c>
      <c r="AX96" s="18">
        <f t="shared" si="231"/>
        <v>2.1383918156203663E-3</v>
      </c>
      <c r="AZ96" s="18">
        <f t="shared" si="232"/>
        <v>0.97374013809112814</v>
      </c>
      <c r="BA96" s="18">
        <f t="shared" si="233"/>
        <v>2.5739789071758112</v>
      </c>
      <c r="BB96" s="18">
        <f t="shared" si="234"/>
        <v>3.2706047642588221</v>
      </c>
      <c r="BD96" t="str">
        <f t="shared" si="259"/>
        <v>52 Skilled metal, electrical and electronic trades</v>
      </c>
      <c r="BE96" s="18">
        <f t="shared" si="235"/>
        <v>1.637731515659091</v>
      </c>
      <c r="BF96" s="18">
        <f t="shared" si="235"/>
        <v>-16.878515018417129</v>
      </c>
      <c r="BG96" s="18">
        <f t="shared" si="235"/>
        <v>-0.13252355690933637</v>
      </c>
      <c r="BH96" s="18">
        <f t="shared" si="235"/>
        <v>-0.43893625123277991</v>
      </c>
      <c r="BI96" s="18">
        <f t="shared" si="236"/>
        <v>-1.4610206517125968</v>
      </c>
      <c r="BK96" s="18">
        <f t="shared" si="237"/>
        <v>-0.33690328841322614</v>
      </c>
      <c r="BL96" s="18">
        <f t="shared" si="238"/>
        <v>1.9855389160712056</v>
      </c>
      <c r="BM96" s="18">
        <f t="shared" si="239"/>
        <v>1.731256835355155</v>
      </c>
      <c r="BO96" t="str">
        <f t="shared" si="260"/>
        <v>52 Skilled metal, electrical and electronic trades</v>
      </c>
      <c r="BP96" s="18">
        <f t="shared" si="240"/>
        <v>0.43751171027857083</v>
      </c>
      <c r="BQ96" s="18">
        <f t="shared" si="240"/>
        <v>-20.035559374332536</v>
      </c>
      <c r="BR96" s="18">
        <f t="shared" si="240"/>
        <v>-0.43170994985434197</v>
      </c>
      <c r="BS96" s="18">
        <f t="shared" si="240"/>
        <v>-1.6454505827254495</v>
      </c>
      <c r="BT96" s="18">
        <f t="shared" si="241"/>
        <v>-2.5368558809742869</v>
      </c>
      <c r="BV96" s="18">
        <f t="shared" si="242"/>
        <v>-1.2425232907527728</v>
      </c>
      <c r="BW96" s="18">
        <f t="shared" si="243"/>
        <v>2.0369960908549256</v>
      </c>
      <c r="BX96" s="18">
        <f t="shared" si="244"/>
        <v>1.1220974191541222</v>
      </c>
      <c r="BZ96" t="str">
        <f t="shared" si="261"/>
        <v>52 Skilled metal, electrical and electronic trades</v>
      </c>
      <c r="CA96" s="18">
        <f t="shared" si="245"/>
        <v>-3.306168475712401</v>
      </c>
      <c r="CB96" s="18">
        <f t="shared" si="245"/>
        <v>-12.697463883010784</v>
      </c>
      <c r="CC96" s="18">
        <f t="shared" si="245"/>
        <v>-4.2593949828192423</v>
      </c>
      <c r="CD96" s="18">
        <f t="shared" si="245"/>
        <v>-6.1237398036197437</v>
      </c>
      <c r="CE96" s="18">
        <f t="shared" si="246"/>
        <v>-5.9726722540558992</v>
      </c>
      <c r="CG96" s="18">
        <f t="shared" si="247"/>
        <v>-5.5063606375476581</v>
      </c>
      <c r="CH96" s="18">
        <f t="shared" si="248"/>
        <v>1.4869073484834461</v>
      </c>
      <c r="CI96" s="18">
        <f t="shared" si="249"/>
        <v>-2.5822498442194752</v>
      </c>
      <c r="CK96" t="str">
        <f t="shared" si="262"/>
        <v>52 Skilled metal, electrical and electronic trades</v>
      </c>
      <c r="CL96" s="18">
        <f t="shared" si="250"/>
        <v>-4.4729506099245198</v>
      </c>
      <c r="CM96" s="18">
        <f t="shared" si="250"/>
        <v>-21.10832334119408</v>
      </c>
      <c r="CN96" s="18">
        <f t="shared" si="250"/>
        <v>-10.178909080870168</v>
      </c>
      <c r="CO96" s="18">
        <f t="shared" si="250"/>
        <v>-5.065026773014103</v>
      </c>
      <c r="CP96" s="18">
        <f t="shared" si="251"/>
        <v>-7.7669498524118534</v>
      </c>
      <c r="CR96" s="18">
        <f t="shared" si="252"/>
        <v>-6.8012122790477409</v>
      </c>
      <c r="CS96" s="18">
        <f t="shared" si="253"/>
        <v>1.1876791080408955</v>
      </c>
      <c r="CT96" s="18">
        <f t="shared" si="254"/>
        <v>-4.0079605302927979</v>
      </c>
    </row>
    <row r="97" spans="1:98" x14ac:dyDescent="0.25">
      <c r="A97" t="str">
        <f t="shared" si="209"/>
        <v>53 Skilled construction and building trades</v>
      </c>
      <c r="B97" s="18">
        <f t="shared" si="210"/>
        <v>-4.0439350283899884</v>
      </c>
      <c r="C97" s="18">
        <f t="shared" si="210"/>
        <v>-39.266426120055428</v>
      </c>
      <c r="D97" s="18">
        <f t="shared" si="210"/>
        <v>7.9137685094897714</v>
      </c>
      <c r="E97" s="18">
        <f t="shared" si="210"/>
        <v>0.49604035508021838</v>
      </c>
      <c r="F97" s="18">
        <f t="shared" si="211"/>
        <v>-0.42646743311387514</v>
      </c>
      <c r="H97" s="18">
        <f t="shared" si="212"/>
        <v>2.9101599727769933</v>
      </c>
      <c r="I97" s="18">
        <f t="shared" si="213"/>
        <v>3.0819435269296314</v>
      </c>
      <c r="J97" s="18">
        <f t="shared" si="214"/>
        <v>5.1184013506928139</v>
      </c>
      <c r="L97" t="str">
        <f t="shared" si="255"/>
        <v>53 Skilled construction and building trades</v>
      </c>
      <c r="M97" s="18">
        <f t="shared" si="215"/>
        <v>5.6503751899320775</v>
      </c>
      <c r="N97" s="18">
        <f t="shared" si="215"/>
        <v>-29.322264152984236</v>
      </c>
      <c r="O97" s="18">
        <f t="shared" si="215"/>
        <v>7.4537050914223579</v>
      </c>
      <c r="P97" s="18">
        <f t="shared" si="215"/>
        <v>3.8694881083948252</v>
      </c>
      <c r="Q97" s="18">
        <f t="shared" si="216"/>
        <v>2.4806437332627995</v>
      </c>
      <c r="S97" s="18">
        <f t="shared" si="217"/>
        <v>5.0507423801599227</v>
      </c>
      <c r="T97" s="18">
        <f t="shared" si="218"/>
        <v>3.6719311492158013</v>
      </c>
      <c r="U97" s="18">
        <f t="shared" si="219"/>
        <v>7.1348020122613764</v>
      </c>
      <c r="W97" t="str">
        <f t="shared" si="256"/>
        <v>53 Skilled construction and building trades</v>
      </c>
      <c r="X97" s="18">
        <f t="shared" si="220"/>
        <v>-2.2261985385310989</v>
      </c>
      <c r="Y97" s="18">
        <f t="shared" si="220"/>
        <v>-19.374985507982178</v>
      </c>
      <c r="Z97" s="18">
        <f t="shared" si="220"/>
        <v>4.6224126942693067</v>
      </c>
      <c r="AA97" s="18">
        <f t="shared" si="220"/>
        <v>1.3181676016865929</v>
      </c>
      <c r="AB97" s="18">
        <f t="shared" si="221"/>
        <v>0.88850127220281294</v>
      </c>
      <c r="AD97" s="18">
        <f t="shared" si="222"/>
        <v>2.4078216375366335</v>
      </c>
      <c r="AE97" s="18">
        <f t="shared" si="223"/>
        <v>3.3481652718265309</v>
      </c>
      <c r="AF97" s="18">
        <f t="shared" si="224"/>
        <v>4.9622423920951952</v>
      </c>
      <c r="AH97" t="str">
        <f t="shared" si="257"/>
        <v>53 Skilled construction and building trades</v>
      </c>
      <c r="AI97" s="18">
        <f t="shared" si="225"/>
        <v>1.8187633270064785</v>
      </c>
      <c r="AJ97" s="18">
        <f t="shared" si="225"/>
        <v>-12.085638344004613</v>
      </c>
      <c r="AK97" s="18">
        <f t="shared" si="225"/>
        <v>3.574858633422795</v>
      </c>
      <c r="AL97" s="18">
        <f t="shared" si="225"/>
        <v>1.5479033352004956</v>
      </c>
      <c r="AM97" s="18">
        <f t="shared" si="226"/>
        <v>1.2605014933757097</v>
      </c>
      <c r="AO97" s="18">
        <f t="shared" si="227"/>
        <v>2.2191088310621998</v>
      </c>
      <c r="AP97" s="18">
        <f t="shared" si="228"/>
        <v>3.4151319484921894</v>
      </c>
      <c r="AQ97" s="18">
        <f t="shared" si="229"/>
        <v>4.884036980895079</v>
      </c>
      <c r="AS97" t="str">
        <f t="shared" si="258"/>
        <v>53 Skilled construction and building trades</v>
      </c>
      <c r="AT97" s="18">
        <f t="shared" si="230"/>
        <v>2.5305771452034609</v>
      </c>
      <c r="AU97" s="18">
        <f t="shared" si="230"/>
        <v>-14.406244392295919</v>
      </c>
      <c r="AV97" s="18">
        <f t="shared" si="230"/>
        <v>4.1078869710612365</v>
      </c>
      <c r="AW97" s="18">
        <f t="shared" si="230"/>
        <v>0.69584237645343716</v>
      </c>
      <c r="AX97" s="18">
        <f t="shared" si="231"/>
        <v>0.7217997155545719</v>
      </c>
      <c r="AZ97" s="18">
        <f t="shared" si="232"/>
        <v>1.8205808519636157</v>
      </c>
      <c r="BA97" s="18">
        <f t="shared" si="233"/>
        <v>3.2810557265851248</v>
      </c>
      <c r="BB97" s="18">
        <f t="shared" si="234"/>
        <v>4.4945159452241867</v>
      </c>
      <c r="BD97" t="str">
        <f t="shared" si="259"/>
        <v>53 Skilled construction and building trades</v>
      </c>
      <c r="BE97" s="18">
        <f t="shared" si="235"/>
        <v>4.2135712229488975</v>
      </c>
      <c r="BF97" s="18">
        <f t="shared" si="235"/>
        <v>-17.790314672320829</v>
      </c>
      <c r="BG97" s="18">
        <f t="shared" si="235"/>
        <v>0.71275914514075112</v>
      </c>
      <c r="BH97" s="18">
        <f t="shared" si="235"/>
        <v>-1.0464377234224331</v>
      </c>
      <c r="BI97" s="18">
        <f t="shared" si="236"/>
        <v>-1.6461789854620656</v>
      </c>
      <c r="BK97" s="18">
        <f t="shared" si="237"/>
        <v>-0.4634798484259961</v>
      </c>
      <c r="BL97" s="18">
        <f t="shared" si="238"/>
        <v>2.1828644628102634</v>
      </c>
      <c r="BM97" s="18">
        <f t="shared" si="239"/>
        <v>1.8434163490097966</v>
      </c>
      <c r="BO97" t="str">
        <f t="shared" si="260"/>
        <v>53 Skilled construction and building trades</v>
      </c>
      <c r="BP97" s="18">
        <f t="shared" si="240"/>
        <v>6.0687316785899448</v>
      </c>
      <c r="BQ97" s="18">
        <f t="shared" si="240"/>
        <v>-20.939286111320186</v>
      </c>
      <c r="BR97" s="18">
        <f t="shared" si="240"/>
        <v>2.7317472204972937</v>
      </c>
      <c r="BS97" s="18">
        <f t="shared" si="240"/>
        <v>-0.57890227376031778</v>
      </c>
      <c r="BT97" s="18">
        <f t="shared" si="241"/>
        <v>-0.98423374139504638</v>
      </c>
      <c r="BV97" s="18">
        <f t="shared" si="242"/>
        <v>0.51262011804966701</v>
      </c>
      <c r="BW97" s="18">
        <f t="shared" si="243"/>
        <v>2.7926350585934401</v>
      </c>
      <c r="BX97" s="18">
        <f t="shared" si="244"/>
        <v>3.1454235840151057</v>
      </c>
      <c r="BZ97" t="str">
        <f t="shared" si="261"/>
        <v>53 Skilled construction and building trades</v>
      </c>
      <c r="CA97" s="18">
        <f t="shared" si="245"/>
        <v>-2.0332464083894219E-2</v>
      </c>
      <c r="CB97" s="18">
        <f t="shared" si="245"/>
        <v>-13.575369476989241</v>
      </c>
      <c r="CC97" s="18">
        <f t="shared" si="245"/>
        <v>-2.4435548505284399</v>
      </c>
      <c r="CD97" s="18">
        <f t="shared" si="245"/>
        <v>-3.5168466700323364</v>
      </c>
      <c r="CE97" s="18">
        <f t="shared" si="246"/>
        <v>-3.8466287069806038</v>
      </c>
      <c r="CG97" s="18">
        <f t="shared" si="247"/>
        <v>-3.16040119701817</v>
      </c>
      <c r="CH97" s="18">
        <f t="shared" si="248"/>
        <v>1.8625964974095632</v>
      </c>
      <c r="CI97" s="18">
        <f t="shared" si="249"/>
        <v>-0.43533592219957562</v>
      </c>
      <c r="CK97" t="str">
        <f t="shared" si="262"/>
        <v>53 Skilled construction and building trades</v>
      </c>
      <c r="CL97" s="18">
        <f t="shared" si="250"/>
        <v>0.67236321674666311</v>
      </c>
      <c r="CM97" s="18">
        <f t="shared" si="250"/>
        <v>-18.959552803948508</v>
      </c>
      <c r="CN97" s="18">
        <f t="shared" si="250"/>
        <v>-12.264806636214132</v>
      </c>
      <c r="CO97" s="18">
        <f t="shared" si="250"/>
        <v>-15.290741503357907</v>
      </c>
      <c r="CP97" s="18">
        <f t="shared" si="251"/>
        <v>-14.593192426850543</v>
      </c>
      <c r="CR97" s="18">
        <f t="shared" si="252"/>
        <v>-14.293873812348023</v>
      </c>
      <c r="CS97" s="18">
        <f t="shared" si="253"/>
        <v>0.78364840983193851</v>
      </c>
      <c r="CT97" s="18">
        <f t="shared" si="254"/>
        <v>-9.5166573167432489</v>
      </c>
    </row>
    <row r="98" spans="1:98" x14ac:dyDescent="0.25">
      <c r="A98" t="str">
        <f t="shared" si="209"/>
        <v>54 Textiles, printing and other skilled trades</v>
      </c>
      <c r="B98" s="18">
        <f t="shared" si="210"/>
        <v>0.1282275333471361</v>
      </c>
      <c r="C98" s="18">
        <f t="shared" si="210"/>
        <v>-11.37494075463843</v>
      </c>
      <c r="D98" s="18">
        <f t="shared" si="210"/>
        <v>5.0630294892217265</v>
      </c>
      <c r="E98" s="18">
        <f t="shared" si="210"/>
        <v>2.4879657706604164</v>
      </c>
      <c r="F98" s="18">
        <f t="shared" si="211"/>
        <v>2.3519047504948487</v>
      </c>
      <c r="H98" s="18">
        <f t="shared" si="212"/>
        <v>3.3392301706438143</v>
      </c>
      <c r="I98" s="18">
        <f t="shared" si="213"/>
        <v>3.3086902816962693</v>
      </c>
      <c r="J98" s="18">
        <f t="shared" si="214"/>
        <v>5.6055933294390625</v>
      </c>
      <c r="L98" t="str">
        <f t="shared" si="255"/>
        <v>54 Textiles, printing and other skilled trades</v>
      </c>
      <c r="M98" s="18">
        <f t="shared" si="215"/>
        <v>6.2976024614617598</v>
      </c>
      <c r="N98" s="18">
        <f t="shared" si="215"/>
        <v>6.328233649080417</v>
      </c>
      <c r="O98" s="18">
        <f t="shared" si="215"/>
        <v>5.4525394388846626</v>
      </c>
      <c r="P98" s="18">
        <f t="shared" si="215"/>
        <v>4.1751472885942498</v>
      </c>
      <c r="Q98" s="18">
        <f t="shared" si="216"/>
        <v>4.7064511712741286</v>
      </c>
      <c r="S98" s="18">
        <f t="shared" si="217"/>
        <v>4.5992160606707522</v>
      </c>
      <c r="T98" s="18">
        <f t="shared" si="218"/>
        <v>3.9464643838387881</v>
      </c>
      <c r="U98" s="18">
        <f t="shared" si="219"/>
        <v>6.9769127411139165</v>
      </c>
      <c r="W98" t="str">
        <f t="shared" si="256"/>
        <v>54 Textiles, printing and other skilled trades</v>
      </c>
      <c r="X98" s="18">
        <f t="shared" si="220"/>
        <v>-4.1534421573628855</v>
      </c>
      <c r="Y98" s="18">
        <f t="shared" si="220"/>
        <v>11.430527796857604</v>
      </c>
      <c r="Z98" s="18">
        <f t="shared" si="220"/>
        <v>3.4569599385660066</v>
      </c>
      <c r="AA98" s="18">
        <f t="shared" si="220"/>
        <v>2.3205755952806717</v>
      </c>
      <c r="AB98" s="18">
        <f t="shared" si="221"/>
        <v>3.2231316915724895</v>
      </c>
      <c r="AD98" s="18">
        <f t="shared" si="222"/>
        <v>2.6979766520681903</v>
      </c>
      <c r="AE98" s="18">
        <f t="shared" si="223"/>
        <v>3.6827282001078876</v>
      </c>
      <c r="AF98" s="18">
        <f t="shared" si="224"/>
        <v>5.4323487007443605</v>
      </c>
      <c r="AH98" t="str">
        <f t="shared" si="257"/>
        <v>54 Textiles, printing and other skilled trades</v>
      </c>
      <c r="AI98" s="18">
        <f t="shared" si="225"/>
        <v>-6.0556824960285471</v>
      </c>
      <c r="AJ98" s="18">
        <f t="shared" si="225"/>
        <v>22.960240232531049</v>
      </c>
      <c r="AK98" s="18">
        <f t="shared" si="225"/>
        <v>0.5068199592761724</v>
      </c>
      <c r="AL98" s="18">
        <f t="shared" si="225"/>
        <v>1.530658190234746</v>
      </c>
      <c r="AM98" s="18">
        <f t="shared" si="226"/>
        <v>2.4282254497300704</v>
      </c>
      <c r="AO98" s="18">
        <f t="shared" si="227"/>
        <v>1.1882251524375498</v>
      </c>
      <c r="AP98" s="18">
        <f t="shared" si="228"/>
        <v>3.3339762511589432</v>
      </c>
      <c r="AQ98" s="18">
        <f t="shared" si="229"/>
        <v>4.1085134696386971</v>
      </c>
      <c r="AS98" t="str">
        <f t="shared" si="258"/>
        <v>54 Textiles, printing and other skilled trades</v>
      </c>
      <c r="AT98" s="18">
        <f t="shared" si="230"/>
        <v>-5.8630374812858825</v>
      </c>
      <c r="AU98" s="18">
        <f t="shared" si="230"/>
        <v>17.271151206802671</v>
      </c>
      <c r="AV98" s="18">
        <f t="shared" si="230"/>
        <v>1.8100635250860142</v>
      </c>
      <c r="AW98" s="18">
        <f t="shared" si="230"/>
        <v>1.5716450004894966</v>
      </c>
      <c r="AX98" s="18">
        <f t="shared" si="231"/>
        <v>2.5632677757656319</v>
      </c>
      <c r="AZ98" s="18">
        <f t="shared" si="232"/>
        <v>1.6510557409392224</v>
      </c>
      <c r="BA98" s="18">
        <f t="shared" si="233"/>
        <v>3.2674610341344446</v>
      </c>
      <c r="BB98" s="18">
        <f t="shared" si="234"/>
        <v>4.3653052033515216</v>
      </c>
      <c r="BD98" t="str">
        <f t="shared" si="259"/>
        <v>54 Textiles, printing and other skilled trades</v>
      </c>
      <c r="BE98" s="18">
        <f t="shared" si="235"/>
        <v>-0.25407688433227715</v>
      </c>
      <c r="BF98" s="18">
        <f t="shared" si="235"/>
        <v>-5.5236052133396445</v>
      </c>
      <c r="BG98" s="18">
        <f t="shared" si="235"/>
        <v>1.7838864329153159</v>
      </c>
      <c r="BH98" s="18">
        <f t="shared" si="235"/>
        <v>-2.8484404493345217E-2</v>
      </c>
      <c r="BI98" s="18">
        <f t="shared" si="236"/>
        <v>0.17978063642449804</v>
      </c>
      <c r="BK98" s="18">
        <f t="shared" si="237"/>
        <v>0.57202484446028379</v>
      </c>
      <c r="BL98" s="18">
        <f t="shared" si="238"/>
        <v>2.427399715296974</v>
      </c>
      <c r="BM98" s="18">
        <f t="shared" si="239"/>
        <v>2.8411513320379944</v>
      </c>
      <c r="BO98" t="str">
        <f t="shared" si="260"/>
        <v>54 Textiles, printing and other skilled trades</v>
      </c>
      <c r="BP98" s="18">
        <f t="shared" si="240"/>
        <v>-3.0560939514918561</v>
      </c>
      <c r="BQ98" s="18">
        <f t="shared" si="240"/>
        <v>-7.3711721933855667</v>
      </c>
      <c r="BR98" s="18">
        <f t="shared" si="240"/>
        <v>-0.56622900407183874</v>
      </c>
      <c r="BS98" s="18">
        <f t="shared" si="240"/>
        <v>-1.2774967457529707</v>
      </c>
      <c r="BT98" s="18">
        <f t="shared" si="241"/>
        <v>-1.4489894718863083</v>
      </c>
      <c r="BV98" s="18">
        <f t="shared" si="242"/>
        <v>-1.0409746173867362</v>
      </c>
      <c r="BW98" s="18">
        <f t="shared" si="243"/>
        <v>2.1727402969670795</v>
      </c>
      <c r="BX98" s="18">
        <f t="shared" si="244"/>
        <v>1.4181815628381278</v>
      </c>
      <c r="BZ98" t="str">
        <f t="shared" si="261"/>
        <v>54 Textiles, printing and other skilled trades</v>
      </c>
      <c r="CA98" s="18">
        <f t="shared" si="245"/>
        <v>-4.7842514458712575</v>
      </c>
      <c r="CB98" s="18">
        <f t="shared" si="245"/>
        <v>-3.1078035558836592</v>
      </c>
      <c r="CC98" s="18">
        <f t="shared" si="245"/>
        <v>-2.8190033277577631</v>
      </c>
      <c r="CD98" s="18">
        <f t="shared" si="245"/>
        <v>-4.9845753177156116</v>
      </c>
      <c r="CE98" s="18">
        <f t="shared" si="246"/>
        <v>-4.1960219225657074</v>
      </c>
      <c r="CG98" s="18">
        <f t="shared" si="247"/>
        <v>-4.268133725931456</v>
      </c>
      <c r="CH98" s="18">
        <f t="shared" si="248"/>
        <v>1.6541344108584655</v>
      </c>
      <c r="CI98" s="18">
        <f t="shared" si="249"/>
        <v>-1.4862334089545626</v>
      </c>
      <c r="CK98" t="str">
        <f t="shared" si="262"/>
        <v>54 Textiles, printing and other skilled trades</v>
      </c>
      <c r="CL98" s="18">
        <f t="shared" si="250"/>
        <v>-7.1429371659181058</v>
      </c>
      <c r="CM98" s="18">
        <f t="shared" si="250"/>
        <v>5.7872106166852788</v>
      </c>
      <c r="CN98" s="18">
        <f t="shared" si="250"/>
        <v>-11.196412525308252</v>
      </c>
      <c r="CO98" s="18">
        <f t="shared" si="250"/>
        <v>-4.2340044611334227</v>
      </c>
      <c r="CP98" s="18">
        <f t="shared" si="251"/>
        <v>-5.8828674130765535</v>
      </c>
      <c r="CR98" s="18">
        <f t="shared" si="252"/>
        <v>-6.613437684995116</v>
      </c>
      <c r="CS98" s="18">
        <f t="shared" si="253"/>
        <v>1.0597715300832089</v>
      </c>
      <c r="CT98" s="18">
        <f t="shared" si="254"/>
        <v>-4.1486235818671719</v>
      </c>
    </row>
    <row r="99" spans="1:98" x14ac:dyDescent="0.25">
      <c r="A99" t="str">
        <f t="shared" si="209"/>
        <v>61 Caring personal service occupations</v>
      </c>
      <c r="B99" s="18">
        <f t="shared" si="210"/>
        <v>8.9844507437024426</v>
      </c>
      <c r="C99" s="18">
        <f t="shared" si="210"/>
        <v>0.23480403256057603</v>
      </c>
      <c r="D99" s="18">
        <f t="shared" si="210"/>
        <v>6.9899628820252913</v>
      </c>
      <c r="E99" s="18">
        <f t="shared" si="210"/>
        <v>6.1461347799580901</v>
      </c>
      <c r="F99" s="18">
        <f t="shared" si="211"/>
        <v>6.0287089588473286</v>
      </c>
      <c r="H99" s="18">
        <f t="shared" si="212"/>
        <v>6.4266687367243946</v>
      </c>
      <c r="I99" s="18">
        <f t="shared" si="213"/>
        <v>4.3634505840227433</v>
      </c>
      <c r="J99" s="18">
        <f t="shared" si="214"/>
        <v>8.5917045643845178</v>
      </c>
      <c r="L99" t="str">
        <f t="shared" si="255"/>
        <v>61 Caring personal service occupations</v>
      </c>
      <c r="M99" s="18">
        <f t="shared" si="215"/>
        <v>10.670356758140386</v>
      </c>
      <c r="N99" s="18">
        <f t="shared" si="215"/>
        <v>4.2043367361531025</v>
      </c>
      <c r="O99" s="18">
        <f t="shared" si="215"/>
        <v>7.4017824180837133</v>
      </c>
      <c r="P99" s="18">
        <f t="shared" si="215"/>
        <v>6.7735321073536525</v>
      </c>
      <c r="Q99" s="18">
        <f t="shared" si="216"/>
        <v>6.8067520055999475</v>
      </c>
      <c r="S99" s="18">
        <f t="shared" si="217"/>
        <v>6.9825394822579323</v>
      </c>
      <c r="T99" s="18">
        <f t="shared" si="218"/>
        <v>4.7236912338253889</v>
      </c>
      <c r="U99" s="18">
        <f t="shared" si="219"/>
        <v>9.2128527342840947</v>
      </c>
      <c r="W99" t="str">
        <f t="shared" si="256"/>
        <v>61 Caring personal service occupations</v>
      </c>
      <c r="X99" s="18">
        <f t="shared" si="220"/>
        <v>1.1184023118003372</v>
      </c>
      <c r="Y99" s="18">
        <f t="shared" si="220"/>
        <v>17.339372785594787</v>
      </c>
      <c r="Z99" s="18">
        <f t="shared" si="220"/>
        <v>3.2681883470790041</v>
      </c>
      <c r="AA99" s="18">
        <f t="shared" si="220"/>
        <v>2.7646466658360014</v>
      </c>
      <c r="AB99" s="18">
        <f t="shared" si="221"/>
        <v>3.7784351837131913</v>
      </c>
      <c r="AD99" s="18">
        <f t="shared" si="222"/>
        <v>2.9322204890702253</v>
      </c>
      <c r="AE99" s="18">
        <f t="shared" si="223"/>
        <v>4.2141261678237507</v>
      </c>
      <c r="AF99" s="18">
        <f t="shared" si="224"/>
        <v>6.0102349063640315</v>
      </c>
      <c r="AH99" t="str">
        <f t="shared" si="257"/>
        <v>61 Caring personal service occupations</v>
      </c>
      <c r="AI99" s="18">
        <f t="shared" si="225"/>
        <v>-1.7729038318387125</v>
      </c>
      <c r="AJ99" s="18">
        <f t="shared" si="225"/>
        <v>19.283458548308687</v>
      </c>
      <c r="AK99" s="18">
        <f t="shared" si="225"/>
        <v>0.45430107408632736</v>
      </c>
      <c r="AL99" s="18">
        <f t="shared" si="225"/>
        <v>1.12342905015681</v>
      </c>
      <c r="AM99" s="18">
        <f t="shared" si="226"/>
        <v>1.9609325583937132</v>
      </c>
      <c r="AO99" s="18">
        <f t="shared" si="227"/>
        <v>0.89989262146270566</v>
      </c>
      <c r="AP99" s="18">
        <f t="shared" si="228"/>
        <v>3.342784058620385</v>
      </c>
      <c r="AQ99" s="18">
        <f t="shared" si="229"/>
        <v>3.9244040461055008</v>
      </c>
      <c r="AS99" t="str">
        <f t="shared" si="258"/>
        <v>61 Caring personal service occupations</v>
      </c>
      <c r="AT99" s="18">
        <f t="shared" si="230"/>
        <v>0.48540717206340123</v>
      </c>
      <c r="AU99" s="18">
        <f t="shared" si="230"/>
        <v>17.632261369842862</v>
      </c>
      <c r="AV99" s="18">
        <f t="shared" si="230"/>
        <v>0.86808029706424428</v>
      </c>
      <c r="AW99" s="18">
        <f t="shared" si="230"/>
        <v>1.6395069786055316</v>
      </c>
      <c r="AX99" s="18">
        <f t="shared" si="231"/>
        <v>2.3281317434601156</v>
      </c>
      <c r="AZ99" s="18">
        <f t="shared" si="232"/>
        <v>1.3817114390039409</v>
      </c>
      <c r="BA99" s="18">
        <f t="shared" si="233"/>
        <v>3.4892060434607464</v>
      </c>
      <c r="BB99" s="18">
        <f t="shared" si="234"/>
        <v>4.3765968612337947</v>
      </c>
      <c r="BD99" t="str">
        <f t="shared" si="259"/>
        <v>61 Caring personal service occupations</v>
      </c>
      <c r="BE99" s="18">
        <f t="shared" si="235"/>
        <v>4.9380171941803885</v>
      </c>
      <c r="BF99" s="18">
        <f t="shared" si="235"/>
        <v>-4.8470385300627639</v>
      </c>
      <c r="BG99" s="18">
        <f t="shared" si="235"/>
        <v>2.2477577111556402</v>
      </c>
      <c r="BH99" s="18">
        <f t="shared" si="235"/>
        <v>0.9380627500412908</v>
      </c>
      <c r="BI99" s="18">
        <f t="shared" si="236"/>
        <v>0.97237182324667604</v>
      </c>
      <c r="BK99" s="18">
        <f t="shared" si="237"/>
        <v>1.372753053722664</v>
      </c>
      <c r="BL99" s="18">
        <f t="shared" si="238"/>
        <v>3.3615744860321817</v>
      </c>
      <c r="BM99" s="18">
        <f t="shared" si="239"/>
        <v>4.2574136954014241</v>
      </c>
      <c r="BO99" t="str">
        <f t="shared" si="260"/>
        <v>61 Caring personal service occupations</v>
      </c>
      <c r="BP99" s="18">
        <f t="shared" si="240"/>
        <v>1.8655419381874871</v>
      </c>
      <c r="BQ99" s="18">
        <f t="shared" si="240"/>
        <v>-17.318681541381931</v>
      </c>
      <c r="BR99" s="18">
        <f t="shared" si="240"/>
        <v>1.2227715912625392</v>
      </c>
      <c r="BS99" s="18">
        <f t="shared" si="240"/>
        <v>-1.8868111065598936</v>
      </c>
      <c r="BT99" s="18">
        <f t="shared" si="241"/>
        <v>-1.9794743984317131</v>
      </c>
      <c r="BV99" s="18">
        <f t="shared" si="242"/>
        <v>-0.86104521847417681</v>
      </c>
      <c r="BW99" s="18">
        <f t="shared" si="243"/>
        <v>2.837318868802674</v>
      </c>
      <c r="BX99" s="18">
        <f t="shared" si="244"/>
        <v>2.2675562955995154</v>
      </c>
      <c r="BZ99" t="str">
        <f t="shared" si="261"/>
        <v>61 Caring personal service occupations</v>
      </c>
      <c r="CA99" s="18">
        <f t="shared" si="245"/>
        <v>-13.12569986235561</v>
      </c>
      <c r="CB99" s="18">
        <f t="shared" si="245"/>
        <v>-17.720111074387734</v>
      </c>
      <c r="CC99" s="18">
        <f t="shared" si="245"/>
        <v>-7.0404222540260246</v>
      </c>
      <c r="CD99" s="18">
        <f t="shared" si="245"/>
        <v>-2.9864600408577302</v>
      </c>
      <c r="CE99" s="18">
        <f t="shared" si="246"/>
        <v>-5.2524485156736578</v>
      </c>
      <c r="CG99" s="18">
        <f t="shared" si="247"/>
        <v>-4.3570531286295626</v>
      </c>
      <c r="CH99" s="18">
        <f t="shared" si="248"/>
        <v>1.3642113594778627</v>
      </c>
      <c r="CI99" s="18">
        <f t="shared" si="249"/>
        <v>-2.0050772857603483</v>
      </c>
      <c r="CK99" t="str">
        <f t="shared" si="262"/>
        <v>61 Caring personal service occupations</v>
      </c>
      <c r="CL99" s="18">
        <f t="shared" si="250"/>
        <v>-6.941665970264288</v>
      </c>
      <c r="CM99" s="18">
        <f t="shared" si="250"/>
        <v>7.6613213215974252</v>
      </c>
      <c r="CN99" s="18">
        <f t="shared" si="250"/>
        <v>-4.2058937497034261</v>
      </c>
      <c r="CO99" s="18">
        <f t="shared" si="250"/>
        <v>-2.8465064138067819</v>
      </c>
      <c r="CP99" s="18">
        <f t="shared" si="251"/>
        <v>-2.6505241997054618</v>
      </c>
      <c r="CR99" s="18">
        <f t="shared" si="252"/>
        <v>-3.3017655276193159</v>
      </c>
      <c r="CS99" s="18">
        <f t="shared" si="253"/>
        <v>1.384374691445811</v>
      </c>
      <c r="CT99" s="18">
        <f t="shared" si="254"/>
        <v>-1.2077997273164831</v>
      </c>
    </row>
    <row r="100" spans="1:98" x14ac:dyDescent="0.25">
      <c r="A100" t="str">
        <f t="shared" si="209"/>
        <v>62 Leisure, travel and related personal service occupations</v>
      </c>
      <c r="B100" s="18">
        <f t="shared" si="210"/>
        <v>15.784650616276341</v>
      </c>
      <c r="C100" s="18">
        <f t="shared" si="210"/>
        <v>6.9473335171050143</v>
      </c>
      <c r="D100" s="18">
        <f t="shared" si="210"/>
        <v>7.4164103049443098</v>
      </c>
      <c r="E100" s="18">
        <f t="shared" si="210"/>
        <v>5.9062011214734422</v>
      </c>
      <c r="F100" s="18">
        <f t="shared" si="211"/>
        <v>6.4409065461104031</v>
      </c>
      <c r="H100" s="18">
        <f t="shared" si="212"/>
        <v>6.4072301390168729</v>
      </c>
      <c r="I100" s="18">
        <f t="shared" si="213"/>
        <v>4.5596608360098045</v>
      </c>
      <c r="J100" s="18">
        <f t="shared" si="214"/>
        <v>8.6904468410547544</v>
      </c>
      <c r="L100" t="str">
        <f t="shared" si="255"/>
        <v>62 Leisure, travel and related personal service occupations</v>
      </c>
      <c r="M100" s="18">
        <f t="shared" si="215"/>
        <v>4.6037718196077604</v>
      </c>
      <c r="N100" s="18">
        <f t="shared" si="215"/>
        <v>-0.55262022350447415</v>
      </c>
      <c r="O100" s="18">
        <f t="shared" si="215"/>
        <v>5.4474396451483775</v>
      </c>
      <c r="P100" s="18">
        <f t="shared" si="215"/>
        <v>6.1418889775060048</v>
      </c>
      <c r="Q100" s="18">
        <f t="shared" si="216"/>
        <v>5.4939621817226447</v>
      </c>
      <c r="S100" s="18">
        <f t="shared" si="217"/>
        <v>5.9098991859577454</v>
      </c>
      <c r="T100" s="18">
        <f t="shared" si="218"/>
        <v>4.2000978759656249</v>
      </c>
      <c r="U100" s="18">
        <f t="shared" si="219"/>
        <v>8.1073774773964722</v>
      </c>
      <c r="W100" t="str">
        <f t="shared" si="256"/>
        <v>62 Leisure, travel and related personal service occupations</v>
      </c>
      <c r="X100" s="18">
        <f t="shared" si="220"/>
        <v>-0.36229299945664817</v>
      </c>
      <c r="Y100" s="18">
        <f t="shared" si="220"/>
        <v>5.5952906124773216</v>
      </c>
      <c r="Z100" s="18">
        <f t="shared" si="220"/>
        <v>4.2692444156536391</v>
      </c>
      <c r="AA100" s="18">
        <f t="shared" si="220"/>
        <v>3.5711816998157397</v>
      </c>
      <c r="AB100" s="18">
        <f t="shared" si="221"/>
        <v>3.9144485461438228</v>
      </c>
      <c r="AD100" s="18">
        <f t="shared" si="222"/>
        <v>3.8033484543256391</v>
      </c>
      <c r="AE100" s="18">
        <f t="shared" si="223"/>
        <v>4.2349931339163982</v>
      </c>
      <c r="AF100" s="18">
        <f t="shared" si="224"/>
        <v>6.6141241754347435</v>
      </c>
      <c r="AH100" t="str">
        <f t="shared" si="257"/>
        <v>62 Leisure, travel and related personal service occupations</v>
      </c>
      <c r="AI100" s="18">
        <f t="shared" si="225"/>
        <v>-1.1986380990050449</v>
      </c>
      <c r="AJ100" s="18">
        <f t="shared" si="225"/>
        <v>7.8172488407304286</v>
      </c>
      <c r="AK100" s="18">
        <f t="shared" si="225"/>
        <v>2.6512686792400819</v>
      </c>
      <c r="AL100" s="18">
        <f t="shared" si="225"/>
        <v>3.0963642085473309</v>
      </c>
      <c r="AM100" s="18">
        <f t="shared" si="226"/>
        <v>3.2455778600473995</v>
      </c>
      <c r="AO100" s="18">
        <f t="shared" si="227"/>
        <v>2.9477850073569289</v>
      </c>
      <c r="AP100" s="18">
        <f t="shared" si="228"/>
        <v>3.9892822167461262</v>
      </c>
      <c r="AQ100" s="18">
        <f t="shared" si="229"/>
        <v>5.8443893027188887</v>
      </c>
      <c r="AS100" t="str">
        <f t="shared" si="258"/>
        <v>62 Leisure, travel and related personal service occupations</v>
      </c>
      <c r="AT100" s="18">
        <f t="shared" si="230"/>
        <v>-1.8497421031917205</v>
      </c>
      <c r="AU100" s="18">
        <f t="shared" si="230"/>
        <v>11.157302991106711</v>
      </c>
      <c r="AV100" s="18">
        <f t="shared" si="230"/>
        <v>3.4718666630892958</v>
      </c>
      <c r="AW100" s="18">
        <f t="shared" si="230"/>
        <v>3.3258588007277767</v>
      </c>
      <c r="AX100" s="18">
        <f t="shared" si="231"/>
        <v>3.8445547516696488</v>
      </c>
      <c r="AZ100" s="18">
        <f t="shared" si="232"/>
        <v>3.3745051816044702</v>
      </c>
      <c r="BA100" s="18">
        <f t="shared" si="233"/>
        <v>4.1205621999945707</v>
      </c>
      <c r="BB100" s="18">
        <f t="shared" si="234"/>
        <v>6.2354194307537414</v>
      </c>
      <c r="BD100" t="str">
        <f t="shared" si="259"/>
        <v>62 Leisure, travel and related personal service occupations</v>
      </c>
      <c r="BE100" s="18">
        <f t="shared" si="235"/>
        <v>-3.4346145116493143</v>
      </c>
      <c r="BF100" s="18">
        <f t="shared" si="235"/>
        <v>-10.21755557849573</v>
      </c>
      <c r="BG100" s="18">
        <f t="shared" si="235"/>
        <v>-9.0337084507141618E-2</v>
      </c>
      <c r="BH100" s="18">
        <f t="shared" si="235"/>
        <v>-0.70995712498423957</v>
      </c>
      <c r="BI100" s="18">
        <f t="shared" si="236"/>
        <v>-1.140623454803058</v>
      </c>
      <c r="BK100" s="18">
        <f t="shared" si="237"/>
        <v>-0.50384526614565273</v>
      </c>
      <c r="BL100" s="18">
        <f t="shared" si="238"/>
        <v>2.4486391494974891</v>
      </c>
      <c r="BM100" s="18">
        <f t="shared" si="239"/>
        <v>2.0934436497757059</v>
      </c>
      <c r="BO100" t="str">
        <f t="shared" si="260"/>
        <v>62 Leisure, travel and related personal service occupations</v>
      </c>
      <c r="BP100" s="18">
        <f t="shared" si="240"/>
        <v>-3.3721980828824938</v>
      </c>
      <c r="BQ100" s="18">
        <f t="shared" si="240"/>
        <v>-19.240324342404648</v>
      </c>
      <c r="BR100" s="18">
        <f t="shared" si="240"/>
        <v>-2.3936250819467375E-2</v>
      </c>
      <c r="BS100" s="18">
        <f t="shared" si="240"/>
        <v>-1.988753361265283</v>
      </c>
      <c r="BT100" s="18">
        <f t="shared" si="241"/>
        <v>-2.565083646390498</v>
      </c>
      <c r="BV100" s="18">
        <f t="shared" si="242"/>
        <v>-1.338142713847601</v>
      </c>
      <c r="BW100" s="18">
        <f t="shared" si="243"/>
        <v>2.5692526785505931</v>
      </c>
      <c r="BX100" s="18">
        <f t="shared" si="244"/>
        <v>1.6597639539056575</v>
      </c>
      <c r="BZ100" t="str">
        <f t="shared" si="261"/>
        <v>62 Leisure, travel and related personal service occupations</v>
      </c>
      <c r="CA100" s="18">
        <f t="shared" si="245"/>
        <v>-4.1167974900514164</v>
      </c>
      <c r="CB100" s="18">
        <f t="shared" si="245"/>
        <v>-15.654628674195637</v>
      </c>
      <c r="CC100" s="18">
        <f t="shared" si="245"/>
        <v>-1.5554302771276118</v>
      </c>
      <c r="CD100" s="18">
        <f t="shared" si="245"/>
        <v>-4.028531339573016</v>
      </c>
      <c r="CE100" s="18">
        <f t="shared" si="246"/>
        <v>-4.0400323087010808</v>
      </c>
      <c r="CG100" s="18">
        <f t="shared" si="247"/>
        <v>-3.2111457272048005</v>
      </c>
      <c r="CH100" s="18">
        <f t="shared" si="248"/>
        <v>2.050442706537825</v>
      </c>
      <c r="CI100" s="18">
        <f t="shared" si="249"/>
        <v>-0.21127319493202679</v>
      </c>
      <c r="CK100" t="str">
        <f t="shared" si="262"/>
        <v>62 Leisure, travel and related personal service occupations</v>
      </c>
      <c r="CL100" s="18">
        <f t="shared" si="250"/>
        <v>-8.7520637127907701</v>
      </c>
      <c r="CM100" s="18">
        <f t="shared" si="250"/>
        <v>1.4074917859239422</v>
      </c>
      <c r="CN100" s="18">
        <f t="shared" si="250"/>
        <v>-8.7119541399743987</v>
      </c>
      <c r="CO100" s="18">
        <f t="shared" si="250"/>
        <v>-4.4082208250285309</v>
      </c>
      <c r="CP100" s="18">
        <f t="shared" si="251"/>
        <v>-5.4260419697803481</v>
      </c>
      <c r="CR100" s="18">
        <f t="shared" si="252"/>
        <v>-5.8648829932250068</v>
      </c>
      <c r="CS100" s="18">
        <f t="shared" si="253"/>
        <v>1.172639221179872</v>
      </c>
      <c r="CT100" s="18">
        <f t="shared" si="254"/>
        <v>-3.4021238192954439</v>
      </c>
    </row>
    <row r="101" spans="1:98" x14ac:dyDescent="0.25">
      <c r="A101" t="str">
        <f t="shared" si="209"/>
        <v>63 Community and civil enforcement occupations</v>
      </c>
      <c r="B101" s="18">
        <f t="shared" si="210"/>
        <v>12.183341967739603</v>
      </c>
      <c r="C101" s="18">
        <f t="shared" si="210"/>
        <v>-21.976440256061114</v>
      </c>
      <c r="D101" s="18">
        <f t="shared" si="210"/>
        <v>9.1424429806823859</v>
      </c>
      <c r="E101" s="18">
        <f t="shared" si="210"/>
        <v>4.7270050970168676</v>
      </c>
      <c r="F101" s="18">
        <f t="shared" si="211"/>
        <v>4.153485844668281</v>
      </c>
      <c r="H101" s="18">
        <f t="shared" si="212"/>
        <v>6.1786044454986921</v>
      </c>
      <c r="I101" s="18">
        <f t="shared" si="213"/>
        <v>4.590249557412851</v>
      </c>
      <c r="J101" s="18">
        <f t="shared" si="214"/>
        <v>8.5394967158810786</v>
      </c>
      <c r="L101" t="str">
        <f t="shared" si="255"/>
        <v>63 Community and civil enforcement occupations</v>
      </c>
      <c r="M101" s="18">
        <f t="shared" si="215"/>
        <v>4.6812916378382363</v>
      </c>
      <c r="N101" s="18">
        <f t="shared" si="215"/>
        <v>1.3000405462839204</v>
      </c>
      <c r="O101" s="18">
        <f t="shared" si="215"/>
        <v>3.9131377969278569</v>
      </c>
      <c r="P101" s="18">
        <f t="shared" si="215"/>
        <v>5.1098057010597886</v>
      </c>
      <c r="Q101" s="18">
        <f t="shared" si="216"/>
        <v>4.4929861653583369</v>
      </c>
      <c r="S101" s="18">
        <f t="shared" si="217"/>
        <v>4.7093929760779751</v>
      </c>
      <c r="T101" s="18">
        <f t="shared" si="218"/>
        <v>3.8351597271453208</v>
      </c>
      <c r="U101" s="18">
        <f t="shared" si="219"/>
        <v>6.9840553696359775</v>
      </c>
      <c r="W101" t="str">
        <f t="shared" si="256"/>
        <v>63 Community and civil enforcement occupations</v>
      </c>
      <c r="X101" s="18">
        <f t="shared" si="220"/>
        <v>-1.5885062557993268</v>
      </c>
      <c r="Y101" s="18">
        <f t="shared" si="220"/>
        <v>16.599531125087008</v>
      </c>
      <c r="Z101" s="18">
        <f t="shared" si="220"/>
        <v>2.7903582410075956</v>
      </c>
      <c r="AA101" s="18">
        <f t="shared" si="220"/>
        <v>2.4633665931821591</v>
      </c>
      <c r="AB101" s="18">
        <f t="shared" si="221"/>
        <v>3.3972664083841142</v>
      </c>
      <c r="AD101" s="18">
        <f t="shared" si="222"/>
        <v>2.5722480665431036</v>
      </c>
      <c r="AE101" s="18">
        <f t="shared" si="223"/>
        <v>4.1012054935150255</v>
      </c>
      <c r="AF101" s="18">
        <f t="shared" si="224"/>
        <v>5.6824600980921014</v>
      </c>
      <c r="AH101" t="str">
        <f t="shared" si="257"/>
        <v>63 Community and civil enforcement occupations</v>
      </c>
      <c r="AI101" s="18">
        <f t="shared" si="225"/>
        <v>-4.3056998365211374</v>
      </c>
      <c r="AJ101" s="18">
        <f t="shared" si="225"/>
        <v>32.327713967492855</v>
      </c>
      <c r="AK101" s="18">
        <f t="shared" si="225"/>
        <v>-0.72286657346143368</v>
      </c>
      <c r="AL101" s="18">
        <f t="shared" si="225"/>
        <v>2.7102902386652694</v>
      </c>
      <c r="AM101" s="18">
        <f t="shared" si="226"/>
        <v>3.2469621846093144</v>
      </c>
      <c r="AO101" s="18">
        <f t="shared" si="227"/>
        <v>1.5529118437140221</v>
      </c>
      <c r="AP101" s="18">
        <f t="shared" si="228"/>
        <v>3.2971722800466674</v>
      </c>
      <c r="AQ101" s="18">
        <f t="shared" si="229"/>
        <v>4.3234543122436353</v>
      </c>
      <c r="AS101" t="str">
        <f t="shared" si="258"/>
        <v>63 Community and civil enforcement occupations</v>
      </c>
      <c r="AT101" s="18">
        <f t="shared" si="230"/>
        <v>-4.4372086803785127</v>
      </c>
      <c r="AU101" s="18">
        <f t="shared" si="230"/>
        <v>28.750947844921846</v>
      </c>
      <c r="AV101" s="18">
        <f t="shared" si="230"/>
        <v>-3.2119733775379022</v>
      </c>
      <c r="AW101" s="18">
        <f t="shared" si="230"/>
        <v>0.91855014870201313</v>
      </c>
      <c r="AX101" s="18">
        <f t="shared" si="231"/>
        <v>1.1371100785385169</v>
      </c>
      <c r="AZ101" s="18">
        <f t="shared" si="232"/>
        <v>-0.4775145433209449</v>
      </c>
      <c r="BA101" s="18">
        <f t="shared" si="233"/>
        <v>3.0657669533335596</v>
      </c>
      <c r="BB101" s="18">
        <f t="shared" si="234"/>
        <v>2.7567241901723882</v>
      </c>
      <c r="BD101" t="str">
        <f t="shared" si="259"/>
        <v>63 Community and civil enforcement occupations</v>
      </c>
      <c r="BE101" s="18">
        <f t="shared" si="235"/>
        <v>-7.602216749616753</v>
      </c>
      <c r="BF101" s="18">
        <f t="shared" si="235"/>
        <v>40.368502130467036</v>
      </c>
      <c r="BG101" s="18">
        <f t="shared" si="235"/>
        <v>-6.3428259955865762</v>
      </c>
      <c r="BH101" s="18">
        <f t="shared" si="235"/>
        <v>1.3992395294264659</v>
      </c>
      <c r="BI101" s="18">
        <f t="shared" si="236"/>
        <v>0.94449000018148599</v>
      </c>
      <c r="BK101" s="18">
        <f t="shared" si="237"/>
        <v>-1.2500657715634578</v>
      </c>
      <c r="BL101" s="18">
        <f t="shared" si="238"/>
        <v>1.6917724052159189</v>
      </c>
      <c r="BM101" s="18">
        <f t="shared" si="239"/>
        <v>0.72338805799043726</v>
      </c>
      <c r="BO101" t="str">
        <f t="shared" si="260"/>
        <v>63 Community and civil enforcement occupations</v>
      </c>
      <c r="BP101" s="18">
        <f t="shared" si="240"/>
        <v>-3.2025041673825583</v>
      </c>
      <c r="BQ101" s="18">
        <f t="shared" si="240"/>
        <v>17.385050503689058</v>
      </c>
      <c r="BR101" s="18">
        <f t="shared" si="240"/>
        <v>-3.3433555578793017</v>
      </c>
      <c r="BS101" s="18">
        <f t="shared" si="240"/>
        <v>0.50216737676278544</v>
      </c>
      <c r="BT101" s="18">
        <f t="shared" si="241"/>
        <v>0.25253252228745193</v>
      </c>
      <c r="BV101" s="18">
        <f t="shared" si="242"/>
        <v>-0.79637932276790391</v>
      </c>
      <c r="BW101" s="18">
        <f t="shared" si="243"/>
        <v>2.2403392759426044</v>
      </c>
      <c r="BX101" s="18">
        <f t="shared" si="244"/>
        <v>1.6657405938556913</v>
      </c>
      <c r="BZ101" t="str">
        <f t="shared" si="261"/>
        <v>63 Community and civil enforcement occupations</v>
      </c>
      <c r="CA101" s="18">
        <f t="shared" si="245"/>
        <v>-5.3018835917728495</v>
      </c>
      <c r="CB101" s="18">
        <f t="shared" si="245"/>
        <v>24.804626863488721</v>
      </c>
      <c r="CC101" s="18">
        <f t="shared" si="245"/>
        <v>-5.1079669581196256</v>
      </c>
      <c r="CD101" s="18">
        <f t="shared" si="245"/>
        <v>-2.0523475840418026</v>
      </c>
      <c r="CE101" s="18">
        <f t="shared" si="246"/>
        <v>-1.53769807318479</v>
      </c>
      <c r="CG101" s="18">
        <f t="shared" si="247"/>
        <v>-3.0816664594204402</v>
      </c>
      <c r="CH101" s="18">
        <f t="shared" si="248"/>
        <v>1.7743643369806161</v>
      </c>
      <c r="CI101" s="18">
        <f t="shared" si="249"/>
        <v>-0.50266784601860071</v>
      </c>
      <c r="CK101" t="str">
        <f t="shared" si="262"/>
        <v>63 Community and civil enforcement occupations</v>
      </c>
      <c r="CL101" s="18">
        <f t="shared" si="250"/>
        <v>-12.450893644166083</v>
      </c>
      <c r="CM101" s="18">
        <f t="shared" si="250"/>
        <v>46.636912487733227</v>
      </c>
      <c r="CN101" s="18">
        <f t="shared" si="250"/>
        <v>-16.559195488007049</v>
      </c>
      <c r="CO101" s="18">
        <f t="shared" si="250"/>
        <v>-5.587730866117524</v>
      </c>
      <c r="CP101" s="18">
        <f t="shared" si="251"/>
        <v>-6.6286248714245826</v>
      </c>
      <c r="CR101" s="18">
        <f t="shared" si="252"/>
        <v>-9.3964700951061015</v>
      </c>
      <c r="CS101" s="18">
        <f t="shared" si="253"/>
        <v>0.692012846178236</v>
      </c>
      <c r="CT101" s="18">
        <f t="shared" si="254"/>
        <v>-7.0021059534185692</v>
      </c>
    </row>
    <row r="102" spans="1:98" x14ac:dyDescent="0.25">
      <c r="A102" t="str">
        <f t="shared" si="209"/>
        <v>71 Sales occupations</v>
      </c>
      <c r="B102" s="18">
        <f t="shared" si="210"/>
        <v>3.3088389775633331</v>
      </c>
      <c r="C102" s="18">
        <f t="shared" si="210"/>
        <v>-12.351184879038168</v>
      </c>
      <c r="D102" s="18">
        <f t="shared" si="210"/>
        <v>3.5315118562012859</v>
      </c>
      <c r="E102" s="18">
        <f t="shared" si="210"/>
        <v>3.5963420803202473</v>
      </c>
      <c r="F102" s="18">
        <f t="shared" si="211"/>
        <v>2.4995750769752689</v>
      </c>
      <c r="H102" s="18">
        <f t="shared" si="212"/>
        <v>3.5747274962099729</v>
      </c>
      <c r="I102" s="18">
        <f t="shared" si="213"/>
        <v>3.094895401263531</v>
      </c>
      <c r="J102" s="18">
        <f t="shared" si="214"/>
        <v>5.6272879930520769</v>
      </c>
      <c r="L102" t="str">
        <f t="shared" si="255"/>
        <v>71 Sales occupations</v>
      </c>
      <c r="M102" s="18">
        <f t="shared" si="215"/>
        <v>5.7061904548014741</v>
      </c>
      <c r="N102" s="18">
        <f t="shared" si="215"/>
        <v>-0.73699736086705325</v>
      </c>
      <c r="O102" s="18">
        <f t="shared" si="215"/>
        <v>5.3881364537436083</v>
      </c>
      <c r="P102" s="18">
        <f t="shared" si="215"/>
        <v>5.4993929435888766</v>
      </c>
      <c r="Q102" s="18">
        <f t="shared" si="216"/>
        <v>5.0637390315884989</v>
      </c>
      <c r="S102" s="18">
        <f t="shared" si="217"/>
        <v>5.4622944029139253</v>
      </c>
      <c r="T102" s="18">
        <f t="shared" si="218"/>
        <v>3.6055702527124422</v>
      </c>
      <c r="U102" s="18">
        <f t="shared" si="219"/>
        <v>7.4094298111770707</v>
      </c>
      <c r="W102" t="str">
        <f t="shared" si="256"/>
        <v>71 Sales occupations</v>
      </c>
      <c r="X102" s="18">
        <f t="shared" si="220"/>
        <v>-2.4296107457599581</v>
      </c>
      <c r="Y102" s="18">
        <f t="shared" si="220"/>
        <v>14.60572584009434</v>
      </c>
      <c r="Z102" s="18">
        <f t="shared" si="220"/>
        <v>1.4950965709220831</v>
      </c>
      <c r="AA102" s="18">
        <f t="shared" si="220"/>
        <v>2.6165648950804643</v>
      </c>
      <c r="AB102" s="18">
        <f t="shared" si="221"/>
        <v>2.9734815750685817</v>
      </c>
      <c r="AD102" s="18">
        <f t="shared" si="222"/>
        <v>2.2413719892016237</v>
      </c>
      <c r="AE102" s="18">
        <f t="shared" si="223"/>
        <v>3.311768993175157</v>
      </c>
      <c r="AF102" s="18">
        <f t="shared" si="224"/>
        <v>4.8150203616534215</v>
      </c>
      <c r="AH102" t="str">
        <f t="shared" si="257"/>
        <v>71 Sales occupations</v>
      </c>
      <c r="AI102" s="18">
        <f t="shared" si="225"/>
        <v>-3.0585905848658501</v>
      </c>
      <c r="AJ102" s="18">
        <f t="shared" si="225"/>
        <v>18.488100088267934</v>
      </c>
      <c r="AK102" s="18">
        <f t="shared" si="225"/>
        <v>4.2276060930701576E-2</v>
      </c>
      <c r="AL102" s="18">
        <f t="shared" si="225"/>
        <v>2.0893834641159792</v>
      </c>
      <c r="AM102" s="18">
        <f t="shared" si="226"/>
        <v>2.3940916851160621</v>
      </c>
      <c r="AO102" s="18">
        <f t="shared" si="227"/>
        <v>1.4024018507620584</v>
      </c>
      <c r="AP102" s="18">
        <f t="shared" si="228"/>
        <v>3.1001434490255386</v>
      </c>
      <c r="AQ102" s="18">
        <f t="shared" si="229"/>
        <v>4.0469003693148986</v>
      </c>
      <c r="AS102" t="str">
        <f t="shared" si="258"/>
        <v>71 Sales occupations</v>
      </c>
      <c r="AT102" s="18">
        <f t="shared" si="230"/>
        <v>-3.6475802792724443</v>
      </c>
      <c r="AU102" s="18">
        <f t="shared" si="230"/>
        <v>12.376643598613413</v>
      </c>
      <c r="AV102" s="18">
        <f t="shared" si="230"/>
        <v>-0.61416366647597531</v>
      </c>
      <c r="AW102" s="18">
        <f t="shared" si="230"/>
        <v>1.6766388116707276</v>
      </c>
      <c r="AX102" s="18">
        <f t="shared" si="231"/>
        <v>1.5884646980270034</v>
      </c>
      <c r="AZ102" s="18">
        <f t="shared" si="232"/>
        <v>0.90723039717759413</v>
      </c>
      <c r="BA102" s="18">
        <f t="shared" si="233"/>
        <v>2.6728254574767352</v>
      </c>
      <c r="BB102" s="18">
        <f t="shared" si="234"/>
        <v>3.3126835056773496</v>
      </c>
      <c r="BD102" t="str">
        <f t="shared" si="259"/>
        <v>71 Sales occupations</v>
      </c>
      <c r="BE102" s="18">
        <f t="shared" si="235"/>
        <v>-0.61493267909383809</v>
      </c>
      <c r="BF102" s="18">
        <f t="shared" si="235"/>
        <v>0.38354981185784176</v>
      </c>
      <c r="BG102" s="18">
        <f t="shared" si="235"/>
        <v>-0.36284422458593424</v>
      </c>
      <c r="BH102" s="18">
        <f t="shared" si="235"/>
        <v>3.1143634116048702E-4</v>
      </c>
      <c r="BI102" s="18">
        <f t="shared" si="236"/>
        <v>-8.9434359314077838E-2</v>
      </c>
      <c r="BK102" s="18">
        <f t="shared" si="237"/>
        <v>-0.12088728212756861</v>
      </c>
      <c r="BL102" s="18">
        <f t="shared" si="238"/>
        <v>2.4314830007716282</v>
      </c>
      <c r="BM102" s="18">
        <f t="shared" si="239"/>
        <v>2.3453448536604915</v>
      </c>
      <c r="BO102" t="str">
        <f t="shared" si="260"/>
        <v>71 Sales occupations</v>
      </c>
      <c r="BP102" s="18">
        <f t="shared" si="240"/>
        <v>-2.3876125775936785</v>
      </c>
      <c r="BQ102" s="18">
        <f t="shared" si="240"/>
        <v>-11.917143049190349</v>
      </c>
      <c r="BR102" s="18">
        <f t="shared" si="240"/>
        <v>-1.1673251518269812</v>
      </c>
      <c r="BS102" s="18">
        <f t="shared" si="240"/>
        <v>-2.3401615605492476</v>
      </c>
      <c r="BT102" s="18">
        <f t="shared" si="241"/>
        <v>-2.6054546346618412</v>
      </c>
      <c r="BV102" s="18">
        <f t="shared" si="242"/>
        <v>-1.950770739586849</v>
      </c>
      <c r="BW102" s="18">
        <f t="shared" si="243"/>
        <v>2.3645648952011156</v>
      </c>
      <c r="BX102" s="18">
        <f t="shared" si="244"/>
        <v>1.0176222189503425</v>
      </c>
      <c r="BZ102" t="str">
        <f t="shared" si="261"/>
        <v>71 Sales occupations</v>
      </c>
      <c r="CA102" s="18">
        <f t="shared" si="245"/>
        <v>-3.7406744325157448</v>
      </c>
      <c r="CB102" s="18">
        <f t="shared" si="245"/>
        <v>-8.6523736688748691</v>
      </c>
      <c r="CC102" s="18">
        <f t="shared" si="245"/>
        <v>-5.2430417855971134</v>
      </c>
      <c r="CD102" s="18">
        <f t="shared" si="245"/>
        <v>-8.7437369482597393</v>
      </c>
      <c r="CE102" s="18">
        <f t="shared" si="246"/>
        <v>-7.6581169245137808</v>
      </c>
      <c r="CG102" s="18">
        <f t="shared" si="247"/>
        <v>-7.5914496622887517</v>
      </c>
      <c r="CH102" s="18">
        <f t="shared" si="248"/>
        <v>1.4103035371561656</v>
      </c>
      <c r="CI102" s="18">
        <f t="shared" si="249"/>
        <v>-4.0278285869527197</v>
      </c>
      <c r="CK102" t="str">
        <f t="shared" si="262"/>
        <v>71 Sales occupations</v>
      </c>
      <c r="CL102" s="18">
        <f t="shared" si="250"/>
        <v>-8.0761480440840305</v>
      </c>
      <c r="CM102" s="18">
        <f t="shared" si="250"/>
        <v>2.599248446882485</v>
      </c>
      <c r="CN102" s="18">
        <f t="shared" si="250"/>
        <v>-11.912518706875952</v>
      </c>
      <c r="CO102" s="18">
        <f t="shared" si="250"/>
        <v>-6.7770015161932484</v>
      </c>
      <c r="CP102" s="18">
        <f t="shared" si="251"/>
        <v>-7.8629901944217035</v>
      </c>
      <c r="CR102" s="18">
        <f t="shared" si="252"/>
        <v>-8.5212736666231859</v>
      </c>
      <c r="CS102" s="18">
        <f t="shared" si="253"/>
        <v>0.83135009867600917</v>
      </c>
      <c r="CT102" s="18">
        <f t="shared" si="254"/>
        <v>-6.0024976046146534</v>
      </c>
    </row>
    <row r="103" spans="1:98" x14ac:dyDescent="0.25">
      <c r="A103" t="str">
        <f t="shared" si="209"/>
        <v>72 Customer service occupations</v>
      </c>
      <c r="B103" s="18">
        <f t="shared" si="210"/>
        <v>4.8623349941620209</v>
      </c>
      <c r="C103" s="18">
        <f t="shared" si="210"/>
        <v>5.8328175500429902</v>
      </c>
      <c r="D103" s="18">
        <f t="shared" si="210"/>
        <v>12.305944116418255</v>
      </c>
      <c r="E103" s="18">
        <f t="shared" si="210"/>
        <v>6.4171148367595299</v>
      </c>
      <c r="F103" s="18">
        <f t="shared" si="211"/>
        <v>8.1861845920293561</v>
      </c>
      <c r="H103" s="18">
        <f t="shared" si="212"/>
        <v>8.3449236501025545</v>
      </c>
      <c r="I103" s="18">
        <f t="shared" si="213"/>
        <v>4.5227181597344401</v>
      </c>
      <c r="J103" s="18">
        <f t="shared" si="214"/>
        <v>10.159761056472139</v>
      </c>
      <c r="L103" t="str">
        <f t="shared" si="255"/>
        <v>72 Customer service occupations</v>
      </c>
      <c r="M103" s="18">
        <f t="shared" si="215"/>
        <v>8.320404492866551</v>
      </c>
      <c r="N103" s="18">
        <f t="shared" si="215"/>
        <v>6.744125128068279</v>
      </c>
      <c r="O103" s="18">
        <f t="shared" si="215"/>
        <v>10.882608225642997</v>
      </c>
      <c r="P103" s="18">
        <f t="shared" si="215"/>
        <v>6.0727521820222785</v>
      </c>
      <c r="Q103" s="18">
        <f t="shared" si="216"/>
        <v>7.5954038559841619</v>
      </c>
      <c r="S103" s="18">
        <f t="shared" si="217"/>
        <v>7.6523965577866004</v>
      </c>
      <c r="T103" s="18">
        <f t="shared" si="218"/>
        <v>4.4758413089813542</v>
      </c>
      <c r="U103" s="18">
        <f t="shared" si="219"/>
        <v>9.5924211799360837</v>
      </c>
      <c r="W103" t="str">
        <f t="shared" si="256"/>
        <v>72 Customer service occupations</v>
      </c>
      <c r="X103" s="18">
        <f t="shared" si="220"/>
        <v>-1.5094062756384363</v>
      </c>
      <c r="Y103" s="18">
        <f t="shared" si="220"/>
        <v>19.947720979959026</v>
      </c>
      <c r="Z103" s="18">
        <f t="shared" si="220"/>
        <v>6.5605624893362746</v>
      </c>
      <c r="AA103" s="18">
        <f t="shared" si="220"/>
        <v>2.9782831748104588</v>
      </c>
      <c r="AB103" s="18">
        <f t="shared" si="221"/>
        <v>5.081662967274192</v>
      </c>
      <c r="AD103" s="18">
        <f t="shared" si="222"/>
        <v>4.158791615107349</v>
      </c>
      <c r="AE103" s="18">
        <f t="shared" si="223"/>
        <v>3.9375685628119328</v>
      </c>
      <c r="AF103" s="18">
        <f t="shared" si="224"/>
        <v>6.651931843821357</v>
      </c>
      <c r="AH103" t="str">
        <f t="shared" si="257"/>
        <v>72 Customer service occupations</v>
      </c>
      <c r="AI103" s="18">
        <f t="shared" si="225"/>
        <v>6.0071799543814919E-3</v>
      </c>
      <c r="AJ103" s="18">
        <f t="shared" si="225"/>
        <v>26.711062604432346</v>
      </c>
      <c r="AK103" s="18">
        <f t="shared" si="225"/>
        <v>7.1284763672385898</v>
      </c>
      <c r="AL103" s="18">
        <f t="shared" si="225"/>
        <v>3.5817548561917656</v>
      </c>
      <c r="AM103" s="18">
        <f t="shared" si="226"/>
        <v>6.0042404787349124</v>
      </c>
      <c r="AO103" s="18">
        <f t="shared" si="227"/>
        <v>4.7507527105728586</v>
      </c>
      <c r="AP103" s="18">
        <f t="shared" si="228"/>
        <v>4.1131579809148056</v>
      </c>
      <c r="AQ103" s="18">
        <f t="shared" si="229"/>
        <v>7.1981741714427949</v>
      </c>
      <c r="AS103" t="str">
        <f t="shared" si="258"/>
        <v>72 Customer service occupations</v>
      </c>
      <c r="AT103" s="18">
        <f t="shared" si="230"/>
        <v>-4.2260802406838938</v>
      </c>
      <c r="AU103" s="18">
        <f t="shared" si="230"/>
        <v>11.102997649483214</v>
      </c>
      <c r="AV103" s="18">
        <f t="shared" si="230"/>
        <v>5.9789572584711292</v>
      </c>
      <c r="AW103" s="18">
        <f t="shared" si="230"/>
        <v>1.8986316899186395</v>
      </c>
      <c r="AX103" s="18">
        <f t="shared" si="231"/>
        <v>3.7156323044724493</v>
      </c>
      <c r="AZ103" s="18">
        <f t="shared" si="232"/>
        <v>3.2409793311142021</v>
      </c>
      <c r="BA103" s="18">
        <f t="shared" si="233"/>
        <v>3.4153539730223503</v>
      </c>
      <c r="BB103" s="18">
        <f t="shared" si="234"/>
        <v>5.6125241030428485</v>
      </c>
      <c r="BD103" t="str">
        <f t="shared" si="259"/>
        <v>72 Customer service occupations</v>
      </c>
      <c r="BE103" s="18">
        <f t="shared" si="235"/>
        <v>0.35654622656271506</v>
      </c>
      <c r="BF103" s="18">
        <f t="shared" si="235"/>
        <v>1.1513847523178633</v>
      </c>
      <c r="BG103" s="18">
        <f t="shared" si="235"/>
        <v>5.3645146487134587</v>
      </c>
      <c r="BH103" s="18">
        <f t="shared" si="235"/>
        <v>1.1159704918482616</v>
      </c>
      <c r="BI103" s="18">
        <f t="shared" si="236"/>
        <v>2.4271472234850933</v>
      </c>
      <c r="BK103" s="18">
        <f t="shared" si="237"/>
        <v>2.5127679280140702</v>
      </c>
      <c r="BL103" s="18">
        <f t="shared" si="238"/>
        <v>2.987860292546296</v>
      </c>
      <c r="BM103" s="18">
        <f t="shared" si="239"/>
        <v>4.7511015792795597</v>
      </c>
      <c r="BO103" t="str">
        <f t="shared" si="260"/>
        <v>72 Customer service occupations</v>
      </c>
      <c r="BP103" s="18">
        <f t="shared" si="240"/>
        <v>0.47201169459403225</v>
      </c>
      <c r="BQ103" s="18">
        <f t="shared" si="240"/>
        <v>-10.790056633324818</v>
      </c>
      <c r="BR103" s="18">
        <f t="shared" si="240"/>
        <v>5.5109274279225851</v>
      </c>
      <c r="BS103" s="18">
        <f t="shared" si="240"/>
        <v>-0.4040563658299412</v>
      </c>
      <c r="BT103" s="18">
        <f t="shared" si="241"/>
        <v>0.71225283765499192</v>
      </c>
      <c r="BV103" s="18">
        <f t="shared" si="242"/>
        <v>1.5298116796939931</v>
      </c>
      <c r="BW103" s="18">
        <f t="shared" si="243"/>
        <v>3.2217591446718874</v>
      </c>
      <c r="BX103" s="18">
        <f t="shared" si="244"/>
        <v>4.2418557185571304</v>
      </c>
      <c r="BZ103" t="str">
        <f t="shared" si="261"/>
        <v>72 Customer service occupations</v>
      </c>
      <c r="CA103" s="18">
        <f t="shared" si="245"/>
        <v>-4.3453014908088061</v>
      </c>
      <c r="CB103" s="18">
        <f t="shared" si="245"/>
        <v>-1.5700346245019703</v>
      </c>
      <c r="CC103" s="18">
        <f t="shared" si="245"/>
        <v>1.2705310435958239</v>
      </c>
      <c r="CD103" s="18">
        <f t="shared" si="245"/>
        <v>-1.9720212255719516</v>
      </c>
      <c r="CE103" s="18">
        <f t="shared" si="246"/>
        <v>-0.9447033105030811</v>
      </c>
      <c r="CG103" s="18">
        <f t="shared" si="247"/>
        <v>-0.90287358065779255</v>
      </c>
      <c r="CH103" s="18">
        <f t="shared" si="248"/>
        <v>1.9616403813643268</v>
      </c>
      <c r="CI103" s="18">
        <f t="shared" si="249"/>
        <v>1.285038322057952</v>
      </c>
      <c r="CK103" t="str">
        <f t="shared" si="262"/>
        <v>72 Customer service occupations</v>
      </c>
      <c r="CL103" s="18">
        <f t="shared" si="250"/>
        <v>-0.3587611452034789</v>
      </c>
      <c r="CM103" s="18">
        <f t="shared" si="250"/>
        <v>19.619429290298275</v>
      </c>
      <c r="CN103" s="18">
        <f t="shared" si="250"/>
        <v>0.70175461334842648</v>
      </c>
      <c r="CO103" s="18">
        <f t="shared" si="250"/>
        <v>-0.57952792164245315</v>
      </c>
      <c r="CP103" s="18">
        <f t="shared" si="251"/>
        <v>0.97969863931379741</v>
      </c>
      <c r="CR103" s="18">
        <f t="shared" si="252"/>
        <v>-0.15425544609635189</v>
      </c>
      <c r="CS103" s="18">
        <f t="shared" si="253"/>
        <v>2.0061514219974264</v>
      </c>
      <c r="CT103" s="18">
        <f t="shared" si="254"/>
        <v>1.8896701343199984</v>
      </c>
    </row>
    <row r="104" spans="1:98" x14ac:dyDescent="0.25">
      <c r="A104" t="str">
        <f t="shared" si="209"/>
        <v>81 Process, plant and machine operatives</v>
      </c>
      <c r="B104" s="18">
        <f t="shared" si="210"/>
        <v>8.3589251040976151</v>
      </c>
      <c r="C104" s="18">
        <f t="shared" si="210"/>
        <v>-11.879859108557088</v>
      </c>
      <c r="D104" s="18">
        <f t="shared" si="210"/>
        <v>10.846672272391068</v>
      </c>
      <c r="E104" s="18">
        <f t="shared" si="210"/>
        <v>8.4688791412643063</v>
      </c>
      <c r="F104" s="18">
        <f t="shared" si="211"/>
        <v>7.7975152334942344</v>
      </c>
      <c r="H104" s="18">
        <f t="shared" si="212"/>
        <v>9.2557547453305347</v>
      </c>
      <c r="I104" s="18">
        <f t="shared" si="213"/>
        <v>5.4363318835881413</v>
      </c>
      <c r="J104" s="18">
        <f t="shared" si="214"/>
        <v>11.304301626328828</v>
      </c>
      <c r="L104" t="str">
        <f t="shared" si="255"/>
        <v>81 Process, plant and machine operatives</v>
      </c>
      <c r="M104" s="18">
        <f t="shared" si="215"/>
        <v>8.4443019907310735</v>
      </c>
      <c r="N104" s="18">
        <f t="shared" si="215"/>
        <v>-16.268121500239719</v>
      </c>
      <c r="O104" s="18">
        <f t="shared" si="215"/>
        <v>12.425061357272149</v>
      </c>
      <c r="P104" s="18">
        <f t="shared" si="215"/>
        <v>6.7268966410195974</v>
      </c>
      <c r="Q104" s="18">
        <f t="shared" si="216"/>
        <v>6.8431250433468982</v>
      </c>
      <c r="S104" s="18">
        <f t="shared" si="217"/>
        <v>8.5934502952357938</v>
      </c>
      <c r="T104" s="18">
        <f t="shared" si="218"/>
        <v>4.8579678021940964</v>
      </c>
      <c r="U104" s="18">
        <f t="shared" si="219"/>
        <v>10.516081338409823</v>
      </c>
      <c r="W104" t="str">
        <f t="shared" si="256"/>
        <v>81 Process, plant and machine operatives</v>
      </c>
      <c r="X104" s="18">
        <f t="shared" si="220"/>
        <v>-0.70785392626534493</v>
      </c>
      <c r="Y104" s="18">
        <f t="shared" si="220"/>
        <v>-4.718552153678246</v>
      </c>
      <c r="Z104" s="18">
        <f t="shared" si="220"/>
        <v>10.506493876424416</v>
      </c>
      <c r="AA104" s="18">
        <f t="shared" si="220"/>
        <v>5.5423222033481379</v>
      </c>
      <c r="AB104" s="18">
        <f t="shared" si="221"/>
        <v>6.3869510717844857</v>
      </c>
      <c r="AD104" s="18">
        <f t="shared" si="222"/>
        <v>7.1717602019406801</v>
      </c>
      <c r="AE104" s="18">
        <f t="shared" si="223"/>
        <v>4.9628012597785931</v>
      </c>
      <c r="AF104" s="18">
        <f t="shared" si="224"/>
        <v>9.4865209974202216</v>
      </c>
      <c r="AH104" t="str">
        <f t="shared" si="257"/>
        <v>81 Process, plant and machine operatives</v>
      </c>
      <c r="AI104" s="18">
        <f t="shared" si="225"/>
        <v>-0.80801083973011112</v>
      </c>
      <c r="AJ104" s="18">
        <f t="shared" si="225"/>
        <v>-5.3823018074209861</v>
      </c>
      <c r="AK104" s="18">
        <f t="shared" si="225"/>
        <v>8.1053948897625858</v>
      </c>
      <c r="AL104" s="18">
        <f t="shared" si="225"/>
        <v>2.8982674696341304</v>
      </c>
      <c r="AM104" s="18">
        <f t="shared" si="226"/>
        <v>3.9514651870960815</v>
      </c>
      <c r="AO104" s="18">
        <f t="shared" si="227"/>
        <v>4.6054946539203945</v>
      </c>
      <c r="AP104" s="18">
        <f t="shared" si="228"/>
        <v>3.7717444663517341</v>
      </c>
      <c r="AQ104" s="18">
        <f t="shared" si="229"/>
        <v>6.8652031482610232</v>
      </c>
      <c r="AS104" t="str">
        <f t="shared" si="258"/>
        <v>81 Process, plant and machine operatives</v>
      </c>
      <c r="AT104" s="18">
        <f t="shared" si="230"/>
        <v>-2.9626663574826684</v>
      </c>
      <c r="AU104" s="18">
        <f t="shared" si="230"/>
        <v>-8.8099508310247714</v>
      </c>
      <c r="AV104" s="18">
        <f t="shared" si="230"/>
        <v>7.8942722119822006</v>
      </c>
      <c r="AW104" s="18">
        <f t="shared" si="230"/>
        <v>3.0022388561286029</v>
      </c>
      <c r="AX104" s="18">
        <f t="shared" si="231"/>
        <v>3.7141178695538235</v>
      </c>
      <c r="AZ104" s="18">
        <f t="shared" si="232"/>
        <v>4.6077609334985725</v>
      </c>
      <c r="BA104" s="18">
        <f t="shared" si="233"/>
        <v>3.8198685939460963</v>
      </c>
      <c r="BB104" s="18">
        <f t="shared" si="234"/>
        <v>6.8988112008082636</v>
      </c>
      <c r="BD104" t="str">
        <f t="shared" si="259"/>
        <v>81 Process, plant and machine operatives</v>
      </c>
      <c r="BE104" s="18">
        <f t="shared" si="235"/>
        <v>2.1716432279230702</v>
      </c>
      <c r="BF104" s="18">
        <f t="shared" si="235"/>
        <v>-15.027063402874742</v>
      </c>
      <c r="BG104" s="18">
        <f t="shared" si="235"/>
        <v>6.9424223558090636</v>
      </c>
      <c r="BH104" s="18">
        <f t="shared" si="235"/>
        <v>1.3957744354705426</v>
      </c>
      <c r="BI104" s="18">
        <f t="shared" si="236"/>
        <v>1.9651658403569305</v>
      </c>
      <c r="BK104" s="18">
        <f t="shared" si="237"/>
        <v>3.2119325971727619</v>
      </c>
      <c r="BL104" s="18">
        <f t="shared" si="238"/>
        <v>2.8817054261158992</v>
      </c>
      <c r="BM104" s="18">
        <f t="shared" si="239"/>
        <v>5.196619143600345</v>
      </c>
      <c r="BO104" t="str">
        <f t="shared" si="260"/>
        <v>81 Process, plant and machine operatives</v>
      </c>
      <c r="BP104" s="18">
        <f t="shared" si="240"/>
        <v>1.0836440045884688</v>
      </c>
      <c r="BQ104" s="18">
        <f t="shared" si="240"/>
        <v>-20.074543807504597</v>
      </c>
      <c r="BR104" s="18">
        <f t="shared" si="240"/>
        <v>6.7145587667452045</v>
      </c>
      <c r="BS104" s="18">
        <f t="shared" si="240"/>
        <v>-0.14884954163514319</v>
      </c>
      <c r="BT104" s="18">
        <f t="shared" si="241"/>
        <v>0.5387285607797665</v>
      </c>
      <c r="BV104" s="18">
        <f t="shared" si="242"/>
        <v>2.0884491482892287</v>
      </c>
      <c r="BW104" s="18">
        <f t="shared" si="243"/>
        <v>3.0143205514357563</v>
      </c>
      <c r="BX104" s="18">
        <f t="shared" si="244"/>
        <v>4.4618103338823545</v>
      </c>
      <c r="BZ104" t="str">
        <f t="shared" si="261"/>
        <v>81 Process, plant and machine operatives</v>
      </c>
      <c r="CA104" s="18">
        <f t="shared" si="245"/>
        <v>-2.6672582611470097</v>
      </c>
      <c r="CB104" s="18">
        <f t="shared" si="245"/>
        <v>-14.827829731409004</v>
      </c>
      <c r="CC104" s="18">
        <f t="shared" si="245"/>
        <v>1.356316011760228</v>
      </c>
      <c r="CD104" s="18">
        <f t="shared" si="245"/>
        <v>-6.8620424063473351</v>
      </c>
      <c r="CE104" s="18">
        <f t="shared" si="246"/>
        <v>-4.9009494135031311</v>
      </c>
      <c r="CG104" s="18">
        <f t="shared" si="247"/>
        <v>-4.1994330931771522</v>
      </c>
      <c r="CH104" s="18">
        <f t="shared" si="248"/>
        <v>1.9099412780818836</v>
      </c>
      <c r="CI104" s="18">
        <f t="shared" si="249"/>
        <v>-1.0498037177607999</v>
      </c>
      <c r="CK104" t="str">
        <f t="shared" si="262"/>
        <v>81 Process, plant and machine operatives</v>
      </c>
      <c r="CL104" s="18">
        <f t="shared" si="250"/>
        <v>-9.2429524999311461</v>
      </c>
      <c r="CM104" s="18">
        <f t="shared" si="250"/>
        <v>-13.474342727403322</v>
      </c>
      <c r="CN104" s="18">
        <f t="shared" si="250"/>
        <v>-16.375052170608161</v>
      </c>
      <c r="CO104" s="18">
        <f t="shared" si="250"/>
        <v>-8.996506353130318</v>
      </c>
      <c r="CP104" s="18">
        <f t="shared" si="251"/>
        <v>-11.648728559626498</v>
      </c>
      <c r="CR104" s="18">
        <f t="shared" si="252"/>
        <v>-11.525660289488703</v>
      </c>
      <c r="CS104" s="18">
        <f t="shared" si="253"/>
        <v>0.64716653848302386</v>
      </c>
      <c r="CT104" s="18">
        <f t="shared" si="254"/>
        <v>-8.567647922428856</v>
      </c>
    </row>
    <row r="105" spans="1:98" x14ac:dyDescent="0.25">
      <c r="A105" t="str">
        <f t="shared" si="209"/>
        <v>82 Transport and mobile machine drivers and operatives</v>
      </c>
      <c r="B105" s="18">
        <f t="shared" si="210"/>
        <v>12.135787693616296</v>
      </c>
      <c r="C105" s="18">
        <f t="shared" si="210"/>
        <v>-25.604453789277382</v>
      </c>
      <c r="D105" s="18">
        <f t="shared" si="210"/>
        <v>12.091567059151309</v>
      </c>
      <c r="E105" s="18">
        <f t="shared" si="210"/>
        <v>6.5403526376466514</v>
      </c>
      <c r="F105" s="18">
        <f t="shared" si="211"/>
        <v>5.8423706824819233</v>
      </c>
      <c r="H105" s="18">
        <f t="shared" si="212"/>
        <v>8.3595185732509911</v>
      </c>
      <c r="I105" s="18">
        <f t="shared" si="213"/>
        <v>5.7124177941965559</v>
      </c>
      <c r="J105" s="18">
        <f t="shared" si="214"/>
        <v>10.765465153008202</v>
      </c>
      <c r="L105" t="str">
        <f t="shared" si="255"/>
        <v>82 Transport and mobile machine drivers and operatives</v>
      </c>
      <c r="M105" s="18">
        <f t="shared" si="215"/>
        <v>8.4117767036066446</v>
      </c>
      <c r="N105" s="18">
        <f t="shared" si="215"/>
        <v>-21.156477482705316</v>
      </c>
      <c r="O105" s="18">
        <f t="shared" si="215"/>
        <v>10.077144493087786</v>
      </c>
      <c r="P105" s="18">
        <f t="shared" si="215"/>
        <v>5.9170599058520068</v>
      </c>
      <c r="Q105" s="18">
        <f t="shared" si="216"/>
        <v>5.2402655394150122</v>
      </c>
      <c r="S105" s="18">
        <f t="shared" si="217"/>
        <v>7.2859858500911701</v>
      </c>
      <c r="T105" s="18">
        <f t="shared" si="218"/>
        <v>5.2075272049401544</v>
      </c>
      <c r="U105" s="18">
        <f t="shared" si="219"/>
        <v>9.706519123229441</v>
      </c>
      <c r="W105" t="str">
        <f t="shared" si="256"/>
        <v>82 Transport and mobile machine drivers and operatives</v>
      </c>
      <c r="X105" s="18">
        <f t="shared" si="220"/>
        <v>2.7275955619565639</v>
      </c>
      <c r="Y105" s="18">
        <f t="shared" si="220"/>
        <v>-1.8979501891324468</v>
      </c>
      <c r="Z105" s="18">
        <f t="shared" si="220"/>
        <v>6.0144528276258935</v>
      </c>
      <c r="AA105" s="18">
        <f t="shared" si="220"/>
        <v>3.5701138048874981</v>
      </c>
      <c r="AB105" s="18">
        <f t="shared" si="221"/>
        <v>3.9747775382975359</v>
      </c>
      <c r="AD105" s="18">
        <f t="shared" si="222"/>
        <v>4.3785664008050507</v>
      </c>
      <c r="AE105" s="18">
        <f t="shared" si="223"/>
        <v>4.6375319369476475</v>
      </c>
      <c r="AF105" s="18">
        <f t="shared" si="224"/>
        <v>7.2957553468579128</v>
      </c>
      <c r="AH105" t="str">
        <f t="shared" si="257"/>
        <v>82 Transport and mobile machine drivers and operatives</v>
      </c>
      <c r="AI105" s="18">
        <f t="shared" si="225"/>
        <v>1.6442321368616453</v>
      </c>
      <c r="AJ105" s="18">
        <f t="shared" si="225"/>
        <v>-7.4968825035796378</v>
      </c>
      <c r="AK105" s="18">
        <f t="shared" si="225"/>
        <v>5.2903156195952983</v>
      </c>
      <c r="AL105" s="18">
        <f t="shared" si="225"/>
        <v>2.5402275908337435</v>
      </c>
      <c r="AM105" s="18">
        <f t="shared" si="226"/>
        <v>2.7282949352958497</v>
      </c>
      <c r="AO105" s="18">
        <f t="shared" si="227"/>
        <v>3.4488484245237983</v>
      </c>
      <c r="AP105" s="18">
        <f t="shared" si="228"/>
        <v>4.2632223461633201</v>
      </c>
      <c r="AQ105" s="18">
        <f t="shared" si="229"/>
        <v>6.3934447085090218</v>
      </c>
      <c r="AS105" t="str">
        <f t="shared" si="258"/>
        <v>82 Transport and mobile machine drivers and operatives</v>
      </c>
      <c r="AT105" s="18">
        <f t="shared" si="230"/>
        <v>-0.24946284383344786</v>
      </c>
      <c r="AU105" s="18">
        <f t="shared" si="230"/>
        <v>-5.3491540088380525</v>
      </c>
      <c r="AV105" s="18">
        <f t="shared" si="230"/>
        <v>4.5820129530609988</v>
      </c>
      <c r="AW105" s="18">
        <f t="shared" si="230"/>
        <v>2.3155835826517368</v>
      </c>
      <c r="AX105" s="18">
        <f t="shared" si="231"/>
        <v>2.518373853130651</v>
      </c>
      <c r="AZ105" s="18">
        <f t="shared" si="232"/>
        <v>3.0655494127950877</v>
      </c>
      <c r="BA105" s="18">
        <f t="shared" si="233"/>
        <v>4.2139015220333143</v>
      </c>
      <c r="BB105" s="18">
        <f t="shared" si="234"/>
        <v>6.0986073517956596</v>
      </c>
      <c r="BD105" t="str">
        <f t="shared" si="259"/>
        <v>82 Transport and mobile machine drivers and operatives</v>
      </c>
      <c r="BE105" s="18">
        <f t="shared" si="235"/>
        <v>3.2469499870446228</v>
      </c>
      <c r="BF105" s="18">
        <f t="shared" si="235"/>
        <v>-8.940427977518528</v>
      </c>
      <c r="BG105" s="18">
        <f t="shared" si="235"/>
        <v>4.3745100075877508</v>
      </c>
      <c r="BH105" s="18">
        <f t="shared" si="235"/>
        <v>1.771779453843636</v>
      </c>
      <c r="BI105" s="18">
        <f t="shared" si="236"/>
        <v>1.8675171047586092</v>
      </c>
      <c r="BK105" s="18">
        <f t="shared" si="237"/>
        <v>2.6320637683177717</v>
      </c>
      <c r="BL105" s="18">
        <f t="shared" si="238"/>
        <v>3.4318760698398565</v>
      </c>
      <c r="BM105" s="18">
        <f t="shared" si="239"/>
        <v>5.187865284064852</v>
      </c>
      <c r="BO105" t="str">
        <f t="shared" si="260"/>
        <v>82 Transport and mobile machine drivers and operatives</v>
      </c>
      <c r="BP105" s="18">
        <f t="shared" si="240"/>
        <v>2.7218438773653375</v>
      </c>
      <c r="BQ105" s="18">
        <f t="shared" si="240"/>
        <v>-17.028502915996281</v>
      </c>
      <c r="BR105" s="18">
        <f t="shared" si="240"/>
        <v>4.8425549262573808</v>
      </c>
      <c r="BS105" s="18">
        <f t="shared" si="240"/>
        <v>0.64869308831847494</v>
      </c>
      <c r="BT105" s="18">
        <f t="shared" si="241"/>
        <v>0.71777988428289863</v>
      </c>
      <c r="BV105" s="18">
        <f t="shared" si="242"/>
        <v>2.0276676015829942</v>
      </c>
      <c r="BW105" s="18">
        <f t="shared" si="243"/>
        <v>3.6941912190759485</v>
      </c>
      <c r="BX105" s="18">
        <f t="shared" si="244"/>
        <v>4.9850019504807275</v>
      </c>
      <c r="BZ105" t="str">
        <f t="shared" si="261"/>
        <v>82 Transport and mobile machine drivers and operatives</v>
      </c>
      <c r="CA105" s="18">
        <f t="shared" si="245"/>
        <v>-2.7967551155079429</v>
      </c>
      <c r="CB105" s="18">
        <f t="shared" si="245"/>
        <v>-10.165783712290056</v>
      </c>
      <c r="CC105" s="18">
        <f t="shared" si="245"/>
        <v>-1.3047472122901138</v>
      </c>
      <c r="CD105" s="18">
        <f t="shared" si="245"/>
        <v>-2.6348243235059243</v>
      </c>
      <c r="CE105" s="18">
        <f t="shared" si="246"/>
        <v>-2.7118430156417128</v>
      </c>
      <c r="CG105" s="18">
        <f t="shared" si="247"/>
        <v>-2.1934689687742148</v>
      </c>
      <c r="CH105" s="18">
        <f t="shared" si="248"/>
        <v>2.2918627714427098</v>
      </c>
      <c r="CI105" s="18">
        <f t="shared" si="249"/>
        <v>0.76919535910133785</v>
      </c>
      <c r="CK105" t="str">
        <f t="shared" si="262"/>
        <v>82 Transport and mobile machine drivers and operatives</v>
      </c>
      <c r="CL105" s="18">
        <f t="shared" si="250"/>
        <v>-0.86461969449895815</v>
      </c>
      <c r="CM105" s="18">
        <f t="shared" si="250"/>
        <v>-9.0537420415146226</v>
      </c>
      <c r="CN105" s="18">
        <f t="shared" si="250"/>
        <v>-8.3549317803480747</v>
      </c>
      <c r="CO105" s="18">
        <f t="shared" si="250"/>
        <v>-8.0591489810692636</v>
      </c>
      <c r="CP105" s="18">
        <f t="shared" si="251"/>
        <v>-8.2141001256952446</v>
      </c>
      <c r="CR105" s="18">
        <f t="shared" si="252"/>
        <v>-8.1578491660337029</v>
      </c>
      <c r="CS105" s="18">
        <f t="shared" si="253"/>
        <v>1.3894846293587504</v>
      </c>
      <c r="CT105" s="18">
        <f t="shared" si="254"/>
        <v>-4.4024005482016353</v>
      </c>
    </row>
    <row r="106" spans="1:98" x14ac:dyDescent="0.25">
      <c r="A106" t="str">
        <f t="shared" si="209"/>
        <v>91 Elementary trades and related occupations</v>
      </c>
      <c r="B106" s="18">
        <f t="shared" si="210"/>
        <v>-0.83290023540681934</v>
      </c>
      <c r="C106" s="18">
        <f t="shared" si="210"/>
        <v>-20.528121781193775</v>
      </c>
      <c r="D106" s="18">
        <f t="shared" si="210"/>
        <v>3.9851504692766548</v>
      </c>
      <c r="E106" s="18">
        <f t="shared" si="210"/>
        <v>5.3003952126454923</v>
      </c>
      <c r="F106" s="18">
        <f t="shared" si="211"/>
        <v>3.0589306805300698</v>
      </c>
      <c r="H106" s="18">
        <f t="shared" si="212"/>
        <v>4.8601421987551019</v>
      </c>
      <c r="I106" s="18">
        <f t="shared" si="213"/>
        <v>4.1641005978511947</v>
      </c>
      <c r="J106" s="18">
        <f t="shared" si="214"/>
        <v>7.3110526197016634</v>
      </c>
      <c r="L106" t="str">
        <f t="shared" si="255"/>
        <v>91 Elementary trades and related occupations</v>
      </c>
      <c r="M106" s="18">
        <f t="shared" si="215"/>
        <v>5.4685194316698826</v>
      </c>
      <c r="N106" s="18">
        <f t="shared" si="215"/>
        <v>-29.369842139195647</v>
      </c>
      <c r="O106" s="18">
        <f t="shared" si="215"/>
        <v>6.6863459495799304</v>
      </c>
      <c r="P106" s="18">
        <f t="shared" si="215"/>
        <v>6.7473334448703515</v>
      </c>
      <c r="Q106" s="18">
        <f t="shared" si="216"/>
        <v>4.0085509240751493</v>
      </c>
      <c r="S106" s="18">
        <f t="shared" si="217"/>
        <v>6.7270004070193901</v>
      </c>
      <c r="T106" s="18">
        <f t="shared" si="218"/>
        <v>4.4921437514513718</v>
      </c>
      <c r="U106" s="18">
        <f t="shared" si="219"/>
        <v>8.8913662203536035</v>
      </c>
      <c r="W106" t="str">
        <f t="shared" si="256"/>
        <v>91 Elementary trades and related occupations</v>
      </c>
      <c r="X106" s="18">
        <f t="shared" si="220"/>
        <v>-5.4002190158348951</v>
      </c>
      <c r="Y106" s="18">
        <f t="shared" si="220"/>
        <v>-6.9515755050318369</v>
      </c>
      <c r="Z106" s="18">
        <f t="shared" si="220"/>
        <v>0.75864200563242612</v>
      </c>
      <c r="AA106" s="18">
        <f t="shared" si="220"/>
        <v>1.8867844401473599</v>
      </c>
      <c r="AB106" s="18">
        <f t="shared" si="221"/>
        <v>0.95868717148315241</v>
      </c>
      <c r="AD106" s="18">
        <f t="shared" si="222"/>
        <v>1.509340430918682</v>
      </c>
      <c r="AE106" s="18">
        <f t="shared" si="223"/>
        <v>3.637037833013701</v>
      </c>
      <c r="AF106" s="18">
        <f t="shared" si="224"/>
        <v>4.5916227826104938</v>
      </c>
      <c r="AH106" t="str">
        <f t="shared" si="257"/>
        <v>91 Elementary trades and related occupations</v>
      </c>
      <c r="AI106" s="18">
        <f t="shared" si="225"/>
        <v>-4.8379458129648167</v>
      </c>
      <c r="AJ106" s="18">
        <f t="shared" si="225"/>
        <v>-8.9588189244385497</v>
      </c>
      <c r="AK106" s="18">
        <f t="shared" si="225"/>
        <v>0.95613775016523128</v>
      </c>
      <c r="AL106" s="18">
        <f t="shared" si="225"/>
        <v>2.4248202453349688</v>
      </c>
      <c r="AM106" s="18">
        <f t="shared" si="226"/>
        <v>1.2155178838458403</v>
      </c>
      <c r="AO106" s="18">
        <f t="shared" si="227"/>
        <v>1.9329006346943789</v>
      </c>
      <c r="AP106" s="18">
        <f t="shared" si="228"/>
        <v>3.6848194159582182</v>
      </c>
      <c r="AQ106" s="18">
        <f t="shared" si="229"/>
        <v>4.9136763005111606</v>
      </c>
      <c r="AS106" t="str">
        <f t="shared" si="258"/>
        <v>91 Elementary trades and related occupations</v>
      </c>
      <c r="AT106" s="18">
        <f t="shared" si="230"/>
        <v>-4.6186346633010693</v>
      </c>
      <c r="AU106" s="18">
        <f t="shared" si="230"/>
        <v>-0.81342659856245003</v>
      </c>
      <c r="AV106" s="18">
        <f t="shared" si="230"/>
        <v>0.92234809310698385</v>
      </c>
      <c r="AW106" s="18">
        <f t="shared" si="230"/>
        <v>1.610922664241432</v>
      </c>
      <c r="AX106" s="18">
        <f t="shared" si="231"/>
        <v>1.2423221966793463</v>
      </c>
      <c r="AZ106" s="18">
        <f t="shared" si="232"/>
        <v>1.3808773818990927</v>
      </c>
      <c r="BA106" s="18">
        <f t="shared" si="233"/>
        <v>3.3133129373918768</v>
      </c>
      <c r="BB106" s="18">
        <f t="shared" si="234"/>
        <v>4.2201792280018413</v>
      </c>
      <c r="BD106" t="str">
        <f t="shared" si="259"/>
        <v>91 Elementary trades and related occupations</v>
      </c>
      <c r="BE106" s="18">
        <f t="shared" si="235"/>
        <v>-0.83408285293902207</v>
      </c>
      <c r="BF106" s="18">
        <f t="shared" si="235"/>
        <v>-14.244136210952584</v>
      </c>
      <c r="BG106" s="18">
        <f t="shared" si="235"/>
        <v>0.44443244277374561</v>
      </c>
      <c r="BH106" s="18">
        <f t="shared" si="235"/>
        <v>1.8481645306899885</v>
      </c>
      <c r="BI106" s="18">
        <f t="shared" si="236"/>
        <v>0.32324644471417585</v>
      </c>
      <c r="BK106" s="18">
        <f t="shared" si="237"/>
        <v>1.3780875472079401</v>
      </c>
      <c r="BL106" s="18">
        <f t="shared" si="238"/>
        <v>2.1783376447528813</v>
      </c>
      <c r="BM106" s="18">
        <f t="shared" si="239"/>
        <v>3.2236775517013649</v>
      </c>
      <c r="BO106" t="str">
        <f t="shared" si="260"/>
        <v>91 Elementary trades and related occupations</v>
      </c>
      <c r="BP106" s="18">
        <f t="shared" si="240"/>
        <v>-2.0675142386283873</v>
      </c>
      <c r="BQ106" s="18">
        <f t="shared" si="240"/>
        <v>-16.07397443152777</v>
      </c>
      <c r="BR106" s="18">
        <f t="shared" si="240"/>
        <v>-0.50339424154033363</v>
      </c>
      <c r="BS106" s="18">
        <f t="shared" si="240"/>
        <v>3.2553057342887826E-2</v>
      </c>
      <c r="BT106" s="18">
        <f t="shared" si="241"/>
        <v>-1.2250156127289635</v>
      </c>
      <c r="BV106" s="18">
        <f t="shared" si="242"/>
        <v>-0.14641604649818785</v>
      </c>
      <c r="BW106" s="18">
        <f t="shared" si="243"/>
        <v>2.1810837530630067</v>
      </c>
      <c r="BX106" s="18">
        <f t="shared" si="244"/>
        <v>2.0731482426459502</v>
      </c>
      <c r="BZ106" t="str">
        <f t="shared" si="261"/>
        <v>91 Elementary trades and related occupations</v>
      </c>
      <c r="CA106" s="18">
        <f t="shared" si="245"/>
        <v>-4.0272486741043112</v>
      </c>
      <c r="CB106" s="18">
        <f t="shared" si="245"/>
        <v>-13.747387238244047</v>
      </c>
      <c r="CC106" s="18">
        <f t="shared" si="245"/>
        <v>-4.5856061253396918</v>
      </c>
      <c r="CD106" s="18">
        <f t="shared" si="245"/>
        <v>-2.7939196787589715</v>
      </c>
      <c r="CE106" s="18">
        <f t="shared" si="246"/>
        <v>-4.0768342838225946</v>
      </c>
      <c r="CG106" s="18">
        <f t="shared" si="247"/>
        <v>-3.3948558770569015</v>
      </c>
      <c r="CH106" s="18">
        <f t="shared" si="248"/>
        <v>1.7585066458813303</v>
      </c>
      <c r="CI106" s="18">
        <f t="shared" si="249"/>
        <v>-0.74034398605977714</v>
      </c>
      <c r="CK106" t="str">
        <f t="shared" si="262"/>
        <v>91 Elementary trades and related occupations</v>
      </c>
      <c r="CL106" s="18">
        <f t="shared" si="250"/>
        <v>-7.0172859069054683</v>
      </c>
      <c r="CM106" s="18">
        <f t="shared" si="250"/>
        <v>-4.7916138524585765</v>
      </c>
      <c r="CN106" s="18">
        <f t="shared" si="250"/>
        <v>-10.195130128634878</v>
      </c>
      <c r="CO106" s="18">
        <f t="shared" si="250"/>
        <v>-4.8736027003357218</v>
      </c>
      <c r="CP106" s="18">
        <f t="shared" si="251"/>
        <v>-6.5645738098266797</v>
      </c>
      <c r="CR106" s="18">
        <f t="shared" si="252"/>
        <v>-6.6815903801393244</v>
      </c>
      <c r="CS106" s="18">
        <f t="shared" si="253"/>
        <v>1.1022843537483729</v>
      </c>
      <c r="CT106" s="18">
        <f t="shared" si="254"/>
        <v>-4.1064003935074922</v>
      </c>
    </row>
    <row r="107" spans="1:98" x14ac:dyDescent="0.25">
      <c r="A107" t="str">
        <f t="shared" si="209"/>
        <v>92 Elementary administration and service occupations</v>
      </c>
      <c r="B107" s="18">
        <f t="shared" si="210"/>
        <v>6.8170096603651142</v>
      </c>
      <c r="C107" s="18">
        <f t="shared" si="210"/>
        <v>-11.903174658905513</v>
      </c>
      <c r="D107" s="18">
        <f t="shared" si="210"/>
        <v>8.6373990406167991</v>
      </c>
      <c r="E107" s="18">
        <f t="shared" si="210"/>
        <v>5.4218556893038006</v>
      </c>
      <c r="F107" s="18">
        <f t="shared" si="211"/>
        <v>5.22894743330935</v>
      </c>
      <c r="H107" s="18">
        <f t="shared" si="212"/>
        <v>6.4829867478103376</v>
      </c>
      <c r="I107" s="18">
        <f t="shared" si="213"/>
        <v>4.5479105561538891</v>
      </c>
      <c r="J107" s="18">
        <f t="shared" si="214"/>
        <v>8.7400220328233136</v>
      </c>
      <c r="L107" t="str">
        <f t="shared" ref="L107" si="263">A107</f>
        <v>92 Elementary administration and service occupations</v>
      </c>
      <c r="M107" s="18">
        <f t="shared" si="215"/>
        <v>8.0405221016776274</v>
      </c>
      <c r="N107" s="18">
        <f t="shared" si="215"/>
        <v>-4.9834494700979448</v>
      </c>
      <c r="O107" s="18">
        <f t="shared" si="215"/>
        <v>8.605233712577931</v>
      </c>
      <c r="P107" s="18">
        <f t="shared" si="215"/>
        <v>6.8661722515308776</v>
      </c>
      <c r="Q107" s="18">
        <f t="shared" si="216"/>
        <v>6.620563455067896</v>
      </c>
      <c r="S107" s="18">
        <f t="shared" si="217"/>
        <v>7.4427430612162171</v>
      </c>
      <c r="T107" s="18">
        <f t="shared" si="218"/>
        <v>4.8577039849300618</v>
      </c>
      <c r="U107" s="18">
        <f t="shared" si="219"/>
        <v>9.631866271465972</v>
      </c>
      <c r="W107" t="str">
        <f t="shared" ref="W107" si="264">A107</f>
        <v>92 Elementary administration and service occupations</v>
      </c>
      <c r="X107" s="18">
        <f t="shared" si="220"/>
        <v>-0.18395282067359409</v>
      </c>
      <c r="Y107" s="18">
        <f t="shared" si="220"/>
        <v>10.366955623747632</v>
      </c>
      <c r="Z107" s="18">
        <f t="shared" si="220"/>
        <v>4.3643624577337281</v>
      </c>
      <c r="AA107" s="18">
        <f t="shared" si="220"/>
        <v>2.5956353672889287</v>
      </c>
      <c r="AB107" s="18">
        <f t="shared" si="221"/>
        <v>3.616892835051333</v>
      </c>
      <c r="AD107" s="18">
        <f t="shared" si="222"/>
        <v>3.1818550919252342</v>
      </c>
      <c r="AE107" s="18">
        <f t="shared" si="223"/>
        <v>4.2693732312615973</v>
      </c>
      <c r="AF107" s="18">
        <f t="shared" si="224"/>
        <v>6.2190744452759406</v>
      </c>
      <c r="AH107" t="str">
        <f t="shared" ref="AH107" si="265">L107</f>
        <v>92 Elementary administration and service occupations</v>
      </c>
      <c r="AI107" s="18">
        <f t="shared" si="225"/>
        <v>-0.87786518846268979</v>
      </c>
      <c r="AJ107" s="18">
        <f t="shared" si="225"/>
        <v>9.8811373991746887</v>
      </c>
      <c r="AK107" s="18">
        <f t="shared" si="225"/>
        <v>3.8236192503494415</v>
      </c>
      <c r="AL107" s="18">
        <f t="shared" si="225"/>
        <v>3.1754462578710507</v>
      </c>
      <c r="AM107" s="18">
        <f t="shared" si="226"/>
        <v>3.7852104789618979</v>
      </c>
      <c r="AO107" s="18">
        <f t="shared" si="227"/>
        <v>3.3910530524436711</v>
      </c>
      <c r="AP107" s="18">
        <f t="shared" si="228"/>
        <v>4.0544631831845868</v>
      </c>
      <c r="AQ107" s="18">
        <f t="shared" si="229"/>
        <v>6.1969665553368136</v>
      </c>
      <c r="AS107" t="str">
        <f t="shared" ref="AS107" si="266">W107</f>
        <v>92 Elementary administration and service occupations</v>
      </c>
      <c r="AT107" s="18">
        <f t="shared" si="230"/>
        <v>-0.90860768653798774</v>
      </c>
      <c r="AU107" s="18">
        <f t="shared" si="230"/>
        <v>10.448501021476009</v>
      </c>
      <c r="AV107" s="18">
        <f t="shared" si="230"/>
        <v>3.8626973986670476</v>
      </c>
      <c r="AW107" s="18">
        <f t="shared" si="230"/>
        <v>2.8809473280531517</v>
      </c>
      <c r="AX107" s="18">
        <f t="shared" si="231"/>
        <v>3.6455021364255158</v>
      </c>
      <c r="AZ107" s="18">
        <f t="shared" si="232"/>
        <v>3.2071618982538297</v>
      </c>
      <c r="BA107" s="18">
        <f t="shared" si="233"/>
        <v>4.0842896210439683</v>
      </c>
      <c r="BB107" s="18">
        <f t="shared" si="234"/>
        <v>6.0938967023130841</v>
      </c>
      <c r="BD107" t="str">
        <f t="shared" ref="BD107" si="267">AH107</f>
        <v>92 Elementary administration and service occupations</v>
      </c>
      <c r="BE107" s="18">
        <f t="shared" si="235"/>
        <v>-0.62876321277754998</v>
      </c>
      <c r="BF107" s="18">
        <f t="shared" si="235"/>
        <v>-7.376640212725782</v>
      </c>
      <c r="BG107" s="18">
        <f t="shared" si="235"/>
        <v>0.89605013358018404</v>
      </c>
      <c r="BH107" s="18">
        <f t="shared" si="235"/>
        <v>-0.66595671443366866</v>
      </c>
      <c r="BI107" s="18">
        <f t="shared" si="236"/>
        <v>-0.61587224285460929</v>
      </c>
      <c r="BK107" s="18">
        <f t="shared" si="237"/>
        <v>-0.14799330688224366</v>
      </c>
      <c r="BL107" s="18">
        <f t="shared" si="238"/>
        <v>2.7173716626039734</v>
      </c>
      <c r="BM107" s="18">
        <f t="shared" si="239"/>
        <v>2.6160434337583638</v>
      </c>
      <c r="BO107" t="str">
        <f t="shared" ref="BO107" si="268">AS107</f>
        <v>92 Elementary administration and service occupations</v>
      </c>
      <c r="BP107" s="18">
        <f t="shared" si="240"/>
        <v>0.79262085251705638</v>
      </c>
      <c r="BQ107" s="18">
        <f t="shared" si="240"/>
        <v>-17.87863626806211</v>
      </c>
      <c r="BR107" s="18">
        <f t="shared" si="240"/>
        <v>2.5537873690537838</v>
      </c>
      <c r="BS107" s="18">
        <f t="shared" si="240"/>
        <v>-0.82470001992095421</v>
      </c>
      <c r="BT107" s="18">
        <f t="shared" si="241"/>
        <v>-0.9560120374065062</v>
      </c>
      <c r="BV107" s="18">
        <f t="shared" si="242"/>
        <v>0.28891121635614692</v>
      </c>
      <c r="BW107" s="18">
        <f t="shared" si="243"/>
        <v>2.9782758553201116</v>
      </c>
      <c r="BX107" s="18">
        <f t="shared" si="244"/>
        <v>3.1712171368783793</v>
      </c>
      <c r="BZ107" t="str">
        <f t="shared" ref="BZ107" si="269">BD107</f>
        <v>92 Elementary administration and service occupations</v>
      </c>
      <c r="CA107" s="18">
        <f t="shared" si="245"/>
        <v>-2.3279632388399585</v>
      </c>
      <c r="CB107" s="18">
        <f t="shared" si="245"/>
        <v>-13.922074086108637</v>
      </c>
      <c r="CC107" s="18">
        <f t="shared" si="245"/>
        <v>-1.5666196914697395</v>
      </c>
      <c r="CD107" s="18">
        <f t="shared" si="245"/>
        <v>-4.1567595472401404</v>
      </c>
      <c r="CE107" s="18">
        <f t="shared" si="246"/>
        <v>-4.0016723476843152</v>
      </c>
      <c r="CG107" s="18">
        <f t="shared" si="247"/>
        <v>-3.3010424313524633</v>
      </c>
      <c r="CH107" s="18">
        <f t="shared" si="248"/>
        <v>1.97534505759418</v>
      </c>
      <c r="CI107" s="18">
        <f t="shared" si="249"/>
        <v>-0.37361320144626564</v>
      </c>
      <c r="CK107" t="str">
        <f t="shared" ref="CK107" si="270">BO107</f>
        <v>92 Elementary administration and service occupations</v>
      </c>
      <c r="CL107" s="18">
        <f t="shared" si="250"/>
        <v>-9.9753069481758221</v>
      </c>
      <c r="CM107" s="18">
        <f t="shared" si="250"/>
        <v>-2.1451839739014766</v>
      </c>
      <c r="CN107" s="18">
        <f t="shared" si="250"/>
        <v>-9.2425334073044532</v>
      </c>
      <c r="CO107" s="18">
        <f t="shared" si="250"/>
        <v>-6.0989193090329907</v>
      </c>
      <c r="CP107" s="18">
        <f t="shared" si="251"/>
        <v>-6.8530270889402338</v>
      </c>
      <c r="CR107" s="18">
        <f t="shared" si="252"/>
        <v>-7.1587066600621636</v>
      </c>
      <c r="CS107" s="18">
        <f t="shared" si="253"/>
        <v>1.0428461321297933</v>
      </c>
      <c r="CT107" s="18">
        <f t="shared" si="254"/>
        <v>-4.55974092978646</v>
      </c>
    </row>
    <row r="108" spans="1:98" x14ac:dyDescent="0.25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5">
      <c r="A109" s="24" t="str">
        <f>A35</f>
        <v>All occupations</v>
      </c>
      <c r="B109" s="26">
        <f>IF(AND(C$6-B$6 &lt;&gt; 0,B35&lt;&gt;0,C35&lt;&gt;0),(EXP(LN(C35/B35)/(C$6-B$6))-1)*100,0)</f>
        <v>8.3212764232624803</v>
      </c>
      <c r="C109" s="26">
        <f>IF(AND(D$6-C$6 &lt;&gt; 0,C35&lt;&gt;0,D35&lt;&gt;0),(EXP(LN(D35/C35)/(D$6-C$6))-1)*100,0)</f>
        <v>-2.9497296481718727</v>
      </c>
      <c r="D109" s="26">
        <f>IF(AND(E$6-D$6 &lt;&gt; 0,D35&lt;&gt;0,E35&lt;&gt;0),(EXP(LN(E35/D35)/(E$6-D$6))-1)*100,0)</f>
        <v>5.2899853520139262</v>
      </c>
      <c r="E109" s="26">
        <f>IF(AND(F$6-E$6 &lt;&gt; 0,E35&lt;&gt;0,F35&lt;&gt;0),(EXP(LN(F35/E35)/(F$6-E$6))-1)*100,0)</f>
        <v>3.9241227648793009</v>
      </c>
      <c r="F109" s="26">
        <f>IF(AND(F$6-C$6 &lt;&gt; 0,C35&lt;&gt;0,F35&lt;&gt;0),(EXP(LN(F35/C35)/(F$6-C$6))-1)*100,0)</f>
        <v>3.9036931261510421</v>
      </c>
      <c r="H109" s="26">
        <f t="shared" ref="H109" si="271">IF($F$6-$D$6 &lt;&gt; 0,(EXP(LN(1+(H72/100))/($F$6-$D$6))-1)*100,0)</f>
        <v>4.3774301343776356</v>
      </c>
      <c r="I109" s="26">
        <f t="shared" ref="I109" si="272">IF(D35&gt;0,((1+(I35/D35))^(1/($F$6-$D$6))-1)*100,0)</f>
        <v>3.5201626458668533</v>
      </c>
      <c r="J109" s="26">
        <f t="shared" ref="J109" si="273">IF($F$6-$D$6 &lt;&gt; 0,(EXP(LN(1+(J72/100))/($F$6-$D$6))-1)*100,0)</f>
        <v>6.5273415187873551</v>
      </c>
      <c r="L109" s="24" t="str">
        <f>L35</f>
        <v>All occupations</v>
      </c>
      <c r="M109" s="26">
        <f>IF(AND(N$6-M$6 &lt;&gt; 0,M35&lt;&gt;0,N35&lt;&gt;0),(EXP(LN(N35/M35)/(N$6-M$6))-1)*100,0)</f>
        <v>8.6915274444936408</v>
      </c>
      <c r="N109" s="26">
        <f>IF(AND(O$6-N$6 &lt;&gt; 0,N35&lt;&gt;0,O35&lt;&gt;0),(EXP(LN(O35/N35)/(O$6-N$6))-1)*100,0)</f>
        <v>-0.12149422224173589</v>
      </c>
      <c r="O109" s="26">
        <f>IF(AND(P$6-O$6 &lt;&gt; 0,O35&lt;&gt;0,P35&lt;&gt;0),(EXP(LN(P35/O35)/(P$6-O$6))-1)*100,0)</f>
        <v>4.8842369876755276</v>
      </c>
      <c r="P109" s="26">
        <f>IF(AND(Q$6-P$6 &lt;&gt; 0,P35&lt;&gt;0,Q35&lt;&gt;0),(EXP(LN(Q35/P35)/(Q$6-P$6))-1)*100,0)</f>
        <v>3.9111207284620031</v>
      </c>
      <c r="Q109" s="26">
        <f>IF(AND(Q$6-N$6 &lt;&gt; 0,N35&lt;&gt;0,Q35&lt;&gt;0),(EXP(LN(Q35/N35)/(Q$6-N$6))-1)*100,0)</f>
        <v>3.9567551203169016</v>
      </c>
      <c r="S109" s="26">
        <f t="shared" ref="S109" si="274">IF($F$6-$D$6 &lt;&gt; 0,(EXP(LN(1+(S72/100))/($F$6-$D$6))-1)*100,0)</f>
        <v>4.2344854806322774</v>
      </c>
      <c r="T109" s="26">
        <f t="shared" ref="T109" si="275">IF(O35&gt;0,((1+(T35/O35))^(1/($F$6-$D$6))-1)*100,0)</f>
        <v>3.6104949883781545</v>
      </c>
      <c r="U109" s="26">
        <f t="shared" ref="U109" si="276">IF($F$6-$D$6 &lt;&gt; 0,(EXP(LN(1+(U72/100))/($F$6-$D$6))-1)*100,0)</f>
        <v>6.4816472940153025</v>
      </c>
      <c r="W109" s="24" t="str">
        <f>W35</f>
        <v>All occupations</v>
      </c>
      <c r="X109" s="26">
        <f>IF(AND(Y$6-X$6 &lt;&gt; 0,X35&lt;&gt;0,Y35&lt;&gt;0),(EXP(LN(Y35/X35)/(Y$6-X$6))-1)*100,0)</f>
        <v>-0.52899947469070563</v>
      </c>
      <c r="Y109" s="26">
        <f>IF(AND(Z$6-Y$6 &lt;&gt; 0,Y35&lt;&gt;0,Z35&lt;&gt;0),(EXP(LN(Z35/Y35)/(Z$6-Y$6))-1)*100,0)</f>
        <v>11.132345804526755</v>
      </c>
      <c r="Z109" s="26">
        <f>IF(AND(AA$6-Z$6 &lt;&gt; 0,Z35&lt;&gt;0,AA35&lt;&gt;0),(EXP(LN(AA35/Z35)/(AA$6-Z$6))-1)*100,0)</f>
        <v>1.3773245991427485</v>
      </c>
      <c r="AA109" s="26">
        <f>IF(AND(AB$6-AA$6 &lt;&gt; 0,AA35&lt;&gt;0,AB35&lt;&gt;0),(EXP(LN(AB35/AA35)/(AB$6-AA$6))-1)*100,0)</f>
        <v>1.406532906612612</v>
      </c>
      <c r="AB109" s="26">
        <f>IF(AND(AB$6-Y$6 &lt;&gt; 0,Y35&lt;&gt;0,AB35&lt;&gt;0),(EXP(LN(AB35/Y35)/(AB$6-Y$6))-1)*100,0)</f>
        <v>1.9794692057858887</v>
      </c>
      <c r="AD109" s="26">
        <f t="shared" ref="AD109" si="277">IF($F$6-$D$6 &lt;&gt; 0,(EXP(LN(1+(AD72/100))/($F$6-$D$6))-1)*100,0)</f>
        <v>1.3967958692039817</v>
      </c>
      <c r="AE109" s="26">
        <f t="shared" ref="AE109" si="278">IF(Z35&gt;0,((1+(AE35/Z35))^(1/($F$6-$D$6))-1)*100,0)</f>
        <v>3.2780211841127116</v>
      </c>
      <c r="AF109" s="26">
        <f t="shared" ref="AF109" si="279">IF($F$6-$D$6 &lt;&gt; 0,(EXP(LN(1+(AF72/100))/($F$6-$D$6))-1)*100,0)</f>
        <v>4.1998238426951273</v>
      </c>
      <c r="AH109" s="24" t="str">
        <f>AH35</f>
        <v>All occupations</v>
      </c>
      <c r="AI109" s="26">
        <f>IF(AND(AJ$6-AI$6 &lt;&gt; 0,AI35&lt;&gt;0,AJ35&lt;&gt;0),(EXP(LN(AJ35/AI35)/(AJ$6-AI$6))-1)*100,0)</f>
        <v>-2.1445168961973682</v>
      </c>
      <c r="AJ109" s="26">
        <f>IF(AND(AK$6-AJ$6 &lt;&gt; 0,AJ35&lt;&gt;0,AK35&lt;&gt;0),(EXP(LN(AK35/AJ35)/(AK$6-AJ$6))-1)*100,0)</f>
        <v>11.317412045374375</v>
      </c>
      <c r="AK109" s="26">
        <f>IF(AND(AL$6-AK$6 &lt;&gt; 0,AK35&lt;&gt;0,AL35&lt;&gt;0),(EXP(LN(AL35/AK35)/(AL$6-AK$6))-1)*100,0)</f>
        <v>-0.51154941322471004</v>
      </c>
      <c r="AL109" s="26">
        <f>IF(AND(AM$6-AL$6 &lt;&gt; 0,AL35&lt;&gt;0,AM35&lt;&gt;0),(EXP(LN(AM35/AL35)/(AM$6-AL$6))-1)*100,0)</f>
        <v>0.82983443403448209</v>
      </c>
      <c r="AM109" s="26">
        <f>IF(AND(AM$6-AJ$6 &lt;&gt; 0,AJ35&lt;&gt;0,AM35&lt;&gt;0),(EXP(LN(AM35/AJ35)/(AM$6-AJ$6))-1)*100,0)</f>
        <v>1.0316186891723866</v>
      </c>
      <c r="AO109" s="26">
        <f t="shared" ref="AO109" si="280">IF($F$6-$D$6 &lt;&gt; 0,(EXP(LN(1+(AO72/100))/($F$6-$D$6))-1)*100,0)</f>
        <v>0.3807089191284696</v>
      </c>
      <c r="AP109" s="26">
        <f t="shared" ref="AP109" si="281">IF(AK35&gt;0,((1+(AP35/AK35))^(1/($F$6-$D$6))-1)*100,0)</f>
        <v>2.9217121058479067</v>
      </c>
      <c r="AQ109" s="26">
        <f t="shared" ref="AQ109" si="282">IF($F$6-$D$6 &lt;&gt; 0,(EXP(LN(1+(AQ72/100))/($F$6-$D$6))-1)*100,0)</f>
        <v>3.1784594362098018</v>
      </c>
      <c r="AS109" s="24" t="str">
        <f>AS35</f>
        <v>All occupations</v>
      </c>
      <c r="AT109" s="26">
        <f>IF(AND(AU$6-AT$6 &lt;&gt; 0,AT35&lt;&gt;0,AU35&lt;&gt;0),(EXP(LN(AU35/AT35)/(AU$6-AT$6))-1)*100,0)</f>
        <v>-1.7825227102071683</v>
      </c>
      <c r="AU109" s="26">
        <f>IF(AND(AV$6-AU$6 &lt;&gt; 0,AU35&lt;&gt;0,AV35&lt;&gt;0),(EXP(LN(AV35/AU35)/(AV$6-AU$6))-1)*100,0)</f>
        <v>8.8550961981417764</v>
      </c>
      <c r="AV109" s="26">
        <f>IF(AND(AW$6-AV$6 &lt;&gt; 0,AV35&lt;&gt;0,AW35&lt;&gt;0),(EXP(LN(AW35/AV35)/(AW$6-AV$6))-1)*100,0)</f>
        <v>0.73373389089275154</v>
      </c>
      <c r="AW109" s="26">
        <f>IF(AND(AX$6-AW$6 &lt;&gt; 0,AW35&lt;&gt;0,AX35&lt;&gt;0),(EXP(LN(AX35/AW35)/(AX$6-AW$6))-1)*100,0)</f>
        <v>1.307628233619984</v>
      </c>
      <c r="AX109" s="26">
        <f>IF(AND(AX$6-AU$6 &lt;&gt; 0,AU35&lt;&gt;0,AX35&lt;&gt;0),(EXP(LN(AX35/AU35)/(AX$6-AU$6))-1)*100,0)</f>
        <v>1.5831221420432362</v>
      </c>
      <c r="AZ109" s="26">
        <f t="shared" ref="AZ109" si="283">IF($F$6-$D$6 &lt;&gt; 0,(EXP(LN(1+(AZ72/100))/($F$6-$D$6))-1)*100,0)</f>
        <v>1.1159677520442335</v>
      </c>
      <c r="BA109" s="26">
        <f t="shared" ref="BA109" si="284">IF(AV35&gt;0,((1+(BA35/AV35))^(1/($F$6-$D$6))-1)*100,0)</f>
        <v>3.0118054034971253</v>
      </c>
      <c r="BB109" s="26">
        <f t="shared" ref="BB109" si="285">IF($F$6-$D$6 &lt;&gt; 0,(EXP(LN(1+(BB72/100))/($F$6-$D$6))-1)*100,0)</f>
        <v>3.7686382339004787</v>
      </c>
      <c r="BD109" s="24" t="str">
        <f>BD35</f>
        <v>All occupations</v>
      </c>
      <c r="BE109" s="26">
        <f>IF(AND(BF$6-BE$6 &lt;&gt; 0,BE35&lt;&gt;0,BF35&lt;&gt;0),(EXP(LN(BF35/BE35)/(BF$6-BE$6))-1)*100,0)</f>
        <v>2.0454028977315186</v>
      </c>
      <c r="BF109" s="26">
        <f>IF(AND(BG$6-BF$6 &lt;&gt; 0,BF35&lt;&gt;0,BG35&lt;&gt;0),(EXP(LN(BG35/BF35)/(BG$6-BF$6))-1)*100,0)</f>
        <v>-4.8781088535895361</v>
      </c>
      <c r="BG109" s="26">
        <f>IF(AND(BH$6-BG$6 &lt;&gt; 0,BG35&lt;&gt;0,BH35&lt;&gt;0),(EXP(LN(BH35/BG35)/(BH$6-BG$6))-1)*100,0)</f>
        <v>0.90767813057128777</v>
      </c>
      <c r="BH109" s="26">
        <f>IF(AND(BI$6-BH$6 &lt;&gt; 0,BH35&lt;&gt;0,BI35&lt;&gt;0),(EXP(LN(BI35/BH35)/(BI$6-BH$6))-1)*100,0)</f>
        <v>9.5744540513220677E-2</v>
      </c>
      <c r="BI109" s="26">
        <f>IF(AND(BI$6-BF$6 &lt;&gt; 0,BF35&lt;&gt;0,BI35&lt;&gt;0),(EXP(LN(BI35/BF35)/(BI$6-BF$6))-1)*100,0)</f>
        <v>2.9616859451286892E-2</v>
      </c>
      <c r="BK109" s="26">
        <f t="shared" ref="BK109" si="286">IF($F$6-$D$6 &lt;&gt; 0,(EXP(LN(1+(BK72/100))/($F$6-$D$6))-1)*100,0)</f>
        <v>0.36566056656315293</v>
      </c>
      <c r="BL109" s="26">
        <f t="shared" ref="BL109" si="287">IF(BG35&gt;0,((1+(BL35/BG35))^(1/($F$6-$D$6))-1)*100,0)</f>
        <v>2.5882677772982587</v>
      </c>
      <c r="BM109" s="26">
        <f t="shared" ref="BM109" si="288">IF($F$6-$D$6 &lt;&gt; 0,(EXP(LN(1+(BM72/100))/($F$6-$D$6))-1)*100,0)</f>
        <v>2.8460222800828383</v>
      </c>
      <c r="BO109" s="24" t="str">
        <f>BO35</f>
        <v>All occupations</v>
      </c>
      <c r="BP109" s="26">
        <f>IF(AND(BQ$6-BP$6 &lt;&gt; 0,BP35&lt;&gt;0,BQ35&lt;&gt;0),(EXP(LN(BQ35/BP35)/(BQ$6-BP$6))-1)*100,0)</f>
        <v>0.65865767940167519</v>
      </c>
      <c r="BQ109" s="26">
        <f>IF(AND(BR$6-BQ$6 &lt;&gt; 0,BQ35&lt;&gt;0,BR35&lt;&gt;0),(EXP(LN(BR35/BQ35)/(BR$6-BQ$6))-1)*100,0)</f>
        <v>-13.68573956497986</v>
      </c>
      <c r="BR109" s="26">
        <f>IF(AND(BS$6-BR$6 &lt;&gt; 0,BR35&lt;&gt;0,BS35&lt;&gt;0),(EXP(LN(BS35/BR35)/(BS$6-BR$6))-1)*100,0)</f>
        <v>1.0862539827737994</v>
      </c>
      <c r="BS109" s="26">
        <f>IF(AND(BT$6-BS$6 &lt;&gt; 0,BS35&lt;&gt;0,BT35&lt;&gt;0),(EXP(LN(BT35/BS35)/(BT$6-BS$6))-1)*100,0)</f>
        <v>-1.3385415496197539</v>
      </c>
      <c r="BT109" s="26">
        <f>IF(AND(BT$6-BQ$6 &lt;&gt; 0,BQ35&lt;&gt;0,BT35&lt;&gt;0),(EXP(LN(BT35/BQ35)/(BT$6-BQ$6))-1)*100,0)</f>
        <v>-1.4143625996967391</v>
      </c>
      <c r="BV109" s="26">
        <f t="shared" ref="BV109" si="289">IF($F$6-$D$6 &lt;&gt; 0,(EXP(LN(1+(BV72/100))/($F$6-$D$6))-1)*100,0)</f>
        <v>-0.53680897581157572</v>
      </c>
      <c r="BW109" s="26">
        <f t="shared" ref="BW109" si="290">IF(BR35&gt;0,((1+(BW35/BR35))^(1/($F$6-$D$6))-1)*100,0)</f>
        <v>2.6326017685611713</v>
      </c>
      <c r="BX109" s="26">
        <f t="shared" ref="BX109" si="291">IF($F$6-$D$6 &lt;&gt; 0,(EXP(LN(1+(BX72/100))/($F$6-$D$6))-1)*100,0)</f>
        <v>2.2640807467756874</v>
      </c>
      <c r="BZ109" s="24" t="str">
        <f>BZ35</f>
        <v>All occupations</v>
      </c>
      <c r="CA109" s="26">
        <f>IF(AND(CB$6-CA$6 &lt;&gt; 0,CA35&lt;&gt;0,CB35&lt;&gt;0),(EXP(LN(CB35/CA35)/(CB$6-CA$6))-1)*100,0)</f>
        <v>-2.9030947310330957</v>
      </c>
      <c r="CB109" s="26">
        <f>IF(AND(CC$6-CB$6 &lt;&gt; 0,CB35&lt;&gt;0,CC35&lt;&gt;0),(EXP(LN(CC35/CB35)/(CC$6-CB$6))-1)*100,0)</f>
        <v>-9.0270181135524101</v>
      </c>
      <c r="CC109" s="26">
        <f>IF(AND(CD$6-CC$6 &lt;&gt; 0,CC35&lt;&gt;0,CD35&lt;&gt;0),(EXP(LN(CD35/CC35)/(CD$6-CC$6))-1)*100,0)</f>
        <v>-2.9119666534319077</v>
      </c>
      <c r="CD109" s="26">
        <f>IF(AND(CE$6-CD$6 &lt;&gt; 0,CD35&lt;&gt;0,CE35&lt;&gt;0),(EXP(LN(CE35/CD35)/(CE$6-CD$6))-1)*100,0)</f>
        <v>-4.7223549008545191</v>
      </c>
      <c r="CE109" s="26">
        <f>IF(AND(CE$6-CB$6 &lt;&gt; 0,CB35&lt;&gt;0,CE35&lt;&gt;0),(EXP(LN(CE35/CB35)/(CE$6-CB$6))-1)*100,0)</f>
        <v>-4.4367979200426451</v>
      </c>
      <c r="CG109" s="26">
        <f t="shared" ref="CG109" si="292">IF($F$6-$D$6 &lt;&gt; 0,(EXP(LN(1+(CG72/100))/($F$6-$D$6))-1)*100,0)</f>
        <v>-4.122674477453991</v>
      </c>
      <c r="CH109" s="26">
        <f t="shared" ref="CH109" si="293">IF(CC35&gt;0,((1+(CH35/CC35))^(1/($F$6-$D$6))-1)*100,0)</f>
        <v>1.8051405005553134</v>
      </c>
      <c r="CI109" s="26">
        <f t="shared" ref="CI109" si="294">IF($F$6-$D$6 &lt;&gt; 0,(EXP(LN(1+(CI72/100))/($F$6-$D$6))-1)*100,0)</f>
        <v>-1.1587570038664508</v>
      </c>
      <c r="CK109" s="24" t="str">
        <f>CK35</f>
        <v>All occupations</v>
      </c>
      <c r="CL109" s="26">
        <f>IF(AND(CM$6-CL$6 &lt;&gt; 0,CL35&lt;&gt;0,CM35&lt;&gt;0),(EXP(LN(CM35/CL35)/(CM$6-CL$6))-1)*100,0)</f>
        <v>-5.7367926221307153</v>
      </c>
      <c r="CM109" s="26">
        <f>IF(AND(CN$6-CM$6 &lt;&gt; 0,CM35&lt;&gt;0,CN35&lt;&gt;0),(EXP(LN(CN35/CM35)/(CN$6-CM$6))-1)*100,0)</f>
        <v>-1.7889761718755004</v>
      </c>
      <c r="CN109" s="26">
        <f>IF(AND(CO$6-CN$6 &lt;&gt; 0,CN35&lt;&gt;0,CO35&lt;&gt;0),(EXP(LN(CO35/CN35)/(CO$6-CN$6))-1)*100,0)</f>
        <v>-8.9326219802886122</v>
      </c>
      <c r="CO109" s="26">
        <f>IF(AND(CP$6-CO$6 &lt;&gt; 0,CO35&lt;&gt;0,CP35&lt;&gt;0),(EXP(LN(CP35/CO35)/(CP$6-CO$6))-1)*100,0)</f>
        <v>-4.8220794979694563</v>
      </c>
      <c r="CP109" s="26">
        <f>IF(AND(CP$6-CM$6 &lt;&gt; 0,CM35&lt;&gt;0,CP35&lt;&gt;0),(EXP(LN(CP35/CM35)/(CP$6-CM$6))-1)*100,0)</f>
        <v>-5.941936620062549</v>
      </c>
      <c r="CR109" s="26">
        <f t="shared" ref="CR109" si="295">IF($F$6-$D$6 &lt;&gt; 0,(EXP(LN(1+(CR72/100))/($F$6-$D$6))-1)*100,0)</f>
        <v>-6.2124727852738264</v>
      </c>
      <c r="CS109" s="26">
        <f t="shared" ref="CS109" si="296">IF(CN35&gt;0,((1+(CS35/CN35))^(1/($F$6-$D$6))-1)*100,0)</f>
        <v>1.198622039418451</v>
      </c>
      <c r="CT109" s="26">
        <f t="shared" ref="CT109" si="297">IF($F$6-$D$6 &lt;&gt; 0,(EXP(LN(1+(CT72/100))/($F$6-$D$6))-1)*100,0)</f>
        <v>-3.5909015526503274</v>
      </c>
    </row>
    <row r="112" spans="1:98" ht="47.25" customHeight="1" x14ac:dyDescent="0.25">
      <c r="A112" s="381" t="str">
        <f>CONCATENATE(A$1," (Continued)")</f>
        <v>Basic Table 2  Employment Change by Occupation and Replacement Demand, RQF8 Doctorate, 2015-2035, Black Country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Black Country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Black Country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Black Country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Black Country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Black Country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Black Country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Black Country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Black Country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5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5">
      <c r="A119" t="str">
        <f t="shared" ref="A119:A144" si="298">A8</f>
        <v>11 Corporate managers and directors</v>
      </c>
      <c r="B119" s="27">
        <f t="shared" ref="B119:E144" si="299">C8-B8</f>
        <v>0.10557979951347662</v>
      </c>
      <c r="C119" s="27">
        <f t="shared" si="299"/>
        <v>-3.2991459515712362E-2</v>
      </c>
      <c r="D119" s="27">
        <f t="shared" si="299"/>
        <v>7.8944995406673379E-2</v>
      </c>
      <c r="E119" s="27">
        <f t="shared" si="299"/>
        <v>0.26151738554596266</v>
      </c>
      <c r="F119" s="27">
        <f t="shared" ref="F119:F144" si="300">F8-D8</f>
        <v>0.34046238095263603</v>
      </c>
      <c r="L119" t="str">
        <f>A119</f>
        <v>11 Corporate managers and directors</v>
      </c>
      <c r="M119" s="27">
        <f t="shared" ref="M119:P144" si="301">N8-M8</f>
        <v>1.2802283487219999</v>
      </c>
      <c r="N119" s="27">
        <f t="shared" si="301"/>
        <v>-0.14639679053949539</v>
      </c>
      <c r="O119" s="27">
        <f t="shared" si="301"/>
        <v>0.63094865773011399</v>
      </c>
      <c r="P119" s="27">
        <f t="shared" si="301"/>
        <v>2.2825607040514493</v>
      </c>
      <c r="Q119" s="27">
        <f t="shared" ref="Q119:Q144" si="302">Q8-O8</f>
        <v>2.9135093617815633</v>
      </c>
      <c r="W119" t="str">
        <f>A119</f>
        <v>11 Corporate managers and directors</v>
      </c>
      <c r="X119" s="27">
        <f t="shared" ref="X119:AA144" si="303">Y8-X8</f>
        <v>0.43905030354186714</v>
      </c>
      <c r="Y119" s="27">
        <f t="shared" si="303"/>
        <v>0.61726454474395531</v>
      </c>
      <c r="Z119" s="27">
        <f t="shared" si="303"/>
        <v>-0.26045283134726205</v>
      </c>
      <c r="AA119" s="27">
        <f t="shared" si="303"/>
        <v>1.3563252306182783</v>
      </c>
      <c r="AB119" s="27">
        <f t="shared" ref="AB119:AB144" si="304">AB8-Z8</f>
        <v>1.0958723992710162</v>
      </c>
      <c r="AH119" t="str">
        <f>L119</f>
        <v>11 Corporate managers and directors</v>
      </c>
      <c r="AI119" s="27">
        <f t="shared" ref="AI119:AL144" si="305">AJ8-AI8</f>
        <v>0.10970204997746835</v>
      </c>
      <c r="AJ119" s="27">
        <f t="shared" si="305"/>
        <v>0.17951256840709529</v>
      </c>
      <c r="AK119" s="27">
        <f t="shared" si="305"/>
        <v>-0.15454162637399915</v>
      </c>
      <c r="AL119" s="27">
        <f t="shared" si="305"/>
        <v>0.1608734135532992</v>
      </c>
      <c r="AM119" s="27">
        <f t="shared" ref="AM119:AM144" si="306">AM8-AK8</f>
        <v>6.3317871793000524E-3</v>
      </c>
      <c r="AS119" t="str">
        <f>W119</f>
        <v>11 Corporate managers and directors</v>
      </c>
      <c r="AT119" s="27">
        <f t="shared" ref="AT119:AW144" si="307">AU8-AT8</f>
        <v>-7.2943218013712396E-3</v>
      </c>
      <c r="AU119" s="27">
        <f t="shared" si="307"/>
        <v>0.15364196869873137</v>
      </c>
      <c r="AV119" s="27">
        <f t="shared" si="307"/>
        <v>-0.2769951588444437</v>
      </c>
      <c r="AW119" s="27">
        <f t="shared" si="307"/>
        <v>0.16987790023545379</v>
      </c>
      <c r="AX119" s="27">
        <f t="shared" ref="AX119:AX144" si="308">AX8-AV8</f>
        <v>-0.10711725860898991</v>
      </c>
      <c r="BD119" t="str">
        <f>AH119</f>
        <v>11 Corporate managers and directors</v>
      </c>
      <c r="BE119" s="27">
        <f t="shared" ref="BE119:BH144" si="309">BF8-BE8</f>
        <v>1.1417011903533734</v>
      </c>
      <c r="BF119" s="27">
        <f t="shared" si="309"/>
        <v>0.14836685633297098</v>
      </c>
      <c r="BG119" s="27">
        <f t="shared" si="309"/>
        <v>-0.57487778095071462</v>
      </c>
      <c r="BH119" s="27">
        <f t="shared" si="309"/>
        <v>0.49654344804602779</v>
      </c>
      <c r="BI119" s="27">
        <f t="shared" ref="BI119:BI144" si="310">BI8-BG8</f>
        <v>-7.8334332904686832E-2</v>
      </c>
      <c r="BO119" t="str">
        <f>AS119</f>
        <v>11 Corporate managers and directors</v>
      </c>
      <c r="BP119" s="27">
        <f t="shared" ref="BP119:BS144" si="311">BQ8-BP8</f>
        <v>0.58639228795889586</v>
      </c>
      <c r="BQ119" s="27">
        <f t="shared" si="311"/>
        <v>-0.37259262712867702</v>
      </c>
      <c r="BR119" s="27">
        <f t="shared" si="311"/>
        <v>-0.48897176476962656</v>
      </c>
      <c r="BS119" s="27">
        <f t="shared" si="311"/>
        <v>-0.58087219118993705</v>
      </c>
      <c r="BT119" s="27">
        <f t="shared" ref="BT119:BT144" si="312">BT8-BR8</f>
        <v>-1.0698439559595636</v>
      </c>
      <c r="BZ119" t="str">
        <f>BD119</f>
        <v>11 Corporate managers and directors</v>
      </c>
      <c r="CA119" s="68">
        <f t="shared" ref="CA119:CD144" si="313">CB8-CA8</f>
        <v>0.11340560302642011</v>
      </c>
      <c r="CB119" s="68">
        <f t="shared" si="313"/>
        <v>0.1362554758897554</v>
      </c>
      <c r="CC119" s="68">
        <f t="shared" si="313"/>
        <v>-0.72237611112745315</v>
      </c>
      <c r="CD119" s="68">
        <f t="shared" si="313"/>
        <v>-0.82824988302865687</v>
      </c>
      <c r="CE119" s="68">
        <f t="shared" ref="CE119:CE144" si="314">CE8-CC8</f>
        <v>-1.55062599415611</v>
      </c>
      <c r="CK119" t="str">
        <f>BO119</f>
        <v>11 Corporate managers and directors</v>
      </c>
      <c r="CL119" s="68">
        <f t="shared" ref="CL119:CO144" si="315">CM8-CL8</f>
        <v>2.1230087474217285E-2</v>
      </c>
      <c r="CM119" s="68">
        <f t="shared" si="315"/>
        <v>0.10444152802227391</v>
      </c>
      <c r="CN119" s="68">
        <f t="shared" si="315"/>
        <v>-0.46380316329332716</v>
      </c>
      <c r="CO119" s="68">
        <f t="shared" si="315"/>
        <v>-0.13658324250855736</v>
      </c>
      <c r="CP119" s="68">
        <f t="shared" ref="CP119:CP144" si="316">CP8-CN8</f>
        <v>-0.60038640580188452</v>
      </c>
    </row>
    <row r="120" spans="1:94" x14ac:dyDescent="0.25">
      <c r="A120" t="str">
        <f t="shared" si="298"/>
        <v>12 Other managers and proprietors</v>
      </c>
      <c r="B120" s="27">
        <f t="shared" si="299"/>
        <v>3.5531810712690834E-2</v>
      </c>
      <c r="C120" s="27">
        <f t="shared" si="299"/>
        <v>-1.5937702052416791E-2</v>
      </c>
      <c r="D120" s="27">
        <f t="shared" si="299"/>
        <v>7.9211299646064243E-2</v>
      </c>
      <c r="E120" s="27">
        <f t="shared" si="299"/>
        <v>0.15140570525813796</v>
      </c>
      <c r="F120" s="27">
        <f t="shared" si="300"/>
        <v>0.2306170049042022</v>
      </c>
      <c r="L120" t="str">
        <f t="shared" ref="L120:L143" si="317">A120</f>
        <v>12 Other managers and proprietors</v>
      </c>
      <c r="M120" s="27">
        <f t="shared" si="301"/>
        <v>0.33191406098452336</v>
      </c>
      <c r="N120" s="27">
        <f t="shared" si="301"/>
        <v>2.1311059972691337E-2</v>
      </c>
      <c r="O120" s="27">
        <f t="shared" si="301"/>
        <v>0.75094871824357345</v>
      </c>
      <c r="P120" s="27">
        <f t="shared" si="301"/>
        <v>1.4928258152294309</v>
      </c>
      <c r="Q120" s="27">
        <f t="shared" si="302"/>
        <v>2.2437745334730046</v>
      </c>
      <c r="W120" t="str">
        <f t="shared" ref="W120:W143" si="318">A120</f>
        <v>12 Other managers and proprietors</v>
      </c>
      <c r="X120" s="27">
        <f t="shared" si="303"/>
        <v>-8.1389458842815454E-2</v>
      </c>
      <c r="Y120" s="27">
        <f t="shared" si="303"/>
        <v>0.35884092184433403</v>
      </c>
      <c r="Z120" s="27">
        <f t="shared" si="303"/>
        <v>0.83524033010097787</v>
      </c>
      <c r="AA120" s="27">
        <f t="shared" si="303"/>
        <v>0.95543327305920478</v>
      </c>
      <c r="AB120" s="27">
        <f t="shared" si="304"/>
        <v>1.7906736031601826</v>
      </c>
      <c r="AH120" t="str">
        <f t="shared" ref="AH120:AH143" si="319">L120</f>
        <v>12 Other managers and proprietors</v>
      </c>
      <c r="AI120" s="27">
        <f t="shared" si="305"/>
        <v>-2.1382896735918311E-2</v>
      </c>
      <c r="AJ120" s="27">
        <f t="shared" si="305"/>
        <v>0.12929613843804699</v>
      </c>
      <c r="AK120" s="27">
        <f t="shared" si="305"/>
        <v>0.17552501437190393</v>
      </c>
      <c r="AL120" s="27">
        <f t="shared" si="305"/>
        <v>0.23962947038157556</v>
      </c>
      <c r="AM120" s="27">
        <f t="shared" si="306"/>
        <v>0.41515448475347949</v>
      </c>
      <c r="AS120" t="str">
        <f t="shared" ref="AS120:AS143" si="320">W120</f>
        <v>12 Other managers and proprietors</v>
      </c>
      <c r="AT120" s="27">
        <f t="shared" si="307"/>
        <v>-4.745199673613254E-2</v>
      </c>
      <c r="AU120" s="27">
        <f t="shared" si="307"/>
        <v>0.1104454013473658</v>
      </c>
      <c r="AV120" s="27">
        <f t="shared" si="307"/>
        <v>0.23398830050773101</v>
      </c>
      <c r="AW120" s="27">
        <f t="shared" si="307"/>
        <v>0.22920081668122561</v>
      </c>
      <c r="AX120" s="27">
        <f t="shared" si="308"/>
        <v>0.46318911718895661</v>
      </c>
      <c r="BD120" t="str">
        <f t="shared" ref="BD120:BD143" si="321">AH120</f>
        <v>12 Other managers and proprietors</v>
      </c>
      <c r="BE120" s="27">
        <f t="shared" si="309"/>
        <v>7.4187258460012728E-2</v>
      </c>
      <c r="BF120" s="27">
        <f t="shared" si="309"/>
        <v>-3.6478294523839327E-2</v>
      </c>
      <c r="BG120" s="27">
        <f t="shared" si="309"/>
        <v>0.46737258664171133</v>
      </c>
      <c r="BH120" s="27">
        <f t="shared" si="309"/>
        <v>0.24141548637009835</v>
      </c>
      <c r="BI120" s="27">
        <f t="shared" si="310"/>
        <v>0.70878807301180968</v>
      </c>
      <c r="BO120" t="str">
        <f t="shared" ref="BO120:BO143" si="322">AS120</f>
        <v>12 Other managers and proprietors</v>
      </c>
      <c r="BP120" s="27">
        <f t="shared" si="311"/>
        <v>6.7352811738254914E-2</v>
      </c>
      <c r="BQ120" s="27">
        <f t="shared" si="311"/>
        <v>-5.8107047502253817E-2</v>
      </c>
      <c r="BR120" s="27">
        <f t="shared" si="311"/>
        <v>0.65766538141596609</v>
      </c>
      <c r="BS120" s="27">
        <f t="shared" si="311"/>
        <v>-0.10277398280986816</v>
      </c>
      <c r="BT120" s="27">
        <f t="shared" si="312"/>
        <v>0.55489139860609793</v>
      </c>
      <c r="BZ120" t="str">
        <f t="shared" ref="BZ120:BZ143" si="323">BD120</f>
        <v>12 Other managers and proprietors</v>
      </c>
      <c r="CA120" s="68">
        <f t="shared" si="313"/>
        <v>-0.10271499495017333</v>
      </c>
      <c r="CB120" s="68">
        <f t="shared" si="313"/>
        <v>4.3467597703910066E-3</v>
      </c>
      <c r="CC120" s="68">
        <f t="shared" si="313"/>
        <v>5.3329641412238393E-2</v>
      </c>
      <c r="CD120" s="68">
        <f t="shared" si="313"/>
        <v>-0.45768005678118873</v>
      </c>
      <c r="CE120" s="68">
        <f t="shared" si="314"/>
        <v>-0.40435041536895033</v>
      </c>
      <c r="CK120" t="str">
        <f t="shared" ref="CK120:CK143" si="324">BO120</f>
        <v>12 Other managers and proprietors</v>
      </c>
      <c r="CL120" s="68">
        <f t="shared" si="315"/>
        <v>-9.3614549819892812E-2</v>
      </c>
      <c r="CM120" s="68">
        <f t="shared" si="315"/>
        <v>1.5865959901877336E-2</v>
      </c>
      <c r="CN120" s="68">
        <f t="shared" si="315"/>
        <v>-5.8542393039803242E-2</v>
      </c>
      <c r="CO120" s="68">
        <f t="shared" si="315"/>
        <v>-0.21640636072084846</v>
      </c>
      <c r="CP120" s="68">
        <f t="shared" si="316"/>
        <v>-0.2749487537606517</v>
      </c>
    </row>
    <row r="121" spans="1:94" x14ac:dyDescent="0.25">
      <c r="A121" t="str">
        <f t="shared" si="298"/>
        <v>21 Science, research, engineering and technology professionals</v>
      </c>
      <c r="B121" s="27">
        <f t="shared" si="299"/>
        <v>0.32289951459359667</v>
      </c>
      <c r="C121" s="27">
        <f t="shared" si="299"/>
        <v>-0.13402249768645635</v>
      </c>
      <c r="D121" s="27">
        <f t="shared" si="299"/>
        <v>0.34252391622029754</v>
      </c>
      <c r="E121" s="27">
        <f t="shared" si="299"/>
        <v>0.65713062092174468</v>
      </c>
      <c r="F121" s="27">
        <f t="shared" si="300"/>
        <v>0.99965453714204222</v>
      </c>
      <c r="L121" t="str">
        <f t="shared" si="317"/>
        <v>21 Science, research, engineering and technology professionals</v>
      </c>
      <c r="M121" s="27">
        <f t="shared" si="301"/>
        <v>1.2191212476442108</v>
      </c>
      <c r="N121" s="27">
        <f t="shared" si="301"/>
        <v>-0.25594966290555643</v>
      </c>
      <c r="O121" s="27">
        <f t="shared" si="301"/>
        <v>1.3015319638922618</v>
      </c>
      <c r="P121" s="27">
        <f t="shared" si="301"/>
        <v>2.4631479124408164</v>
      </c>
      <c r="Q121" s="27">
        <f t="shared" si="302"/>
        <v>3.7646798763330782</v>
      </c>
      <c r="W121" t="str">
        <f t="shared" si="318"/>
        <v>21 Science, research, engineering and technology professionals</v>
      </c>
      <c r="X121" s="27">
        <f t="shared" si="303"/>
        <v>-0.39603624408780203</v>
      </c>
      <c r="Y121" s="27">
        <f t="shared" si="303"/>
        <v>0.7210767090424044</v>
      </c>
      <c r="Z121" s="27">
        <f t="shared" si="303"/>
        <v>8.8710073899530784E-2</v>
      </c>
      <c r="AA121" s="27">
        <f t="shared" si="303"/>
        <v>0.33791365969221943</v>
      </c>
      <c r="AB121" s="27">
        <f t="shared" si="304"/>
        <v>0.42662373359175021</v>
      </c>
      <c r="AH121" t="str">
        <f t="shared" si="319"/>
        <v>21 Science, research, engineering and technology professionals</v>
      </c>
      <c r="AI121" s="27">
        <f t="shared" si="305"/>
        <v>-7.9275923023755523E-2</v>
      </c>
      <c r="AJ121" s="27">
        <f t="shared" si="305"/>
        <v>0.11328866852067132</v>
      </c>
      <c r="AK121" s="27">
        <f t="shared" si="305"/>
        <v>-1.6225351984960223E-2</v>
      </c>
      <c r="AL121" s="27">
        <f t="shared" si="305"/>
        <v>5.0717955560975914E-2</v>
      </c>
      <c r="AM121" s="27">
        <f t="shared" si="306"/>
        <v>3.449260357601569E-2</v>
      </c>
      <c r="AS121" t="str">
        <f t="shared" si="320"/>
        <v>21 Science, research, engineering and technology professionals</v>
      </c>
      <c r="AT121" s="27">
        <f t="shared" si="307"/>
        <v>-0.15959858536965621</v>
      </c>
      <c r="AU121" s="27">
        <f t="shared" si="307"/>
        <v>0.21175033589232717</v>
      </c>
      <c r="AV121" s="27">
        <f t="shared" si="307"/>
        <v>-0.19358311714449261</v>
      </c>
      <c r="AW121" s="27">
        <f t="shared" si="307"/>
        <v>-8.1458948496555106E-2</v>
      </c>
      <c r="AX121" s="27">
        <f t="shared" si="308"/>
        <v>-0.27504206564104772</v>
      </c>
      <c r="BD121" t="str">
        <f t="shared" si="321"/>
        <v>21 Science, research, engineering and technology professionals</v>
      </c>
      <c r="BE121" s="27">
        <f t="shared" si="309"/>
        <v>0.54894878717085005</v>
      </c>
      <c r="BF121" s="27">
        <f t="shared" si="309"/>
        <v>0.2639898410945376</v>
      </c>
      <c r="BG121" s="27">
        <f t="shared" si="309"/>
        <v>-0.13445431083659809</v>
      </c>
      <c r="BH121" s="27">
        <f t="shared" si="309"/>
        <v>6.5574005477413877E-2</v>
      </c>
      <c r="BI121" s="27">
        <f t="shared" si="310"/>
        <v>-6.8880305359184213E-2</v>
      </c>
      <c r="BO121" t="str">
        <f t="shared" si="322"/>
        <v>21 Science, research, engineering and technology professionals</v>
      </c>
      <c r="BP121" s="27">
        <f t="shared" si="311"/>
        <v>0.30654771669606529</v>
      </c>
      <c r="BQ121" s="27">
        <f t="shared" si="311"/>
        <v>1.8965007573423787E-2</v>
      </c>
      <c r="BR121" s="27">
        <f t="shared" si="311"/>
        <v>-3.1620657530170515E-2</v>
      </c>
      <c r="BS121" s="27">
        <f t="shared" si="311"/>
        <v>-0.36424089050615249</v>
      </c>
      <c r="BT121" s="27">
        <f t="shared" si="312"/>
        <v>-0.39586154803632301</v>
      </c>
      <c r="BZ121" t="str">
        <f t="shared" si="323"/>
        <v>21 Science, research, engineering and technology professionals</v>
      </c>
      <c r="CA121" s="68">
        <f t="shared" si="313"/>
        <v>3.0793042960671091E-2</v>
      </c>
      <c r="CB121" s="68">
        <f t="shared" si="313"/>
        <v>0.14166417970402656</v>
      </c>
      <c r="CC121" s="68">
        <f t="shared" si="313"/>
        <v>-0.23566673908468805</v>
      </c>
      <c r="CD121" s="68">
        <f t="shared" si="313"/>
        <v>-0.43711840799053414</v>
      </c>
      <c r="CE121" s="68">
        <f t="shared" si="314"/>
        <v>-0.67278514707522219</v>
      </c>
      <c r="CK121" t="str">
        <f t="shared" si="324"/>
        <v>21 Science, research, engineering and technology professionals</v>
      </c>
      <c r="CL121" s="68">
        <f t="shared" si="315"/>
        <v>3.6475598587038804E-2</v>
      </c>
      <c r="CM121" s="68">
        <f t="shared" si="315"/>
        <v>8.2456664592775231E-2</v>
      </c>
      <c r="CN121" s="68">
        <f t="shared" si="315"/>
        <v>-0.13295465097025616</v>
      </c>
      <c r="CO121" s="68">
        <f t="shared" si="315"/>
        <v>-9.0424857082802346E-2</v>
      </c>
      <c r="CP121" s="68">
        <f t="shared" si="316"/>
        <v>-0.22337950805305851</v>
      </c>
    </row>
    <row r="122" spans="1:94" x14ac:dyDescent="0.25">
      <c r="A122" t="str">
        <f t="shared" si="298"/>
        <v>22 Health professionals</v>
      </c>
      <c r="B122" s="27">
        <f t="shared" si="299"/>
        <v>0.74742531073174656</v>
      </c>
      <c r="C122" s="27">
        <f t="shared" si="299"/>
        <v>-4.8929065418391371E-2</v>
      </c>
      <c r="D122" s="27">
        <f t="shared" si="299"/>
        <v>0.61287802284501836</v>
      </c>
      <c r="E122" s="27">
        <f t="shared" si="299"/>
        <v>1.1861387997539246</v>
      </c>
      <c r="F122" s="27">
        <f t="shared" si="300"/>
        <v>1.7990168225989429</v>
      </c>
      <c r="L122" t="str">
        <f t="shared" si="317"/>
        <v>22 Health professionals</v>
      </c>
      <c r="M122" s="27">
        <f t="shared" si="301"/>
        <v>2.2137710826727095</v>
      </c>
      <c r="N122" s="27">
        <f t="shared" si="301"/>
        <v>-6.4986625401586728E-2</v>
      </c>
      <c r="O122" s="27">
        <f t="shared" si="301"/>
        <v>1.6328792372276935</v>
      </c>
      <c r="P122" s="27">
        <f t="shared" si="301"/>
        <v>3.2512005622226274</v>
      </c>
      <c r="Q122" s="27">
        <f t="shared" si="302"/>
        <v>4.8840797994503209</v>
      </c>
      <c r="W122" t="str">
        <f t="shared" si="318"/>
        <v>22 Health professionals</v>
      </c>
      <c r="X122" s="27">
        <f t="shared" si="303"/>
        <v>1.5625089699106649</v>
      </c>
      <c r="Y122" s="27">
        <f t="shared" si="303"/>
        <v>0.5505116655579041</v>
      </c>
      <c r="Z122" s="27">
        <f t="shared" si="303"/>
        <v>1.0761207155204353</v>
      </c>
      <c r="AA122" s="27">
        <f t="shared" si="303"/>
        <v>0.68369468439058068</v>
      </c>
      <c r="AB122" s="27">
        <f t="shared" si="304"/>
        <v>1.759815399911016</v>
      </c>
      <c r="AH122" t="str">
        <f t="shared" si="319"/>
        <v>22 Health professionals</v>
      </c>
      <c r="AI122" s="27">
        <f t="shared" si="305"/>
        <v>-0.62089566766683646</v>
      </c>
      <c r="AJ122" s="27">
        <f t="shared" si="305"/>
        <v>-8.0832654467028142E-2</v>
      </c>
      <c r="AK122" s="27">
        <f t="shared" si="305"/>
        <v>-1.3210883106891829</v>
      </c>
      <c r="AL122" s="27">
        <f t="shared" si="305"/>
        <v>-1.310226257018722</v>
      </c>
      <c r="AM122" s="27">
        <f t="shared" si="306"/>
        <v>-2.6313145677079048</v>
      </c>
      <c r="AS122" t="str">
        <f t="shared" si="320"/>
        <v>22 Health professionals</v>
      </c>
      <c r="AT122" s="27">
        <f t="shared" si="307"/>
        <v>5.8121554567917455E-2</v>
      </c>
      <c r="AU122" s="27">
        <f t="shared" si="307"/>
        <v>7.5162085605631979E-2</v>
      </c>
      <c r="AV122" s="27">
        <f t="shared" si="307"/>
        <v>3.1147157298474615E-2</v>
      </c>
      <c r="AW122" s="27">
        <f t="shared" si="307"/>
        <v>4.8547918708865656E-2</v>
      </c>
      <c r="AX122" s="27">
        <f t="shared" si="308"/>
        <v>7.9695076007340271E-2</v>
      </c>
      <c r="BD122" t="str">
        <f t="shared" si="321"/>
        <v>22 Health professionals</v>
      </c>
      <c r="BE122" s="27">
        <f t="shared" si="309"/>
        <v>0.89074415952076214</v>
      </c>
      <c r="BF122" s="27">
        <f t="shared" si="309"/>
        <v>-0.27067961393482731</v>
      </c>
      <c r="BG122" s="27">
        <f t="shared" si="309"/>
        <v>0.3299371087916585</v>
      </c>
      <c r="BH122" s="27">
        <f t="shared" si="309"/>
        <v>-0.16588589677863297</v>
      </c>
      <c r="BI122" s="27">
        <f t="shared" si="310"/>
        <v>0.16405121201302553</v>
      </c>
      <c r="BO122" t="str">
        <f t="shared" si="322"/>
        <v>22 Health professionals</v>
      </c>
      <c r="BP122" s="27">
        <f t="shared" si="311"/>
        <v>0.52281127169847119</v>
      </c>
      <c r="BQ122" s="27">
        <f t="shared" si="311"/>
        <v>-0.41390287014915605</v>
      </c>
      <c r="BR122" s="27">
        <f t="shared" si="311"/>
        <v>0.19199788543703278</v>
      </c>
      <c r="BS122" s="27">
        <f t="shared" si="311"/>
        <v>-0.42469168689899672</v>
      </c>
      <c r="BT122" s="27">
        <f t="shared" si="312"/>
        <v>-0.23269380146196394</v>
      </c>
      <c r="BZ122" t="str">
        <f t="shared" si="323"/>
        <v>22 Health professionals</v>
      </c>
      <c r="CA122" s="68">
        <f t="shared" si="313"/>
        <v>0.23412535417423697</v>
      </c>
      <c r="CB122" s="68">
        <f t="shared" si="313"/>
        <v>-0.29769891406412674</v>
      </c>
      <c r="CC122" s="68">
        <f t="shared" si="313"/>
        <v>-0.10567018815957996</v>
      </c>
      <c r="CD122" s="68">
        <f t="shared" si="313"/>
        <v>-0.42590060663831592</v>
      </c>
      <c r="CE122" s="68">
        <f t="shared" si="314"/>
        <v>-0.53157079479789582</v>
      </c>
      <c r="CK122" t="str">
        <f t="shared" si="324"/>
        <v>22 Health professionals</v>
      </c>
      <c r="CL122" s="68">
        <f t="shared" si="315"/>
        <v>3.241872169360846E-2</v>
      </c>
      <c r="CM122" s="68">
        <f t="shared" si="315"/>
        <v>6.4584188097149775E-2</v>
      </c>
      <c r="CN122" s="68">
        <f t="shared" si="315"/>
        <v>-2.2473918774000179E-2</v>
      </c>
      <c r="CO122" s="68">
        <f t="shared" si="315"/>
        <v>5.4398970344823994E-2</v>
      </c>
      <c r="CP122" s="68">
        <f t="shared" si="316"/>
        <v>3.1925051570823815E-2</v>
      </c>
    </row>
    <row r="123" spans="1:94" x14ac:dyDescent="0.25">
      <c r="A123" t="str">
        <f t="shared" si="298"/>
        <v>23 Teaching and other educational professionals</v>
      </c>
      <c r="B123" s="27">
        <f t="shared" si="299"/>
        <v>0.38881403827347505</v>
      </c>
      <c r="C123" s="27">
        <f t="shared" si="299"/>
        <v>6.3297135236161761E-2</v>
      </c>
      <c r="D123" s="27">
        <f t="shared" si="299"/>
        <v>0.40161732730210353</v>
      </c>
      <c r="E123" s="27">
        <f t="shared" si="299"/>
        <v>0.65122838028085361</v>
      </c>
      <c r="F123" s="27">
        <f t="shared" si="300"/>
        <v>1.0528457075829571</v>
      </c>
      <c r="L123" t="str">
        <f t="shared" si="317"/>
        <v>23 Teaching and other educational professionals</v>
      </c>
      <c r="M123" s="27">
        <f t="shared" si="301"/>
        <v>2.6164978770313496</v>
      </c>
      <c r="N123" s="27">
        <f t="shared" si="301"/>
        <v>0.47706361151831267</v>
      </c>
      <c r="O123" s="27">
        <f t="shared" si="301"/>
        <v>2.1775857926578119</v>
      </c>
      <c r="P123" s="27">
        <f t="shared" si="301"/>
        <v>3.6892413854410684</v>
      </c>
      <c r="Q123" s="27">
        <f t="shared" si="302"/>
        <v>5.8668271780988803</v>
      </c>
      <c r="W123" t="str">
        <f t="shared" si="318"/>
        <v>23 Teaching and other educational professionals</v>
      </c>
      <c r="X123" s="27">
        <f t="shared" si="303"/>
        <v>-1.2921325383295557</v>
      </c>
      <c r="Y123" s="27">
        <f t="shared" si="303"/>
        <v>0.60814933784029357</v>
      </c>
      <c r="Z123" s="27">
        <f t="shared" si="303"/>
        <v>-0.87933085390311216</v>
      </c>
      <c r="AA123" s="27">
        <f t="shared" si="303"/>
        <v>-1.2785389616957734</v>
      </c>
      <c r="AB123" s="27">
        <f t="shared" si="304"/>
        <v>-2.1578698155988856</v>
      </c>
      <c r="AH123" t="str">
        <f t="shared" si="319"/>
        <v>23 Teaching and other educational professionals</v>
      </c>
      <c r="AI123" s="27">
        <f t="shared" si="305"/>
        <v>-0.45467886905371702</v>
      </c>
      <c r="AJ123" s="27">
        <f t="shared" si="305"/>
        <v>-7.2297896566760889E-3</v>
      </c>
      <c r="AK123" s="27">
        <f t="shared" si="305"/>
        <v>-0.16052984772257878</v>
      </c>
      <c r="AL123" s="27">
        <f t="shared" si="305"/>
        <v>-2.8431844616623736E-3</v>
      </c>
      <c r="AM123" s="27">
        <f t="shared" si="306"/>
        <v>-0.16337303218424115</v>
      </c>
      <c r="AS123" t="str">
        <f t="shared" si="320"/>
        <v>23 Teaching and other educational professionals</v>
      </c>
      <c r="AT123" s="27">
        <f t="shared" si="307"/>
        <v>-4.508421268676932E-2</v>
      </c>
      <c r="AU123" s="27">
        <f t="shared" si="307"/>
        <v>2.4620404450612171E-2</v>
      </c>
      <c r="AV123" s="27">
        <f t="shared" si="307"/>
        <v>-3.7729428765435641E-2</v>
      </c>
      <c r="AW123" s="27">
        <f t="shared" si="307"/>
        <v>-2.8901905783201925E-2</v>
      </c>
      <c r="AX123" s="27">
        <f t="shared" si="308"/>
        <v>-6.6631334548637566E-2</v>
      </c>
      <c r="BD123" t="str">
        <f t="shared" si="321"/>
        <v>23 Teaching and other educational professionals</v>
      </c>
      <c r="BE123" s="27">
        <f t="shared" si="309"/>
        <v>2.0926791195399974E-2</v>
      </c>
      <c r="BF123" s="27">
        <f t="shared" si="309"/>
        <v>6.8983879393729186E-2</v>
      </c>
      <c r="BG123" s="27">
        <f t="shared" si="309"/>
        <v>1.1197139796068623E-3</v>
      </c>
      <c r="BH123" s="27">
        <f t="shared" si="309"/>
        <v>1.1156401310160713E-2</v>
      </c>
      <c r="BI123" s="27">
        <f t="shared" si="310"/>
        <v>1.2276115289767575E-2</v>
      </c>
      <c r="BO123" t="str">
        <f t="shared" si="322"/>
        <v>23 Teaching and other educational professionals</v>
      </c>
      <c r="BP123" s="27">
        <f t="shared" si="311"/>
        <v>-2.2828104317583753E-3</v>
      </c>
      <c r="BQ123" s="27">
        <f t="shared" si="311"/>
        <v>-7.865491133888125E-2</v>
      </c>
      <c r="BR123" s="27">
        <f t="shared" si="311"/>
        <v>-8.8253567228490093E-3</v>
      </c>
      <c r="BS123" s="27">
        <f t="shared" si="311"/>
        <v>-0.15582198398936054</v>
      </c>
      <c r="BT123" s="27">
        <f t="shared" si="312"/>
        <v>-0.16464734071220954</v>
      </c>
      <c r="BZ123" t="str">
        <f t="shared" si="323"/>
        <v>23 Teaching and other educational professionals</v>
      </c>
      <c r="CA123" s="68">
        <f t="shared" si="313"/>
        <v>-1.5040280265788575E-2</v>
      </c>
      <c r="CB123" s="68">
        <f t="shared" si="313"/>
        <v>2.3757799277408509E-3</v>
      </c>
      <c r="CC123" s="68">
        <f t="shared" si="313"/>
        <v>-6.4666308927523397E-2</v>
      </c>
      <c r="CD123" s="68">
        <f t="shared" si="313"/>
        <v>-0.16756830556670457</v>
      </c>
      <c r="CE123" s="68">
        <f t="shared" si="314"/>
        <v>-0.23223461449422797</v>
      </c>
      <c r="CK123" t="str">
        <f t="shared" si="324"/>
        <v>23 Teaching and other educational professionals</v>
      </c>
      <c r="CL123" s="68">
        <f t="shared" si="315"/>
        <v>8.2030937566419382E-3</v>
      </c>
      <c r="CM123" s="68">
        <f t="shared" si="315"/>
        <v>5.8735637966461557E-2</v>
      </c>
      <c r="CN123" s="68">
        <f t="shared" si="315"/>
        <v>-4.5491468497035503E-2</v>
      </c>
      <c r="CO123" s="68">
        <f t="shared" si="315"/>
        <v>-3.5896129862720089E-2</v>
      </c>
      <c r="CP123" s="68">
        <f t="shared" si="316"/>
        <v>-8.1387598359755592E-2</v>
      </c>
    </row>
    <row r="124" spans="1:94" x14ac:dyDescent="0.25">
      <c r="A124" t="str">
        <f t="shared" si="298"/>
        <v>24 Business, media and public service professionals</v>
      </c>
      <c r="B124" s="27">
        <f t="shared" si="299"/>
        <v>0.1278182634529596</v>
      </c>
      <c r="C124" s="27">
        <f t="shared" si="299"/>
        <v>6.0952073014120534E-3</v>
      </c>
      <c r="D124" s="27">
        <f t="shared" si="299"/>
        <v>0.18818509382637799</v>
      </c>
      <c r="E124" s="27">
        <f t="shared" si="299"/>
        <v>0.36473365602362207</v>
      </c>
      <c r="F124" s="27">
        <f t="shared" si="300"/>
        <v>0.55291874985000011</v>
      </c>
      <c r="L124" t="str">
        <f t="shared" si="317"/>
        <v>24 Business, media and public service professionals</v>
      </c>
      <c r="M124" s="27">
        <f t="shared" si="301"/>
        <v>1.7706885959511482</v>
      </c>
      <c r="N124" s="27">
        <f t="shared" si="301"/>
        <v>2.1095521366019554E-2</v>
      </c>
      <c r="O124" s="27">
        <f t="shared" si="301"/>
        <v>1.7222518881185476</v>
      </c>
      <c r="P124" s="27">
        <f t="shared" si="301"/>
        <v>3.0649476455069404</v>
      </c>
      <c r="Q124" s="27">
        <f t="shared" si="302"/>
        <v>4.787199533625488</v>
      </c>
      <c r="W124" t="str">
        <f t="shared" si="318"/>
        <v>24 Business, media and public service professionals</v>
      </c>
      <c r="X124" s="27">
        <f t="shared" si="303"/>
        <v>-5.012675154865498E-2</v>
      </c>
      <c r="Y124" s="27">
        <f t="shared" si="303"/>
        <v>1.4654175594536802</v>
      </c>
      <c r="Z124" s="27">
        <f t="shared" si="303"/>
        <v>0.93754674051412401</v>
      </c>
      <c r="AA124" s="27">
        <f t="shared" si="303"/>
        <v>1.1137903534845126</v>
      </c>
      <c r="AB124" s="27">
        <f t="shared" si="304"/>
        <v>2.0513370939986366</v>
      </c>
      <c r="AH124" t="str">
        <f t="shared" si="319"/>
        <v>24 Business, media and public service professionals</v>
      </c>
      <c r="AI124" s="27">
        <f t="shared" si="305"/>
        <v>-9.4564834378097373E-2</v>
      </c>
      <c r="AJ124" s="27">
        <f t="shared" si="305"/>
        <v>0.17574608859665752</v>
      </c>
      <c r="AK124" s="27">
        <f t="shared" si="305"/>
        <v>-4.3538800100225927E-2</v>
      </c>
      <c r="AL124" s="27">
        <f t="shared" si="305"/>
        <v>3.9153457692845173E-2</v>
      </c>
      <c r="AM124" s="27">
        <f t="shared" si="306"/>
        <v>-4.3853424073807545E-3</v>
      </c>
      <c r="AS124" t="str">
        <f t="shared" si="320"/>
        <v>24 Business, media and public service professionals</v>
      </c>
      <c r="AT124" s="27">
        <f t="shared" si="307"/>
        <v>-7.7642044229648821E-2</v>
      </c>
      <c r="AU124" s="27">
        <f t="shared" si="307"/>
        <v>0.24010656065103197</v>
      </c>
      <c r="AV124" s="27">
        <f t="shared" si="307"/>
        <v>0.116021099089749</v>
      </c>
      <c r="AW124" s="27">
        <f t="shared" si="307"/>
        <v>0.17213343984829255</v>
      </c>
      <c r="AX124" s="27">
        <f t="shared" si="308"/>
        <v>0.28815453893804155</v>
      </c>
      <c r="BD124" t="str">
        <f t="shared" si="321"/>
        <v>24 Business, media and public service professionals</v>
      </c>
      <c r="BE124" s="27">
        <f t="shared" si="309"/>
        <v>0.68963535457982816</v>
      </c>
      <c r="BF124" s="27">
        <f t="shared" si="309"/>
        <v>0.38367664680618452</v>
      </c>
      <c r="BG124" s="27">
        <f t="shared" si="309"/>
        <v>0.48825522865111459</v>
      </c>
      <c r="BH124" s="27">
        <f t="shared" si="309"/>
        <v>0.42136615737181859</v>
      </c>
      <c r="BI124" s="27">
        <f t="shared" si="310"/>
        <v>0.90962138602293319</v>
      </c>
      <c r="BO124" t="str">
        <f t="shared" si="322"/>
        <v>24 Business, media and public service professionals</v>
      </c>
      <c r="BP124" s="27">
        <f t="shared" si="311"/>
        <v>0.21391904508052839</v>
      </c>
      <c r="BQ124" s="27">
        <f t="shared" si="311"/>
        <v>-5.8761330447285154E-2</v>
      </c>
      <c r="BR124" s="27">
        <f t="shared" si="311"/>
        <v>9.9801819970086303E-2</v>
      </c>
      <c r="BS124" s="27">
        <f t="shared" si="311"/>
        <v>-0.3889622282387597</v>
      </c>
      <c r="BT124" s="27">
        <f t="shared" si="312"/>
        <v>-0.2891604082686734</v>
      </c>
      <c r="BZ124" t="str">
        <f t="shared" si="323"/>
        <v>24 Business, media and public service professionals</v>
      </c>
      <c r="CA124" s="68">
        <f t="shared" si="313"/>
        <v>5.8028998637586593E-2</v>
      </c>
      <c r="CB124" s="68">
        <f t="shared" si="313"/>
        <v>8.3103531498994965E-2</v>
      </c>
      <c r="CC124" s="68">
        <f t="shared" si="313"/>
        <v>-0.15278337786689766</v>
      </c>
      <c r="CD124" s="68">
        <f t="shared" si="313"/>
        <v>-0.54697274636231219</v>
      </c>
      <c r="CE124" s="68">
        <f t="shared" si="314"/>
        <v>-0.69975612422920985</v>
      </c>
      <c r="CK124" t="str">
        <f t="shared" si="324"/>
        <v>24 Business, media and public service professionals</v>
      </c>
      <c r="CL124" s="68">
        <f t="shared" si="315"/>
        <v>1.238327525513705E-2</v>
      </c>
      <c r="CM124" s="68">
        <f t="shared" si="315"/>
        <v>0.11340786247619128</v>
      </c>
      <c r="CN124" s="68">
        <f t="shared" si="315"/>
        <v>-0.16097021051900701</v>
      </c>
      <c r="CO124" s="68">
        <f t="shared" si="315"/>
        <v>-0.11312041042208398</v>
      </c>
      <c r="CP124" s="68">
        <f t="shared" si="316"/>
        <v>-0.27409062094109099</v>
      </c>
    </row>
    <row r="125" spans="1:94" x14ac:dyDescent="0.25">
      <c r="A125" t="str">
        <f t="shared" si="298"/>
        <v>31 Science, engineering and technology associate professionals</v>
      </c>
      <c r="B125" s="27">
        <f t="shared" si="299"/>
        <v>3.1010642247251724E-2</v>
      </c>
      <c r="C125" s="27">
        <f t="shared" si="299"/>
        <v>-6.1379979308563148E-3</v>
      </c>
      <c r="D125" s="27">
        <f t="shared" si="299"/>
        <v>2.7911481816924516E-2</v>
      </c>
      <c r="E125" s="27">
        <f t="shared" si="299"/>
        <v>0.10294180091755203</v>
      </c>
      <c r="F125" s="27">
        <f t="shared" si="300"/>
        <v>0.13085328273447655</v>
      </c>
      <c r="L125" t="str">
        <f t="shared" si="317"/>
        <v>31 Science, engineering and technology associate professionals</v>
      </c>
      <c r="M125" s="27">
        <f t="shared" si="301"/>
        <v>0.26037285251479814</v>
      </c>
      <c r="N125" s="27">
        <f t="shared" si="301"/>
        <v>-4.0989148033568457E-2</v>
      </c>
      <c r="O125" s="27">
        <f t="shared" si="301"/>
        <v>5.2562767324486948E-2</v>
      </c>
      <c r="P125" s="27">
        <f t="shared" si="301"/>
        <v>0.37419580399670749</v>
      </c>
      <c r="Q125" s="27">
        <f t="shared" si="302"/>
        <v>0.42675857132119444</v>
      </c>
      <c r="W125" t="str">
        <f t="shared" si="318"/>
        <v>31 Science, engineering and technology associate professionals</v>
      </c>
      <c r="X125" s="27">
        <f t="shared" si="303"/>
        <v>-4.9016400456460607E-2</v>
      </c>
      <c r="Y125" s="27">
        <f t="shared" si="303"/>
        <v>0.19266438657231144</v>
      </c>
      <c r="Z125" s="27">
        <f t="shared" si="303"/>
        <v>-0.20402182202073949</v>
      </c>
      <c r="AA125" s="27">
        <f t="shared" si="303"/>
        <v>0.14610239176724438</v>
      </c>
      <c r="AB125" s="27">
        <f t="shared" si="304"/>
        <v>-5.7919430253495108E-2</v>
      </c>
      <c r="AH125" t="str">
        <f t="shared" si="319"/>
        <v>31 Science, engineering and technology associate professionals</v>
      </c>
      <c r="AI125" s="27">
        <f t="shared" si="305"/>
        <v>1.516141176206165E-2</v>
      </c>
      <c r="AJ125" s="27">
        <f t="shared" si="305"/>
        <v>6.0227100976073811E-2</v>
      </c>
      <c r="AK125" s="27">
        <f t="shared" si="305"/>
        <v>-1.3799035751117184E-2</v>
      </c>
      <c r="AL125" s="27">
        <f t="shared" si="305"/>
        <v>0.1070131209227001</v>
      </c>
      <c r="AM125" s="27">
        <f t="shared" si="306"/>
        <v>9.3214085171582917E-2</v>
      </c>
      <c r="AS125" t="str">
        <f t="shared" si="320"/>
        <v>31 Science, engineering and technology associate professionals</v>
      </c>
      <c r="AT125" s="27">
        <f t="shared" si="307"/>
        <v>-5.5905939342377753E-2</v>
      </c>
      <c r="AU125" s="27">
        <f t="shared" si="307"/>
        <v>7.4351857465516202E-2</v>
      </c>
      <c r="AV125" s="27">
        <f t="shared" si="307"/>
        <v>-0.18585950909736859</v>
      </c>
      <c r="AW125" s="27">
        <f t="shared" si="307"/>
        <v>-2.1520187814894065E-2</v>
      </c>
      <c r="AX125" s="27">
        <f t="shared" si="308"/>
        <v>-0.20737969691226266</v>
      </c>
      <c r="BD125" t="str">
        <f t="shared" si="321"/>
        <v>31 Science, engineering and technology associate professionals</v>
      </c>
      <c r="BE125" s="27">
        <f t="shared" si="309"/>
        <v>1.3826828234727362E-2</v>
      </c>
      <c r="BF125" s="27">
        <f t="shared" si="309"/>
        <v>0.13104507289428513</v>
      </c>
      <c r="BG125" s="27">
        <f t="shared" si="309"/>
        <v>-0.36336357820301424</v>
      </c>
      <c r="BH125" s="27">
        <f t="shared" si="309"/>
        <v>-0.19141984699083614</v>
      </c>
      <c r="BI125" s="27">
        <f t="shared" si="310"/>
        <v>-0.55478342519385038</v>
      </c>
      <c r="BO125" t="str">
        <f t="shared" si="322"/>
        <v>31 Science, engineering and technology associate professionals</v>
      </c>
      <c r="BP125" s="27">
        <f t="shared" si="311"/>
        <v>0.16850709284397136</v>
      </c>
      <c r="BQ125" s="27">
        <f t="shared" si="311"/>
        <v>3.7115834931728653E-2</v>
      </c>
      <c r="BR125" s="27">
        <f t="shared" si="311"/>
        <v>-0.18410718894755496</v>
      </c>
      <c r="BS125" s="27">
        <f t="shared" si="311"/>
        <v>-8.7539777449651135E-2</v>
      </c>
      <c r="BT125" s="27">
        <f t="shared" si="312"/>
        <v>-0.27164696639720609</v>
      </c>
      <c r="BZ125" t="str">
        <f t="shared" si="323"/>
        <v>31 Science, engineering and technology associate professionals</v>
      </c>
      <c r="CA125" s="68">
        <f t="shared" si="313"/>
        <v>3.5363148472717154E-2</v>
      </c>
      <c r="CB125" s="68">
        <f t="shared" si="313"/>
        <v>0.15218467115185208</v>
      </c>
      <c r="CC125" s="68">
        <f t="shared" si="313"/>
        <v>-0.29993571411307951</v>
      </c>
      <c r="CD125" s="68">
        <f t="shared" si="313"/>
        <v>-0.18342364152193713</v>
      </c>
      <c r="CE125" s="68">
        <f t="shared" si="314"/>
        <v>-0.48335935563501664</v>
      </c>
      <c r="CK125" t="str">
        <f t="shared" si="324"/>
        <v>31 Science, engineering and technology associate professionals</v>
      </c>
      <c r="CL125" s="68">
        <f t="shared" si="315"/>
        <v>1.886434026035233E-2</v>
      </c>
      <c r="CM125" s="68">
        <f t="shared" si="315"/>
        <v>8.0103564875828787E-2</v>
      </c>
      <c r="CN125" s="68">
        <f t="shared" si="315"/>
        <v>-7.1884033095367117E-2</v>
      </c>
      <c r="CO125" s="68">
        <f t="shared" si="315"/>
        <v>3.0746538971163528E-2</v>
      </c>
      <c r="CP125" s="68">
        <f t="shared" si="316"/>
        <v>-4.1137494124203589E-2</v>
      </c>
    </row>
    <row r="126" spans="1:94" x14ac:dyDescent="0.25">
      <c r="A126" t="str">
        <f t="shared" si="298"/>
        <v>32 Health and social care associate professionals</v>
      </c>
      <c r="B126" s="27">
        <f t="shared" si="299"/>
        <v>1.5158956908103555E-2</v>
      </c>
      <c r="C126" s="27">
        <f t="shared" si="299"/>
        <v>-4.6255386513183935E-3</v>
      </c>
      <c r="D126" s="27">
        <f t="shared" si="299"/>
        <v>1.6937045754450104E-2</v>
      </c>
      <c r="E126" s="27">
        <f t="shared" si="299"/>
        <v>5.3084061137881805E-2</v>
      </c>
      <c r="F126" s="27">
        <f t="shared" si="300"/>
        <v>7.0021106892331902E-2</v>
      </c>
      <c r="L126" t="str">
        <f t="shared" si="317"/>
        <v>32 Health and social care associate professionals</v>
      </c>
      <c r="M126" s="27">
        <f t="shared" si="301"/>
        <v>0.50257254591037004</v>
      </c>
      <c r="N126" s="27">
        <f t="shared" si="301"/>
        <v>3.2882595173607365E-2</v>
      </c>
      <c r="O126" s="27">
        <f t="shared" si="301"/>
        <v>0.40298297999635002</v>
      </c>
      <c r="P126" s="27">
        <f t="shared" si="301"/>
        <v>1.2772243572146207</v>
      </c>
      <c r="Q126" s="27">
        <f t="shared" si="302"/>
        <v>1.6802073372109707</v>
      </c>
      <c r="W126" t="str">
        <f t="shared" si="318"/>
        <v>32 Health and social care associate professionals</v>
      </c>
      <c r="X126" s="27">
        <f t="shared" si="303"/>
        <v>0.57040437424452284</v>
      </c>
      <c r="Y126" s="27">
        <f t="shared" si="303"/>
        <v>0.35589316967873286</v>
      </c>
      <c r="Z126" s="27">
        <f t="shared" si="303"/>
        <v>0.39460111993174163</v>
      </c>
      <c r="AA126" s="27">
        <f t="shared" si="303"/>
        <v>0.7810747717369253</v>
      </c>
      <c r="AB126" s="27">
        <f t="shared" si="304"/>
        <v>1.1756758916686669</v>
      </c>
      <c r="AH126" t="str">
        <f t="shared" si="319"/>
        <v>32 Health and social care associate professionals</v>
      </c>
      <c r="AI126" s="27">
        <f t="shared" si="305"/>
        <v>-0.12855962824275591</v>
      </c>
      <c r="AJ126" s="27">
        <f t="shared" si="305"/>
        <v>9.6473556942277439E-2</v>
      </c>
      <c r="AK126" s="27">
        <f t="shared" si="305"/>
        <v>-0.44409130950075371</v>
      </c>
      <c r="AL126" s="27">
        <f t="shared" si="305"/>
        <v>-0.54304075533541873</v>
      </c>
      <c r="AM126" s="27">
        <f t="shared" si="306"/>
        <v>-0.98713206483617244</v>
      </c>
      <c r="AS126" t="str">
        <f t="shared" si="320"/>
        <v>32 Health and social care associate professionals</v>
      </c>
      <c r="AT126" s="27">
        <f t="shared" si="307"/>
        <v>3.5879773546260263E-2</v>
      </c>
      <c r="AU126" s="27">
        <f t="shared" si="307"/>
        <v>7.14594833221045E-2</v>
      </c>
      <c r="AV126" s="27">
        <f t="shared" si="307"/>
        <v>-2.313751622148813E-2</v>
      </c>
      <c r="AW126" s="27">
        <f t="shared" si="307"/>
        <v>4.8502576079219317E-2</v>
      </c>
      <c r="AX126" s="27">
        <f t="shared" si="308"/>
        <v>2.5365059857731187E-2</v>
      </c>
      <c r="BD126" t="str">
        <f t="shared" si="321"/>
        <v>32 Health and social care associate professionals</v>
      </c>
      <c r="BE126" s="27">
        <f t="shared" si="309"/>
        <v>0.5891906074298594</v>
      </c>
      <c r="BF126" s="27">
        <f t="shared" si="309"/>
        <v>-0.10844225010308395</v>
      </c>
      <c r="BG126" s="27">
        <f t="shared" si="309"/>
        <v>9.1881786642008079E-2</v>
      </c>
      <c r="BH126" s="27">
        <f t="shared" si="309"/>
        <v>6.1763746172884382E-2</v>
      </c>
      <c r="BI126" s="27">
        <f t="shared" si="310"/>
        <v>0.15364553281489246</v>
      </c>
      <c r="BO126" t="str">
        <f t="shared" si="322"/>
        <v>32 Health and social care associate professionals</v>
      </c>
      <c r="BP126" s="27">
        <f t="shared" si="311"/>
        <v>0.32991225695327042</v>
      </c>
      <c r="BQ126" s="27">
        <f t="shared" si="311"/>
        <v>-0.29130699638462332</v>
      </c>
      <c r="BR126" s="27">
        <f t="shared" si="311"/>
        <v>1.2207619844696094E-2</v>
      </c>
      <c r="BS126" s="27">
        <f t="shared" si="311"/>
        <v>-0.29197818441367507</v>
      </c>
      <c r="BT126" s="27">
        <f t="shared" si="312"/>
        <v>-0.27977056456897897</v>
      </c>
      <c r="BZ126" t="str">
        <f t="shared" si="323"/>
        <v>32 Health and social care associate professionals</v>
      </c>
      <c r="CA126" s="68">
        <f t="shared" si="313"/>
        <v>6.5244018781052127E-3</v>
      </c>
      <c r="CB126" s="68">
        <f t="shared" si="313"/>
        <v>-9.4105101576769656E-2</v>
      </c>
      <c r="CC126" s="68">
        <f t="shared" si="313"/>
        <v>-9.2963486022217101E-2</v>
      </c>
      <c r="CD126" s="68">
        <f t="shared" si="313"/>
        <v>-0.15767700687531211</v>
      </c>
      <c r="CE126" s="68">
        <f t="shared" si="314"/>
        <v>-0.25064049289752921</v>
      </c>
      <c r="CK126" t="str">
        <f t="shared" si="324"/>
        <v>32 Health and social care associate professionals</v>
      </c>
      <c r="CL126" s="68">
        <f t="shared" si="315"/>
        <v>2.7567238169295266E-3</v>
      </c>
      <c r="CM126" s="68">
        <f t="shared" si="315"/>
        <v>1.8674866614965827E-2</v>
      </c>
      <c r="CN126" s="68">
        <f t="shared" si="315"/>
        <v>-2.9645857428610312E-2</v>
      </c>
      <c r="CO126" s="68">
        <f t="shared" si="315"/>
        <v>-3.0919944660138393E-3</v>
      </c>
      <c r="CP126" s="68">
        <f t="shared" si="316"/>
        <v>-3.2737851894624151E-2</v>
      </c>
    </row>
    <row r="127" spans="1:94" x14ac:dyDescent="0.25">
      <c r="A127" t="str">
        <f t="shared" si="298"/>
        <v>33 Protective service occupations</v>
      </c>
      <c r="B127" s="27">
        <f t="shared" si="299"/>
        <v>8.2797415362753091E-3</v>
      </c>
      <c r="C127" s="27">
        <f t="shared" si="299"/>
        <v>-2.3674995626491932E-3</v>
      </c>
      <c r="D127" s="27">
        <f t="shared" si="299"/>
        <v>1.4151391529356329E-2</v>
      </c>
      <c r="E127" s="27">
        <f t="shared" si="299"/>
        <v>3.0330004434097009E-2</v>
      </c>
      <c r="F127" s="27">
        <f t="shared" si="300"/>
        <v>4.4481395963453338E-2</v>
      </c>
      <c r="L127" t="str">
        <f t="shared" si="317"/>
        <v>33 Protective service occupations</v>
      </c>
      <c r="M127" s="27">
        <f t="shared" si="301"/>
        <v>7.7560642962658299E-2</v>
      </c>
      <c r="N127" s="27">
        <f t="shared" si="301"/>
        <v>-2.1280656794443797E-2</v>
      </c>
      <c r="O127" s="27">
        <f t="shared" si="301"/>
        <v>0.14850453739854558</v>
      </c>
      <c r="P127" s="27">
        <f t="shared" si="301"/>
        <v>0.31131247048458327</v>
      </c>
      <c r="Q127" s="27">
        <f t="shared" si="302"/>
        <v>0.45981700788312885</v>
      </c>
      <c r="W127" t="str">
        <f t="shared" si="318"/>
        <v>33 Protective service occupations</v>
      </c>
      <c r="X127" s="27">
        <f t="shared" si="303"/>
        <v>1.4875309670561165E-3</v>
      </c>
      <c r="Y127" s="27">
        <f t="shared" si="303"/>
        <v>0.17136246303241132</v>
      </c>
      <c r="Z127" s="27">
        <f t="shared" si="303"/>
        <v>0.34954805135344569</v>
      </c>
      <c r="AA127" s="27">
        <f t="shared" si="303"/>
        <v>0.68296622964928733</v>
      </c>
      <c r="AB127" s="27">
        <f t="shared" si="304"/>
        <v>1.032514281002733</v>
      </c>
      <c r="AH127" t="str">
        <f t="shared" si="319"/>
        <v>33 Protective service occupations</v>
      </c>
      <c r="AI127" s="27">
        <f t="shared" si="305"/>
        <v>-6.7567430333435041E-3</v>
      </c>
      <c r="AJ127" s="27">
        <f t="shared" si="305"/>
        <v>4.5905449721422797E-2</v>
      </c>
      <c r="AK127" s="27">
        <f t="shared" si="305"/>
        <v>9.7551752565224359E-2</v>
      </c>
      <c r="AL127" s="27">
        <f t="shared" si="305"/>
        <v>0.17755358494310169</v>
      </c>
      <c r="AM127" s="27">
        <f t="shared" si="306"/>
        <v>0.27510533750832605</v>
      </c>
      <c r="AS127" t="str">
        <f t="shared" si="320"/>
        <v>33 Protective service occupations</v>
      </c>
      <c r="AT127" s="27">
        <f t="shared" si="307"/>
        <v>-2.8933950839570205E-2</v>
      </c>
      <c r="AU127" s="27">
        <f t="shared" si="307"/>
        <v>3.1096331216173806E-2</v>
      </c>
      <c r="AV127" s="27">
        <f t="shared" si="307"/>
        <v>3.681863871982527E-2</v>
      </c>
      <c r="AW127" s="27">
        <f t="shared" si="307"/>
        <v>6.3197591850834678E-2</v>
      </c>
      <c r="AX127" s="27">
        <f t="shared" si="308"/>
        <v>0.10001623057065995</v>
      </c>
      <c r="BD127" t="str">
        <f t="shared" si="321"/>
        <v>33 Protective service occupations</v>
      </c>
      <c r="BE127" s="27">
        <f t="shared" si="309"/>
        <v>-2.0421717352166469E-2</v>
      </c>
      <c r="BF127" s="27">
        <f t="shared" si="309"/>
        <v>4.5805808583032959E-2</v>
      </c>
      <c r="BG127" s="27">
        <f t="shared" si="309"/>
        <v>0.15234643940338055</v>
      </c>
      <c r="BH127" s="27">
        <f t="shared" si="309"/>
        <v>7.2738070613883377E-2</v>
      </c>
      <c r="BI127" s="27">
        <f t="shared" si="310"/>
        <v>0.22508451001726393</v>
      </c>
      <c r="BO127" t="str">
        <f t="shared" si="322"/>
        <v>33 Protective service occupations</v>
      </c>
      <c r="BP127" s="27">
        <f t="shared" si="311"/>
        <v>3.7351080032882678E-2</v>
      </c>
      <c r="BQ127" s="27">
        <f t="shared" si="311"/>
        <v>-3.0651301640921336E-2</v>
      </c>
      <c r="BR127" s="27">
        <f t="shared" si="311"/>
        <v>0.20887552159835088</v>
      </c>
      <c r="BS127" s="27">
        <f t="shared" si="311"/>
        <v>-9.4083614470904298E-2</v>
      </c>
      <c r="BT127" s="27">
        <f t="shared" si="312"/>
        <v>0.11479190712744658</v>
      </c>
      <c r="BZ127" t="str">
        <f t="shared" si="323"/>
        <v>33 Protective service occupations</v>
      </c>
      <c r="CA127" s="68">
        <f t="shared" si="313"/>
        <v>-4.8531458214025713E-2</v>
      </c>
      <c r="CB127" s="68">
        <f t="shared" si="313"/>
        <v>1.8746893672842102E-2</v>
      </c>
      <c r="CC127" s="68">
        <f t="shared" si="313"/>
        <v>1.857299110275179E-2</v>
      </c>
      <c r="CD127" s="68">
        <f t="shared" si="313"/>
        <v>-0.21648184840183093</v>
      </c>
      <c r="CE127" s="68">
        <f t="shared" si="314"/>
        <v>-0.19790885729907914</v>
      </c>
      <c r="CK127" t="str">
        <f t="shared" si="324"/>
        <v>33 Protective service occupations</v>
      </c>
      <c r="CL127" s="68">
        <f t="shared" si="315"/>
        <v>-3.7449830895715588E-2</v>
      </c>
      <c r="CM127" s="68">
        <f t="shared" si="315"/>
        <v>1.4573147174539211E-2</v>
      </c>
      <c r="CN127" s="68">
        <f t="shared" si="315"/>
        <v>-2.9217422831727541E-2</v>
      </c>
      <c r="CO127" s="68">
        <f t="shared" si="315"/>
        <v>-1.9139299924525899E-2</v>
      </c>
      <c r="CP127" s="68">
        <f t="shared" si="316"/>
        <v>-4.835672275625344E-2</v>
      </c>
    </row>
    <row r="128" spans="1:94" x14ac:dyDescent="0.25">
      <c r="A128" t="str">
        <f t="shared" si="298"/>
        <v>34 Culture, media and sports occupations</v>
      </c>
      <c r="B128" s="27">
        <f t="shared" si="299"/>
        <v>2.2662242561650586E-2</v>
      </c>
      <c r="C128" s="27">
        <f t="shared" si="299"/>
        <v>1.7283287368725642E-3</v>
      </c>
      <c r="D128" s="27">
        <f t="shared" si="299"/>
        <v>1.5624345144397395E-2</v>
      </c>
      <c r="E128" s="27">
        <f t="shared" si="299"/>
        <v>4.1313282351592998E-2</v>
      </c>
      <c r="F128" s="27">
        <f t="shared" si="300"/>
        <v>5.6937627495990392E-2</v>
      </c>
      <c r="L128" t="str">
        <f t="shared" si="317"/>
        <v>34 Culture, media and sports occupations</v>
      </c>
      <c r="M128" s="27">
        <f t="shared" si="301"/>
        <v>0.35049533448219905</v>
      </c>
      <c r="N128" s="27">
        <f t="shared" si="301"/>
        <v>-5.1053100048386035E-3</v>
      </c>
      <c r="O128" s="27">
        <f t="shared" si="301"/>
        <v>0.13934788084194683</v>
      </c>
      <c r="P128" s="27">
        <f t="shared" si="301"/>
        <v>0.53167340107784544</v>
      </c>
      <c r="Q128" s="27">
        <f t="shared" si="302"/>
        <v>0.67102128191979227</v>
      </c>
      <c r="W128" t="str">
        <f t="shared" si="318"/>
        <v>34 Culture, media and sports occupations</v>
      </c>
      <c r="X128" s="27">
        <f t="shared" si="303"/>
        <v>-0.19393580997126003</v>
      </c>
      <c r="Y128" s="27">
        <f t="shared" si="303"/>
        <v>0.13371151823921457</v>
      </c>
      <c r="Z128" s="27">
        <f t="shared" si="303"/>
        <v>-0.14108371252181318</v>
      </c>
      <c r="AA128" s="27">
        <f t="shared" si="303"/>
        <v>0.26472230665669372</v>
      </c>
      <c r="AB128" s="27">
        <f t="shared" si="304"/>
        <v>0.12363859413488054</v>
      </c>
      <c r="AH128" t="str">
        <f t="shared" si="319"/>
        <v>34 Culture, media and sports occupations</v>
      </c>
      <c r="AI128" s="27">
        <f t="shared" si="305"/>
        <v>-7.4978782444692638E-2</v>
      </c>
      <c r="AJ128" s="27">
        <f t="shared" si="305"/>
        <v>6.9011960072881351E-2</v>
      </c>
      <c r="AK128" s="27">
        <f t="shared" si="305"/>
        <v>-3.6599121974564275E-3</v>
      </c>
      <c r="AL128" s="27">
        <f t="shared" si="305"/>
        <v>0.12068687335026707</v>
      </c>
      <c r="AM128" s="27">
        <f t="shared" si="306"/>
        <v>0.11702696115281064</v>
      </c>
      <c r="AS128" t="str">
        <f t="shared" si="320"/>
        <v>34 Culture, media and sports occupations</v>
      </c>
      <c r="AT128" s="27">
        <f t="shared" si="307"/>
        <v>-5.2715563891944983E-2</v>
      </c>
      <c r="AU128" s="27">
        <f t="shared" si="307"/>
        <v>2.0563446936073981E-2</v>
      </c>
      <c r="AV128" s="27">
        <f t="shared" si="307"/>
        <v>-5.680485126094309E-2</v>
      </c>
      <c r="AW128" s="27">
        <f t="shared" si="307"/>
        <v>1.4307596503133846E-2</v>
      </c>
      <c r="AX128" s="27">
        <f t="shared" si="308"/>
        <v>-4.2497254757809244E-2</v>
      </c>
      <c r="BD128" t="str">
        <f t="shared" si="321"/>
        <v>34 Culture, media and sports occupations</v>
      </c>
      <c r="BE128" s="27">
        <f t="shared" si="309"/>
        <v>4.3522185360806542E-2</v>
      </c>
      <c r="BF128" s="27">
        <f t="shared" si="309"/>
        <v>3.8441718975517736E-2</v>
      </c>
      <c r="BG128" s="27">
        <f t="shared" si="309"/>
        <v>-7.2430287824586603E-2</v>
      </c>
      <c r="BH128" s="27">
        <f t="shared" si="309"/>
        <v>0.1444751605798309</v>
      </c>
      <c r="BI128" s="27">
        <f t="shared" si="310"/>
        <v>7.2044872755244294E-2</v>
      </c>
      <c r="BO128" t="str">
        <f t="shared" si="322"/>
        <v>34 Culture, media and sports occupations</v>
      </c>
      <c r="BP128" s="27">
        <f t="shared" si="311"/>
        <v>-4.9257423336120376E-2</v>
      </c>
      <c r="BQ128" s="27">
        <f t="shared" si="311"/>
        <v>-7.479942253247529E-2</v>
      </c>
      <c r="BR128" s="27">
        <f t="shared" si="311"/>
        <v>-9.36403233234267E-2</v>
      </c>
      <c r="BS128" s="27">
        <f t="shared" si="311"/>
        <v>-0.13261827724926861</v>
      </c>
      <c r="BT128" s="27">
        <f t="shared" si="312"/>
        <v>-0.22625860057269531</v>
      </c>
      <c r="BZ128" t="str">
        <f t="shared" si="323"/>
        <v>34 Culture, media and sports occupations</v>
      </c>
      <c r="CA128" s="68">
        <f t="shared" si="313"/>
        <v>-8.5205912532176409E-2</v>
      </c>
      <c r="CB128" s="68">
        <f t="shared" si="313"/>
        <v>-1.095961613532398E-2</v>
      </c>
      <c r="CC128" s="68">
        <f t="shared" si="313"/>
        <v>-0.12626804563918331</v>
      </c>
      <c r="CD128" s="68">
        <f t="shared" si="313"/>
        <v>-0.14495210055149005</v>
      </c>
      <c r="CE128" s="68">
        <f t="shared" si="314"/>
        <v>-0.27122014619067336</v>
      </c>
      <c r="CK128" t="str">
        <f t="shared" si="324"/>
        <v>34 Culture, media and sports occupations</v>
      </c>
      <c r="CL128" s="68">
        <f t="shared" si="315"/>
        <v>-1.6871659541622175E-2</v>
      </c>
      <c r="CM128" s="68">
        <f t="shared" si="315"/>
        <v>2.2939163071245494E-2</v>
      </c>
      <c r="CN128" s="68">
        <f t="shared" si="315"/>
        <v>-0.10502226150636332</v>
      </c>
      <c r="CO128" s="68">
        <f t="shared" si="315"/>
        <v>-3.6409105324905489E-2</v>
      </c>
      <c r="CP128" s="68">
        <f t="shared" si="316"/>
        <v>-0.14143136683126881</v>
      </c>
    </row>
    <row r="129" spans="1:94" x14ac:dyDescent="0.25">
      <c r="A129" t="str">
        <f t="shared" si="298"/>
        <v>35 Business and public service associate professionals</v>
      </c>
      <c r="B129" s="27">
        <f t="shared" si="299"/>
        <v>7.7995370263955865E-2</v>
      </c>
      <c r="C129" s="27">
        <f t="shared" si="299"/>
        <v>-1.8295351598421994E-2</v>
      </c>
      <c r="D129" s="27">
        <f t="shared" si="299"/>
        <v>8.235637585450678E-2</v>
      </c>
      <c r="E129" s="27">
        <f t="shared" si="299"/>
        <v>0.24301615632952306</v>
      </c>
      <c r="F129" s="27">
        <f t="shared" si="300"/>
        <v>0.32537253218402984</v>
      </c>
      <c r="L129" t="str">
        <f t="shared" si="317"/>
        <v>35 Business and public service associate professionals</v>
      </c>
      <c r="M129" s="27">
        <f t="shared" si="301"/>
        <v>0.84658524883141295</v>
      </c>
      <c r="N129" s="27">
        <f t="shared" si="301"/>
        <v>-7.4492589818144328E-2</v>
      </c>
      <c r="O129" s="27">
        <f t="shared" si="301"/>
        <v>0.69269878931175688</v>
      </c>
      <c r="P129" s="27">
        <f t="shared" si="301"/>
        <v>1.8893124850179861</v>
      </c>
      <c r="Q129" s="27">
        <f t="shared" si="302"/>
        <v>2.582011274329743</v>
      </c>
      <c r="W129" t="str">
        <f t="shared" si="318"/>
        <v>35 Business and public service associate professionals</v>
      </c>
      <c r="X129" s="27">
        <f t="shared" si="303"/>
        <v>-0.57156746650774437</v>
      </c>
      <c r="Y129" s="27">
        <f t="shared" si="303"/>
        <v>0.71357557857787235</v>
      </c>
      <c r="Z129" s="27">
        <f t="shared" si="303"/>
        <v>-0.24246897830150083</v>
      </c>
      <c r="AA129" s="27">
        <f t="shared" si="303"/>
        <v>0.38089576447148765</v>
      </c>
      <c r="AB129" s="27">
        <f t="shared" si="304"/>
        <v>0.13842678616998683</v>
      </c>
      <c r="AH129" t="str">
        <f t="shared" si="319"/>
        <v>35 Business and public service associate professionals</v>
      </c>
      <c r="AI129" s="27">
        <f t="shared" si="305"/>
        <v>-5.0605687575621339E-2</v>
      </c>
      <c r="AJ129" s="27">
        <f t="shared" si="305"/>
        <v>0.29813095878210483</v>
      </c>
      <c r="AK129" s="27">
        <f t="shared" si="305"/>
        <v>-4.9770066054444673E-2</v>
      </c>
      <c r="AL129" s="27">
        <f t="shared" si="305"/>
        <v>0.20067579064577279</v>
      </c>
      <c r="AM129" s="27">
        <f t="shared" si="306"/>
        <v>0.15090572459132812</v>
      </c>
      <c r="AS129" t="str">
        <f t="shared" si="320"/>
        <v>35 Business and public service associate professionals</v>
      </c>
      <c r="AT129" s="27">
        <f t="shared" si="307"/>
        <v>-0.16737714393569147</v>
      </c>
      <c r="AU129" s="27">
        <f t="shared" si="307"/>
        <v>0.20044851366461547</v>
      </c>
      <c r="AV129" s="27">
        <f t="shared" si="307"/>
        <v>-8.8491896753620347E-2</v>
      </c>
      <c r="AW129" s="27">
        <f t="shared" si="307"/>
        <v>0.16133794095999421</v>
      </c>
      <c r="AX129" s="27">
        <f t="shared" si="308"/>
        <v>7.2846044206373861E-2</v>
      </c>
      <c r="BD129" t="str">
        <f t="shared" si="321"/>
        <v>35 Business and public service associate professionals</v>
      </c>
      <c r="BE129" s="27">
        <f t="shared" si="309"/>
        <v>0.36913317405687618</v>
      </c>
      <c r="BF129" s="27">
        <f t="shared" si="309"/>
        <v>8.7791972051195266E-2</v>
      </c>
      <c r="BG129" s="27">
        <f t="shared" si="309"/>
        <v>-0.37526940641610107</v>
      </c>
      <c r="BH129" s="27">
        <f t="shared" si="309"/>
        <v>-0.17848719049977646</v>
      </c>
      <c r="BI129" s="27">
        <f t="shared" si="310"/>
        <v>-0.55375659691587753</v>
      </c>
      <c r="BO129" t="str">
        <f t="shared" si="322"/>
        <v>35 Business and public service associate professionals</v>
      </c>
      <c r="BP129" s="27">
        <f t="shared" si="311"/>
        <v>7.8468781761467099E-2</v>
      </c>
      <c r="BQ129" s="27">
        <f t="shared" si="311"/>
        <v>-0.36440148586609578</v>
      </c>
      <c r="BR129" s="27">
        <f t="shared" si="311"/>
        <v>-0.31994125489883896</v>
      </c>
      <c r="BS129" s="27">
        <f t="shared" si="311"/>
        <v>-0.6847880261796746</v>
      </c>
      <c r="BT129" s="27">
        <f t="shared" si="312"/>
        <v>-1.0047292810785136</v>
      </c>
      <c r="BZ129" t="str">
        <f t="shared" si="323"/>
        <v>35 Business and public service associate professionals</v>
      </c>
      <c r="CA129" s="68">
        <f t="shared" si="313"/>
        <v>-0.23002145219343006</v>
      </c>
      <c r="CB129" s="68">
        <f t="shared" si="313"/>
        <v>-4.2877269481212288E-2</v>
      </c>
      <c r="CC129" s="68">
        <f t="shared" si="313"/>
        <v>-0.6129806017183228</v>
      </c>
      <c r="CD129" s="68">
        <f t="shared" si="313"/>
        <v>-0.80782491868439332</v>
      </c>
      <c r="CE129" s="68">
        <f t="shared" si="314"/>
        <v>-1.4208055204027161</v>
      </c>
      <c r="CK129" t="str">
        <f t="shared" si="324"/>
        <v>35 Business and public service associate professionals</v>
      </c>
      <c r="CL129" s="68">
        <f t="shared" si="315"/>
        <v>-5.1938051476636216E-2</v>
      </c>
      <c r="CM129" s="68">
        <f t="shared" si="315"/>
        <v>0.1281092212063506</v>
      </c>
      <c r="CN129" s="68">
        <f t="shared" si="315"/>
        <v>-0.35128947884133888</v>
      </c>
      <c r="CO129" s="68">
        <f t="shared" si="315"/>
        <v>-4.9712151483292222E-2</v>
      </c>
      <c r="CP129" s="68">
        <f t="shared" si="316"/>
        <v>-0.4010016303246311</v>
      </c>
    </row>
    <row r="130" spans="1:94" x14ac:dyDescent="0.25">
      <c r="A130" t="str">
        <f t="shared" si="298"/>
        <v>41 Administrative occupations</v>
      </c>
      <c r="B130" s="27">
        <f t="shared" si="299"/>
        <v>4.7340488587869545E-2</v>
      </c>
      <c r="C130" s="27">
        <f t="shared" si="299"/>
        <v>1.4169528740257897E-2</v>
      </c>
      <c r="D130" s="27">
        <f t="shared" si="299"/>
        <v>7.1719527020487506E-2</v>
      </c>
      <c r="E130" s="27">
        <f t="shared" si="299"/>
        <v>0.22406481774710657</v>
      </c>
      <c r="F130" s="27">
        <f t="shared" si="300"/>
        <v>0.29578434476759408</v>
      </c>
      <c r="L130" t="str">
        <f t="shared" si="317"/>
        <v>41 Administrative occupations</v>
      </c>
      <c r="M130" s="27">
        <f t="shared" si="301"/>
        <v>0.59376018753068704</v>
      </c>
      <c r="N130" s="27">
        <f t="shared" si="301"/>
        <v>0.2483405576646045</v>
      </c>
      <c r="O130" s="27">
        <f t="shared" si="301"/>
        <v>0.59914079951190669</v>
      </c>
      <c r="P130" s="27">
        <f t="shared" si="301"/>
        <v>1.5526018685317151</v>
      </c>
      <c r="Q130" s="27">
        <f t="shared" si="302"/>
        <v>2.1517426680436218</v>
      </c>
      <c r="W130" t="str">
        <f t="shared" si="318"/>
        <v>41 Administrative occupations</v>
      </c>
      <c r="X130" s="27">
        <f t="shared" si="303"/>
        <v>-0.8541903583364352</v>
      </c>
      <c r="Y130" s="27">
        <f t="shared" si="303"/>
        <v>1.5967654908970577</v>
      </c>
      <c r="Z130" s="27">
        <f t="shared" si="303"/>
        <v>0.14725992566394552</v>
      </c>
      <c r="AA130" s="27">
        <f t="shared" si="303"/>
        <v>1.4144744796892184</v>
      </c>
      <c r="AB130" s="27">
        <f t="shared" si="304"/>
        <v>1.5617344053531639</v>
      </c>
      <c r="AH130" t="str">
        <f t="shared" si="319"/>
        <v>41 Administrative occupations</v>
      </c>
      <c r="AI130" s="27">
        <f t="shared" si="305"/>
        <v>-0.15926523851266738</v>
      </c>
      <c r="AJ130" s="27">
        <f t="shared" si="305"/>
        <v>0.62918251029611927</v>
      </c>
      <c r="AK130" s="27">
        <f t="shared" si="305"/>
        <v>3.3592717108246184E-3</v>
      </c>
      <c r="AL130" s="27">
        <f t="shared" si="305"/>
        <v>0.53102336179480414</v>
      </c>
      <c r="AM130" s="27">
        <f t="shared" si="306"/>
        <v>0.53438263350562876</v>
      </c>
      <c r="AS130" t="str">
        <f t="shared" si="320"/>
        <v>41 Administrative occupations</v>
      </c>
      <c r="AT130" s="27">
        <f t="shared" si="307"/>
        <v>-0.39879852334745314</v>
      </c>
      <c r="AU130" s="27">
        <f t="shared" si="307"/>
        <v>0.60253637019101314</v>
      </c>
      <c r="AV130" s="27">
        <f t="shared" si="307"/>
        <v>-0.10329117882716199</v>
      </c>
      <c r="AW130" s="27">
        <f t="shared" si="307"/>
        <v>0.40027658261586962</v>
      </c>
      <c r="AX130" s="27">
        <f t="shared" si="308"/>
        <v>0.29698540378870764</v>
      </c>
      <c r="BD130" t="str">
        <f t="shared" si="321"/>
        <v>41 Administrative occupations</v>
      </c>
      <c r="BE130" s="27">
        <f t="shared" si="309"/>
        <v>-0.28382552036027775</v>
      </c>
      <c r="BF130" s="27">
        <f t="shared" si="309"/>
        <v>0.22606722617800656</v>
      </c>
      <c r="BG130" s="27">
        <f t="shared" si="309"/>
        <v>-0.9274329434045967</v>
      </c>
      <c r="BH130" s="27">
        <f t="shared" si="309"/>
        <v>-1.1095049692194481</v>
      </c>
      <c r="BI130" s="27">
        <f t="shared" si="310"/>
        <v>-2.0369379126240448</v>
      </c>
      <c r="BO130" t="str">
        <f t="shared" si="322"/>
        <v>41 Administrative occupations</v>
      </c>
      <c r="BP130" s="27">
        <f t="shared" si="311"/>
        <v>-0.90081778999576478</v>
      </c>
      <c r="BQ130" s="27">
        <f t="shared" si="311"/>
        <v>-0.94302906278600851</v>
      </c>
      <c r="BR130" s="27">
        <f t="shared" si="311"/>
        <v>-1.0010681576548937</v>
      </c>
      <c r="BS130" s="27">
        <f t="shared" si="311"/>
        <v>-2.7272481524839787</v>
      </c>
      <c r="BT130" s="27">
        <f t="shared" si="312"/>
        <v>-3.7283163101388723</v>
      </c>
      <c r="BZ130" t="str">
        <f t="shared" si="323"/>
        <v>41 Administrative occupations</v>
      </c>
      <c r="CA130" s="68">
        <f t="shared" si="313"/>
        <v>-1.3050996289788817</v>
      </c>
      <c r="CB130" s="68">
        <f t="shared" si="313"/>
        <v>-0.50683734460393914</v>
      </c>
      <c r="CC130" s="68">
        <f t="shared" si="313"/>
        <v>-1.5377409464891834</v>
      </c>
      <c r="CD130" s="68">
        <f t="shared" si="313"/>
        <v>-2.1537534007086503</v>
      </c>
      <c r="CE130" s="68">
        <f t="shared" si="314"/>
        <v>-3.6914943471978336</v>
      </c>
      <c r="CK130" t="str">
        <f t="shared" si="324"/>
        <v>41 Administrative occupations</v>
      </c>
      <c r="CL130" s="68">
        <f t="shared" si="315"/>
        <v>-0.71235122699880971</v>
      </c>
      <c r="CM130" s="68">
        <f t="shared" si="315"/>
        <v>0.28519245246491232</v>
      </c>
      <c r="CN130" s="68">
        <f t="shared" si="315"/>
        <v>-0.71919135054755601</v>
      </c>
      <c r="CO130" s="68">
        <f t="shared" si="315"/>
        <v>-0.37355702278725866</v>
      </c>
      <c r="CP130" s="68">
        <f t="shared" si="316"/>
        <v>-1.0927483733348147</v>
      </c>
    </row>
    <row r="131" spans="1:94" x14ac:dyDescent="0.25">
      <c r="A131" t="str">
        <f t="shared" si="298"/>
        <v>42 Secretarial and related occupations</v>
      </c>
      <c r="B131" s="27">
        <f t="shared" si="299"/>
        <v>1.5274054761722049E-3</v>
      </c>
      <c r="C131" s="27">
        <f t="shared" si="299"/>
        <v>3.0542104752439327E-3</v>
      </c>
      <c r="D131" s="27">
        <f t="shared" si="299"/>
        <v>1.0673699701047423E-2</v>
      </c>
      <c r="E131" s="27">
        <f t="shared" si="299"/>
        <v>1.7157728904945407E-2</v>
      </c>
      <c r="F131" s="27">
        <f t="shared" si="300"/>
        <v>2.7831428605992831E-2</v>
      </c>
      <c r="L131" t="str">
        <f t="shared" si="317"/>
        <v>42 Secretarial and related occupations</v>
      </c>
      <c r="M131" s="27">
        <f t="shared" si="301"/>
        <v>7.7866648501936642E-2</v>
      </c>
      <c r="N131" s="27">
        <f t="shared" si="301"/>
        <v>6.2924117496895526E-2</v>
      </c>
      <c r="O131" s="27">
        <f t="shared" si="301"/>
        <v>0.19269916689097272</v>
      </c>
      <c r="P131" s="27">
        <f t="shared" si="301"/>
        <v>-9.8699524151605322E-2</v>
      </c>
      <c r="Q131" s="27">
        <f t="shared" si="302"/>
        <v>9.3999642739367395E-2</v>
      </c>
      <c r="W131" t="str">
        <f t="shared" si="318"/>
        <v>42 Secretarial and related occupations</v>
      </c>
      <c r="X131" s="27">
        <f t="shared" si="303"/>
        <v>-0.17805478375503103</v>
      </c>
      <c r="Y131" s="27">
        <f t="shared" si="303"/>
        <v>0.23464288705492398</v>
      </c>
      <c r="Z131" s="27">
        <f t="shared" si="303"/>
        <v>0.51050341654153297</v>
      </c>
      <c r="AA131" s="27">
        <f t="shared" si="303"/>
        <v>0.53139930787918743</v>
      </c>
      <c r="AB131" s="27">
        <f t="shared" si="304"/>
        <v>1.0419027244207204</v>
      </c>
      <c r="AH131" t="str">
        <f t="shared" si="319"/>
        <v>42 Secretarial and related occupations</v>
      </c>
      <c r="AI131" s="27">
        <f t="shared" si="305"/>
        <v>-7.6977539657756888E-2</v>
      </c>
      <c r="AJ131" s="27">
        <f t="shared" si="305"/>
        <v>0.14351894938599929</v>
      </c>
      <c r="AK131" s="27">
        <f t="shared" si="305"/>
        <v>0.17274046696518119</v>
      </c>
      <c r="AL131" s="27">
        <f t="shared" si="305"/>
        <v>4.4059588583976406E-2</v>
      </c>
      <c r="AM131" s="27">
        <f t="shared" si="306"/>
        <v>0.2168000555491576</v>
      </c>
      <c r="AS131" t="str">
        <f t="shared" si="320"/>
        <v>42 Secretarial and related occupations</v>
      </c>
      <c r="AT131" s="27">
        <f t="shared" si="307"/>
        <v>-0.10200624132701702</v>
      </c>
      <c r="AU131" s="27">
        <f t="shared" si="307"/>
        <v>0.11048943974474662</v>
      </c>
      <c r="AV131" s="27">
        <f t="shared" si="307"/>
        <v>0.10268942362702083</v>
      </c>
      <c r="AW131" s="27">
        <f t="shared" si="307"/>
        <v>2.7546130985253714E-2</v>
      </c>
      <c r="AX131" s="27">
        <f t="shared" si="308"/>
        <v>0.13023555461227454</v>
      </c>
      <c r="BD131" t="str">
        <f t="shared" si="321"/>
        <v>42 Secretarial and related occupations</v>
      </c>
      <c r="BE131" s="27">
        <f t="shared" si="309"/>
        <v>-0.14675014573015299</v>
      </c>
      <c r="BF131" s="27">
        <f t="shared" si="309"/>
        <v>-0.10648789474268017</v>
      </c>
      <c r="BG131" s="27">
        <f t="shared" si="309"/>
        <v>0.2105917565782176</v>
      </c>
      <c r="BH131" s="27">
        <f t="shared" si="309"/>
        <v>-1.3057000838651778</v>
      </c>
      <c r="BI131" s="27">
        <f t="shared" si="310"/>
        <v>-1.0951083272869604</v>
      </c>
      <c r="BO131" t="str">
        <f t="shared" si="322"/>
        <v>42 Secretarial and related occupations</v>
      </c>
      <c r="BP131" s="27">
        <f t="shared" si="311"/>
        <v>-0.52997964981016921</v>
      </c>
      <c r="BQ131" s="27">
        <f t="shared" si="311"/>
        <v>-0.38979132179219977</v>
      </c>
      <c r="BR131" s="27">
        <f t="shared" si="311"/>
        <v>-0.27986883749477021</v>
      </c>
      <c r="BS131" s="27">
        <f t="shared" si="311"/>
        <v>-1.2706619432083079</v>
      </c>
      <c r="BT131" s="27">
        <f t="shared" si="312"/>
        <v>-1.5505307807030781</v>
      </c>
      <c r="BZ131" t="str">
        <f t="shared" si="323"/>
        <v>42 Secretarial and related occupations</v>
      </c>
      <c r="CA131" s="68">
        <f t="shared" si="313"/>
        <v>-0.35682936629022155</v>
      </c>
      <c r="CB131" s="68">
        <f t="shared" si="313"/>
        <v>-0.35491758825482478</v>
      </c>
      <c r="CC131" s="68">
        <f t="shared" si="313"/>
        <v>-0.38046346964566036</v>
      </c>
      <c r="CD131" s="68">
        <f t="shared" si="313"/>
        <v>-1.0552044614588403</v>
      </c>
      <c r="CE131" s="68">
        <f t="shared" si="314"/>
        <v>-1.4356679311045006</v>
      </c>
      <c r="CK131" t="str">
        <f t="shared" si="324"/>
        <v>42 Secretarial and related occupations</v>
      </c>
      <c r="CL131" s="68">
        <f t="shared" si="315"/>
        <v>-0.19348653761338308</v>
      </c>
      <c r="CM131" s="68">
        <f t="shared" si="315"/>
        <v>9.0093520858989029E-2</v>
      </c>
      <c r="CN131" s="68">
        <f t="shared" si="315"/>
        <v>-7.4728643837578379E-2</v>
      </c>
      <c r="CO131" s="68">
        <f t="shared" si="315"/>
        <v>-0.10295144506516535</v>
      </c>
      <c r="CP131" s="68">
        <f t="shared" si="316"/>
        <v>-0.17768008890274373</v>
      </c>
    </row>
    <row r="132" spans="1:94" x14ac:dyDescent="0.25">
      <c r="A132" t="str">
        <f t="shared" si="298"/>
        <v>51 Skilled agricultural and related trades</v>
      </c>
      <c r="B132" s="27">
        <f t="shared" si="299"/>
        <v>2.1393357637354872E-3</v>
      </c>
      <c r="C132" s="27">
        <f t="shared" si="299"/>
        <v>-2.1041848489418286E-3</v>
      </c>
      <c r="D132" s="27">
        <f t="shared" si="299"/>
        <v>1.7341692410220225E-3</v>
      </c>
      <c r="E132" s="27">
        <f t="shared" si="299"/>
        <v>7.5253062326886486E-3</v>
      </c>
      <c r="F132" s="27">
        <f t="shared" si="300"/>
        <v>9.259475473710671E-3</v>
      </c>
      <c r="L132" t="str">
        <f t="shared" si="317"/>
        <v>51 Skilled agricultural and related trades</v>
      </c>
      <c r="M132" s="27">
        <f t="shared" si="301"/>
        <v>3.9939998065968013E-4</v>
      </c>
      <c r="N132" s="27">
        <f t="shared" si="301"/>
        <v>-9.4418087699300948E-3</v>
      </c>
      <c r="O132" s="27">
        <f t="shared" si="301"/>
        <v>1.1605994256361857E-2</v>
      </c>
      <c r="P132" s="27">
        <f t="shared" si="301"/>
        <v>2.1423148147274779E-2</v>
      </c>
      <c r="Q132" s="27">
        <f t="shared" si="302"/>
        <v>3.3029142403636635E-2</v>
      </c>
      <c r="W132" t="str">
        <f t="shared" si="318"/>
        <v>51 Skilled agricultural and related trades</v>
      </c>
      <c r="X132" s="27">
        <f t="shared" si="303"/>
        <v>-0.12927700513327933</v>
      </c>
      <c r="Y132" s="27">
        <f t="shared" si="303"/>
        <v>-2.815441925979334E-2</v>
      </c>
      <c r="Z132" s="27">
        <f t="shared" si="303"/>
        <v>5.5444563351761511E-2</v>
      </c>
      <c r="AA132" s="27">
        <f t="shared" si="303"/>
        <v>0.14091785611907215</v>
      </c>
      <c r="AB132" s="27">
        <f t="shared" si="304"/>
        <v>0.19636241947083366</v>
      </c>
      <c r="AH132" t="str">
        <f t="shared" si="319"/>
        <v>51 Skilled agricultural and related trades</v>
      </c>
      <c r="AI132" s="27">
        <f t="shared" si="305"/>
        <v>-2.2797900105136548E-2</v>
      </c>
      <c r="AJ132" s="27">
        <f t="shared" si="305"/>
        <v>-2.1135893337938805E-2</v>
      </c>
      <c r="AK132" s="27">
        <f t="shared" si="305"/>
        <v>3.3196402085907351E-2</v>
      </c>
      <c r="AL132" s="27">
        <f t="shared" si="305"/>
        <v>6.1624759378036159E-2</v>
      </c>
      <c r="AM132" s="27">
        <f t="shared" si="306"/>
        <v>9.482116146394351E-2</v>
      </c>
      <c r="AS132" t="str">
        <f t="shared" si="320"/>
        <v>51 Skilled agricultural and related trades</v>
      </c>
      <c r="AT132" s="27">
        <f t="shared" si="307"/>
        <v>-4.6157679564065468E-2</v>
      </c>
      <c r="AU132" s="27">
        <f t="shared" si="307"/>
        <v>-3.4908979004156515E-2</v>
      </c>
      <c r="AV132" s="27">
        <f t="shared" si="307"/>
        <v>5.0675865738648129E-2</v>
      </c>
      <c r="AW132" s="27">
        <f t="shared" si="307"/>
        <v>0.16834062373367092</v>
      </c>
      <c r="AX132" s="27">
        <f t="shared" si="308"/>
        <v>0.21901648947231905</v>
      </c>
      <c r="BD132" t="str">
        <f t="shared" si="321"/>
        <v>51 Skilled agricultural and related trades</v>
      </c>
      <c r="BE132" s="27">
        <f t="shared" si="309"/>
        <v>-1.5865283798381258E-2</v>
      </c>
      <c r="BF132" s="27">
        <f t="shared" si="309"/>
        <v>-0.12863651299296197</v>
      </c>
      <c r="BG132" s="27">
        <f t="shared" si="309"/>
        <v>1.9857929103364924E-2</v>
      </c>
      <c r="BH132" s="27">
        <f t="shared" si="309"/>
        <v>4.6162125199357584E-2</v>
      </c>
      <c r="BI132" s="27">
        <f t="shared" si="310"/>
        <v>6.6020054302722508E-2</v>
      </c>
      <c r="BO132" t="str">
        <f t="shared" si="322"/>
        <v>51 Skilled agricultural and related trades</v>
      </c>
      <c r="BP132" s="27">
        <f t="shared" si="311"/>
        <v>-6.2517306927101002E-2</v>
      </c>
      <c r="BQ132" s="27">
        <f t="shared" si="311"/>
        <v>-0.2610571321304106</v>
      </c>
      <c r="BR132" s="27">
        <f t="shared" si="311"/>
        <v>2.1989520885878133E-2</v>
      </c>
      <c r="BS132" s="27">
        <f t="shared" si="311"/>
        <v>-4.3906811269563861E-2</v>
      </c>
      <c r="BT132" s="27">
        <f t="shared" si="312"/>
        <v>-2.1917290383685728E-2</v>
      </c>
      <c r="BZ132" t="str">
        <f t="shared" si="323"/>
        <v>51 Skilled agricultural and related trades</v>
      </c>
      <c r="CA132" s="68">
        <f t="shared" si="313"/>
        <v>-0.11250050196974981</v>
      </c>
      <c r="CB132" s="68">
        <f t="shared" si="313"/>
        <v>-5.9866112649747949E-3</v>
      </c>
      <c r="CC132" s="68">
        <f t="shared" si="313"/>
        <v>9.8525773666722216E-3</v>
      </c>
      <c r="CD132" s="68">
        <f t="shared" si="313"/>
        <v>0.14408537375625197</v>
      </c>
      <c r="CE132" s="68">
        <f t="shared" si="314"/>
        <v>0.15393795112292419</v>
      </c>
      <c r="CK132" t="str">
        <f t="shared" si="324"/>
        <v>51 Skilled agricultural and related trades</v>
      </c>
      <c r="CL132" s="68">
        <f t="shared" si="315"/>
        <v>-0.13814767298611608</v>
      </c>
      <c r="CM132" s="68">
        <f t="shared" si="315"/>
        <v>-0.12925146696425066</v>
      </c>
      <c r="CN132" s="68">
        <f t="shared" si="315"/>
        <v>-7.3305056585121653E-2</v>
      </c>
      <c r="CO132" s="68">
        <f t="shared" si="315"/>
        <v>-0.14917546529922529</v>
      </c>
      <c r="CP132" s="68">
        <f t="shared" si="316"/>
        <v>-0.22248052188434694</v>
      </c>
    </row>
    <row r="133" spans="1:94" x14ac:dyDescent="0.25">
      <c r="A133" t="str">
        <f t="shared" si="298"/>
        <v>52 Skilled metal, electrical and electronic trades</v>
      </c>
      <c r="B133" s="27">
        <f t="shared" si="299"/>
        <v>-2.1972915386270098E-3</v>
      </c>
      <c r="C133" s="27">
        <f t="shared" si="299"/>
        <v>-3.838861621324019E-3</v>
      </c>
      <c r="D133" s="27">
        <f t="shared" si="299"/>
        <v>3.0603599811305972E-3</v>
      </c>
      <c r="E133" s="27">
        <f t="shared" si="299"/>
        <v>6.8316687560040015E-3</v>
      </c>
      <c r="F133" s="27">
        <f t="shared" si="300"/>
        <v>9.8920287371345988E-3</v>
      </c>
      <c r="L133" t="str">
        <f t="shared" si="317"/>
        <v>52 Skilled metal, electrical and electronic trades</v>
      </c>
      <c r="M133" s="27">
        <f t="shared" si="301"/>
        <v>0.10998602482801828</v>
      </c>
      <c r="N133" s="27">
        <f t="shared" si="301"/>
        <v>-0.16209255056217803</v>
      </c>
      <c r="O133" s="27">
        <f t="shared" si="301"/>
        <v>0.23843596121361915</v>
      </c>
      <c r="P133" s="27">
        <f t="shared" si="301"/>
        <v>0.38428865686478653</v>
      </c>
      <c r="Q133" s="27">
        <f t="shared" si="302"/>
        <v>0.62272461807840562</v>
      </c>
      <c r="W133" t="str">
        <f t="shared" si="318"/>
        <v>52 Skilled metal, electrical and electronic trades</v>
      </c>
      <c r="X133" s="27">
        <f t="shared" si="303"/>
        <v>-9.3625811409824733E-2</v>
      </c>
      <c r="Y133" s="27">
        <f t="shared" si="303"/>
        <v>-0.25579491782894281</v>
      </c>
      <c r="Z133" s="27">
        <f t="shared" si="303"/>
        <v>0.24038282047189197</v>
      </c>
      <c r="AA133" s="27">
        <f t="shared" si="303"/>
        <v>0.27513555091484121</v>
      </c>
      <c r="AB133" s="27">
        <f t="shared" si="304"/>
        <v>0.51551837138673318</v>
      </c>
      <c r="AH133" t="str">
        <f t="shared" si="319"/>
        <v>52 Skilled metal, electrical and electronic trades</v>
      </c>
      <c r="AI133" s="27">
        <f t="shared" si="305"/>
        <v>-5.9695340019323473E-2</v>
      </c>
      <c r="AJ133" s="27">
        <f t="shared" si="305"/>
        <v>-7.3954616076318425E-2</v>
      </c>
      <c r="AK133" s="27">
        <f t="shared" si="305"/>
        <v>2.7561591340729497E-2</v>
      </c>
      <c r="AL133" s="27">
        <f t="shared" si="305"/>
        <v>7.3821428417062351E-2</v>
      </c>
      <c r="AM133" s="27">
        <f t="shared" si="306"/>
        <v>0.10138301975779185</v>
      </c>
      <c r="AS133" t="str">
        <f t="shared" si="320"/>
        <v>52 Skilled metal, electrical and electronic trades</v>
      </c>
      <c r="AT133" s="27">
        <f t="shared" si="307"/>
        <v>-0.26903158239364622</v>
      </c>
      <c r="AU133" s="27">
        <f t="shared" si="307"/>
        <v>-0.28030178448058884</v>
      </c>
      <c r="AV133" s="27">
        <f t="shared" si="307"/>
        <v>8.5656126787115872E-2</v>
      </c>
      <c r="AW133" s="27">
        <f t="shared" si="307"/>
        <v>0.19535622692914245</v>
      </c>
      <c r="AX133" s="27">
        <f t="shared" si="308"/>
        <v>0.28101235371625832</v>
      </c>
      <c r="BD133" t="str">
        <f t="shared" si="321"/>
        <v>52 Skilled metal, electrical and electronic trades</v>
      </c>
      <c r="BE133" s="27">
        <f t="shared" si="309"/>
        <v>0.74643112931881461</v>
      </c>
      <c r="BF133" s="27">
        <f t="shared" si="309"/>
        <v>-2.00256703290502</v>
      </c>
      <c r="BG133" s="27">
        <f t="shared" si="309"/>
        <v>-6.5174562519729307E-2</v>
      </c>
      <c r="BH133" s="27">
        <f t="shared" si="309"/>
        <v>-0.42162416475274433</v>
      </c>
      <c r="BI133" s="27">
        <f t="shared" si="310"/>
        <v>-0.48679872727247364</v>
      </c>
      <c r="BO133" t="str">
        <f t="shared" si="322"/>
        <v>52 Skilled metal, electrical and electronic trades</v>
      </c>
      <c r="BP133" s="27">
        <f t="shared" si="311"/>
        <v>0.12351471843437878</v>
      </c>
      <c r="BQ133" s="27">
        <f t="shared" si="311"/>
        <v>-1.4295692585619708</v>
      </c>
      <c r="BR133" s="27">
        <f t="shared" si="311"/>
        <v>-0.12209922891950864</v>
      </c>
      <c r="BS133" s="27">
        <f t="shared" si="311"/>
        <v>-0.85360861277371303</v>
      </c>
      <c r="BT133" s="27">
        <f t="shared" si="312"/>
        <v>-0.97570784169322167</v>
      </c>
      <c r="BZ133" t="str">
        <f t="shared" si="323"/>
        <v>52 Skilled metal, electrical and electronic trades</v>
      </c>
      <c r="CA133" s="68">
        <f t="shared" si="313"/>
        <v>-0.46424971182705743</v>
      </c>
      <c r="CB133" s="68">
        <f t="shared" si="313"/>
        <v>-0.40951877431616124</v>
      </c>
      <c r="CC133" s="68">
        <f t="shared" si="313"/>
        <v>-0.55070173862360061</v>
      </c>
      <c r="CD133" s="68">
        <f t="shared" si="313"/>
        <v>-1.0609923466666993</v>
      </c>
      <c r="CE133" s="68">
        <f t="shared" si="314"/>
        <v>-1.6116940852902999</v>
      </c>
      <c r="CK133" t="str">
        <f t="shared" si="324"/>
        <v>52 Skilled metal, electrical and electronic trades</v>
      </c>
      <c r="CL133" s="68">
        <f t="shared" si="315"/>
        <v>-0.37017278545115984</v>
      </c>
      <c r="CM133" s="68">
        <f t="shared" si="315"/>
        <v>-0.38900198132395092</v>
      </c>
      <c r="CN133" s="68">
        <f t="shared" si="315"/>
        <v>-0.60387849810956629</v>
      </c>
      <c r="CO133" s="68">
        <f t="shared" si="315"/>
        <v>-0.3445480105953338</v>
      </c>
      <c r="CP133" s="68">
        <f t="shared" si="316"/>
        <v>-0.94842650870490008</v>
      </c>
    </row>
    <row r="134" spans="1:94" x14ac:dyDescent="0.25">
      <c r="A134" t="str">
        <f t="shared" si="298"/>
        <v>53 Skilled construction and building trades</v>
      </c>
      <c r="B134" s="27">
        <f t="shared" si="299"/>
        <v>-1.0249948806156017E-3</v>
      </c>
      <c r="C134" s="27">
        <f t="shared" si="299"/>
        <v>-2.2418036318548871E-3</v>
      </c>
      <c r="D134" s="27">
        <f t="shared" si="299"/>
        <v>1.6070454000413066E-3</v>
      </c>
      <c r="E134" s="27">
        <f t="shared" si="299"/>
        <v>2.5740707198574578E-4</v>
      </c>
      <c r="F134" s="27">
        <f t="shared" si="300"/>
        <v>1.8644524720270524E-3</v>
      </c>
      <c r="L134" t="str">
        <f t="shared" si="317"/>
        <v>53 Skilled construction and building trades</v>
      </c>
      <c r="M134" s="27">
        <f t="shared" si="301"/>
        <v>3.9097986049977912E-2</v>
      </c>
      <c r="N134" s="27">
        <f t="shared" si="301"/>
        <v>-5.8086141011946896E-2</v>
      </c>
      <c r="O134" s="27">
        <f t="shared" si="301"/>
        <v>6.0559829912993218E-2</v>
      </c>
      <c r="P134" s="27">
        <f t="shared" si="301"/>
        <v>9.2617507772753183E-2</v>
      </c>
      <c r="Q134" s="27">
        <f t="shared" si="302"/>
        <v>0.1531773376857464</v>
      </c>
      <c r="W134" t="str">
        <f t="shared" si="318"/>
        <v>53 Skilled construction and building trades</v>
      </c>
      <c r="X134" s="27">
        <f t="shared" si="303"/>
        <v>-5.6550596037761247E-2</v>
      </c>
      <c r="Y134" s="27">
        <f t="shared" si="303"/>
        <v>-0.11627152588479323</v>
      </c>
      <c r="Z134" s="27">
        <f t="shared" si="303"/>
        <v>0.12265249235461445</v>
      </c>
      <c r="AA134" s="27">
        <f t="shared" si="303"/>
        <v>8.485867187731666E-2</v>
      </c>
      <c r="AB134" s="27">
        <f t="shared" si="304"/>
        <v>0.20751116423193111</v>
      </c>
      <c r="AH134" t="str">
        <f t="shared" si="319"/>
        <v>53 Skilled construction and building trades</v>
      </c>
      <c r="AI134" s="27">
        <f t="shared" si="305"/>
        <v>2.9178574705269522E-2</v>
      </c>
      <c r="AJ134" s="27">
        <f t="shared" si="305"/>
        <v>-5.0696602487357467E-2</v>
      </c>
      <c r="AK134" s="27">
        <f t="shared" si="305"/>
        <v>7.0801477515732292E-2</v>
      </c>
      <c r="AL134" s="27">
        <f t="shared" si="305"/>
        <v>7.2983820764922935E-2</v>
      </c>
      <c r="AM134" s="27">
        <f t="shared" si="306"/>
        <v>0.14378529828065523</v>
      </c>
      <c r="AS134" t="str">
        <f t="shared" si="320"/>
        <v>53 Skilled construction and building trades</v>
      </c>
      <c r="AT134" s="27">
        <f t="shared" si="307"/>
        <v>5.9026901755189209E-2</v>
      </c>
      <c r="AU134" s="27">
        <f t="shared" si="307"/>
        <v>-8.9389228926735287E-2</v>
      </c>
      <c r="AV134" s="27">
        <f t="shared" si="307"/>
        <v>0.11842294310582657</v>
      </c>
      <c r="AW134" s="27">
        <f t="shared" si="307"/>
        <v>4.6638394800790017E-2</v>
      </c>
      <c r="AX134" s="27">
        <f t="shared" si="308"/>
        <v>0.16506133790661659</v>
      </c>
      <c r="BD134" t="str">
        <f t="shared" si="321"/>
        <v>53 Skilled construction and building trades</v>
      </c>
      <c r="BE134" s="27">
        <f t="shared" si="309"/>
        <v>1.0489178390600475</v>
      </c>
      <c r="BF134" s="27">
        <f t="shared" si="309"/>
        <v>-1.2262053886265232</v>
      </c>
      <c r="BG134" s="27">
        <f t="shared" si="309"/>
        <v>0.20483599414475684</v>
      </c>
      <c r="BH134" s="27">
        <f t="shared" si="309"/>
        <v>-0.58624359254446823</v>
      </c>
      <c r="BI134" s="27">
        <f t="shared" si="310"/>
        <v>-0.38140759839971139</v>
      </c>
      <c r="BO134" t="str">
        <f t="shared" si="322"/>
        <v>53 Skilled construction and building trades</v>
      </c>
      <c r="BP134" s="27">
        <f t="shared" si="311"/>
        <v>1.482937365228854</v>
      </c>
      <c r="BQ134" s="27">
        <f t="shared" si="311"/>
        <v>-1.4789498417937645</v>
      </c>
      <c r="BR134" s="27">
        <f t="shared" si="311"/>
        <v>0.8055408557650745</v>
      </c>
      <c r="BS134" s="27">
        <f t="shared" si="311"/>
        <v>-0.36040832238475762</v>
      </c>
      <c r="BT134" s="27">
        <f t="shared" si="312"/>
        <v>0.44513253338031689</v>
      </c>
      <c r="BZ134" t="str">
        <f t="shared" si="323"/>
        <v>53 Skilled construction and building trades</v>
      </c>
      <c r="CA134" s="68">
        <f t="shared" si="313"/>
        <v>-2.5126820088803292E-3</v>
      </c>
      <c r="CB134" s="68">
        <f t="shared" si="313"/>
        <v>-0.41919721908768359</v>
      </c>
      <c r="CC134" s="68">
        <f t="shared" si="313"/>
        <v>-0.31050890362389127</v>
      </c>
      <c r="CD134" s="68">
        <f t="shared" si="313"/>
        <v>-0.70968071129341959</v>
      </c>
      <c r="CE134" s="68">
        <f t="shared" si="314"/>
        <v>-1.0201896149173109</v>
      </c>
      <c r="CK134" t="str">
        <f t="shared" si="324"/>
        <v>53 Skilled construction and building trades</v>
      </c>
      <c r="CL134" s="68">
        <f t="shared" si="315"/>
        <v>6.4855995300456826E-2</v>
      </c>
      <c r="CM134" s="68">
        <f t="shared" si="315"/>
        <v>-0.46491948758025003</v>
      </c>
      <c r="CN134" s="68">
        <f t="shared" si="315"/>
        <v>-0.95419693199104838</v>
      </c>
      <c r="CO134" s="68">
        <f t="shared" si="315"/>
        <v>-0.83651813699208322</v>
      </c>
      <c r="CP134" s="68">
        <f t="shared" si="316"/>
        <v>-1.7907150689831317</v>
      </c>
    </row>
    <row r="135" spans="1:94" x14ac:dyDescent="0.25">
      <c r="A135" t="str">
        <f t="shared" si="298"/>
        <v>54 Textiles, printing and other skilled trades</v>
      </c>
      <c r="B135" s="27">
        <f t="shared" si="299"/>
        <v>1.7990939193135436E-4</v>
      </c>
      <c r="C135" s="27">
        <f t="shared" si="299"/>
        <v>-4.0026957021137427E-3</v>
      </c>
      <c r="D135" s="27">
        <f t="shared" si="299"/>
        <v>8.735728502377138E-3</v>
      </c>
      <c r="E135" s="27">
        <f t="shared" si="299"/>
        <v>1.1121497953227762E-2</v>
      </c>
      <c r="F135" s="27">
        <f t="shared" si="300"/>
        <v>1.98572264556049E-2</v>
      </c>
      <c r="L135" t="str">
        <f t="shared" si="317"/>
        <v>54 Textiles, printing and other skilled trades</v>
      </c>
      <c r="M135" s="27">
        <f t="shared" si="301"/>
        <v>6.1269823186561767E-2</v>
      </c>
      <c r="N135" s="27">
        <f t="shared" si="301"/>
        <v>1.7889190822176659E-2</v>
      </c>
      <c r="O135" s="27">
        <f t="shared" si="301"/>
        <v>9.1382506411257614E-2</v>
      </c>
      <c r="P135" s="27">
        <f t="shared" si="301"/>
        <v>0.19808218958569895</v>
      </c>
      <c r="Q135" s="27">
        <f t="shared" si="302"/>
        <v>0.28946469599695657</v>
      </c>
      <c r="W135" t="str">
        <f t="shared" si="318"/>
        <v>54 Textiles, printing and other skilled trades</v>
      </c>
      <c r="X135" s="27">
        <f t="shared" si="303"/>
        <v>-0.10808029532953445</v>
      </c>
      <c r="Y135" s="27">
        <f t="shared" si="303"/>
        <v>6.6803251840406475E-2</v>
      </c>
      <c r="Z135" s="27">
        <f t="shared" si="303"/>
        <v>0.1206204026530161</v>
      </c>
      <c r="AA135" s="27">
        <f t="shared" si="303"/>
        <v>0.19902404780976812</v>
      </c>
      <c r="AB135" s="27">
        <f t="shared" si="304"/>
        <v>0.31964445046278422</v>
      </c>
      <c r="AH135" t="str">
        <f t="shared" si="319"/>
        <v>54 Textiles, printing and other skilled trades</v>
      </c>
      <c r="AI135" s="27">
        <f t="shared" si="305"/>
        <v>-5.9881138475598256E-2</v>
      </c>
      <c r="AJ135" s="27">
        <f t="shared" si="305"/>
        <v>4.8435195891721988E-2</v>
      </c>
      <c r="AK135" s="27">
        <f t="shared" si="305"/>
        <v>6.640109071506084E-3</v>
      </c>
      <c r="AL135" s="27">
        <f t="shared" si="305"/>
        <v>4.3642129338030522E-2</v>
      </c>
      <c r="AM135" s="27">
        <f t="shared" si="306"/>
        <v>5.0282238409536606E-2</v>
      </c>
      <c r="AS135" t="str">
        <f t="shared" si="320"/>
        <v>54 Textiles, printing and other skilled trades</v>
      </c>
      <c r="AT135" s="27">
        <f t="shared" si="307"/>
        <v>-6.7976468775324567E-2</v>
      </c>
      <c r="AU135" s="27">
        <f t="shared" si="307"/>
        <v>4.2944476949786065E-2</v>
      </c>
      <c r="AV135" s="27">
        <f t="shared" si="307"/>
        <v>2.7362905067741305E-2</v>
      </c>
      <c r="AW135" s="27">
        <f t="shared" si="307"/>
        <v>5.3826601925035522E-2</v>
      </c>
      <c r="AX135" s="27">
        <f t="shared" si="308"/>
        <v>8.1189506992776828E-2</v>
      </c>
      <c r="BD135" t="str">
        <f t="shared" si="321"/>
        <v>54 Textiles, printing and other skilled trades</v>
      </c>
      <c r="BE135" s="27">
        <f t="shared" si="309"/>
        <v>-2.1846360048247249E-2</v>
      </c>
      <c r="BF135" s="27">
        <f t="shared" si="309"/>
        <v>-0.11798117020735122</v>
      </c>
      <c r="BG135" s="27">
        <f t="shared" si="309"/>
        <v>0.18652816398137428</v>
      </c>
      <c r="BH135" s="27">
        <f t="shared" si="309"/>
        <v>-6.2713214412721818E-3</v>
      </c>
      <c r="BI135" s="27">
        <f t="shared" si="310"/>
        <v>0.1802568425401021</v>
      </c>
      <c r="BO135" t="str">
        <f t="shared" si="322"/>
        <v>54 Textiles, printing and other skilled trades</v>
      </c>
      <c r="BP135" s="27">
        <f t="shared" si="311"/>
        <v>-0.29255452469986087</v>
      </c>
      <c r="BQ135" s="27">
        <f t="shared" si="311"/>
        <v>-0.16313852160050679</v>
      </c>
      <c r="BR135" s="27">
        <f t="shared" si="311"/>
        <v>-5.7386544343289936E-2</v>
      </c>
      <c r="BS135" s="27">
        <f t="shared" si="311"/>
        <v>-0.24041652067235875</v>
      </c>
      <c r="BT135" s="27">
        <f t="shared" si="312"/>
        <v>-0.29780306501564868</v>
      </c>
      <c r="BZ135" t="str">
        <f t="shared" si="323"/>
        <v>54 Textiles, printing and other skilled trades</v>
      </c>
      <c r="CA135" s="68">
        <f t="shared" si="313"/>
        <v>-0.35369726177738214</v>
      </c>
      <c r="CB135" s="68">
        <f t="shared" si="313"/>
        <v>-5.0737735720466581E-2</v>
      </c>
      <c r="CC135" s="68">
        <f t="shared" si="313"/>
        <v>-0.21074130385185796</v>
      </c>
      <c r="CD135" s="68">
        <f t="shared" si="313"/>
        <v>-0.54884288288322858</v>
      </c>
      <c r="CE135" s="68">
        <f t="shared" si="314"/>
        <v>-0.75958418673508654</v>
      </c>
      <c r="CK135" t="str">
        <f t="shared" si="324"/>
        <v>54 Textiles, printing and other skilled trades</v>
      </c>
      <c r="CL135" s="68">
        <f t="shared" si="315"/>
        <v>-0.38041190510890388</v>
      </c>
      <c r="CM135" s="68">
        <f t="shared" si="315"/>
        <v>6.3802005889254554E-2</v>
      </c>
      <c r="CN135" s="68">
        <f t="shared" si="315"/>
        <v>-0.5221713594468198</v>
      </c>
      <c r="CO135" s="68">
        <f t="shared" si="315"/>
        <v>-0.22620425530835592</v>
      </c>
      <c r="CP135" s="68">
        <f t="shared" si="316"/>
        <v>-0.74837561475517567</v>
      </c>
    </row>
    <row r="136" spans="1:94" x14ac:dyDescent="0.25">
      <c r="A136" t="str">
        <f t="shared" si="298"/>
        <v>61 Caring personal service occupations</v>
      </c>
      <c r="B136" s="27">
        <f t="shared" si="299"/>
        <v>8.0017597645836123E-3</v>
      </c>
      <c r="C136" s="27">
        <f t="shared" si="299"/>
        <v>6.4527349511168258E-5</v>
      </c>
      <c r="D136" s="27">
        <f t="shared" si="299"/>
        <v>1.1070528869058762E-2</v>
      </c>
      <c r="E136" s="27">
        <f t="shared" si="299"/>
        <v>3.1499050198795932E-2</v>
      </c>
      <c r="F136" s="27">
        <f t="shared" si="300"/>
        <v>4.256957906785469E-2</v>
      </c>
      <c r="L136" t="str">
        <f t="shared" si="317"/>
        <v>61 Caring personal service occupations</v>
      </c>
      <c r="M136" s="27">
        <f t="shared" si="301"/>
        <v>0.53058090070714226</v>
      </c>
      <c r="N136" s="27">
        <f t="shared" si="301"/>
        <v>6.691175275921224E-2</v>
      </c>
      <c r="O136" s="27">
        <f t="shared" si="301"/>
        <v>0.71159352456948044</v>
      </c>
      <c r="P136" s="27">
        <f t="shared" si="301"/>
        <v>2.194406850721764</v>
      </c>
      <c r="Q136" s="27">
        <f t="shared" si="302"/>
        <v>2.9060003752912444</v>
      </c>
      <c r="W136" t="str">
        <f t="shared" si="318"/>
        <v>61 Caring personal service occupations</v>
      </c>
      <c r="X136" s="27">
        <f t="shared" si="303"/>
        <v>0.18949155487742253</v>
      </c>
      <c r="Y136" s="27">
        <f t="shared" si="303"/>
        <v>0.75510460397229107</v>
      </c>
      <c r="Z136" s="27">
        <f t="shared" si="303"/>
        <v>0.89140845150549275</v>
      </c>
      <c r="AA136" s="27">
        <f t="shared" si="303"/>
        <v>1.8815607062645565</v>
      </c>
      <c r="AB136" s="27">
        <f t="shared" si="304"/>
        <v>2.7729691577700493</v>
      </c>
      <c r="AH136" t="str">
        <f t="shared" si="319"/>
        <v>61 Caring personal service occupations</v>
      </c>
      <c r="AI136" s="27">
        <f t="shared" si="305"/>
        <v>-0.2617294971648958</v>
      </c>
      <c r="AJ136" s="27">
        <f t="shared" si="305"/>
        <v>0.6804306098523405</v>
      </c>
      <c r="AK136" s="27">
        <f t="shared" si="305"/>
        <v>9.6480356612403284E-2</v>
      </c>
      <c r="AL136" s="27">
        <f t="shared" si="305"/>
        <v>0.50889018613661996</v>
      </c>
      <c r="AM136" s="27">
        <f t="shared" si="306"/>
        <v>0.60537054274902324</v>
      </c>
      <c r="AS136" t="str">
        <f t="shared" si="320"/>
        <v>61 Caring personal service occupations</v>
      </c>
      <c r="AT136" s="27">
        <f t="shared" si="307"/>
        <v>3.8229863288481214E-2</v>
      </c>
      <c r="AU136" s="27">
        <f t="shared" si="307"/>
        <v>0.35139510440029254</v>
      </c>
      <c r="AV136" s="27">
        <f t="shared" si="307"/>
        <v>0.10353423921973048</v>
      </c>
      <c r="AW136" s="27">
        <f t="shared" si="307"/>
        <v>0.43226623951880461</v>
      </c>
      <c r="AX136" s="27">
        <f t="shared" si="308"/>
        <v>0.53580047873853509</v>
      </c>
      <c r="BD136" t="str">
        <f t="shared" si="321"/>
        <v>61 Caring personal service occupations</v>
      </c>
      <c r="BE136" s="27">
        <f t="shared" si="309"/>
        <v>2.664839662031504</v>
      </c>
      <c r="BF136" s="27">
        <f t="shared" si="309"/>
        <v>-0.736608473963555</v>
      </c>
      <c r="BG136" s="27">
        <f t="shared" si="309"/>
        <v>1.6999032423463252</v>
      </c>
      <c r="BH136" s="27">
        <f t="shared" si="309"/>
        <v>1.5815645092497448</v>
      </c>
      <c r="BI136" s="27">
        <f t="shared" si="310"/>
        <v>3.28146775159607</v>
      </c>
      <c r="BO136" t="str">
        <f t="shared" si="322"/>
        <v>61 Caring personal service occupations</v>
      </c>
      <c r="BP136" s="27">
        <f t="shared" si="311"/>
        <v>0.86136723486246858</v>
      </c>
      <c r="BQ136" s="27">
        <f t="shared" si="311"/>
        <v>-2.0932142748353488</v>
      </c>
      <c r="BR136" s="27">
        <f t="shared" si="311"/>
        <v>0.62609782578197404</v>
      </c>
      <c r="BS136" s="27">
        <f t="shared" si="311"/>
        <v>-1.841827197668179</v>
      </c>
      <c r="BT136" s="27">
        <f t="shared" si="312"/>
        <v>-1.215729371886205</v>
      </c>
      <c r="BZ136" t="str">
        <f t="shared" si="323"/>
        <v>61 Caring personal service occupations</v>
      </c>
      <c r="CA136" s="68">
        <f t="shared" si="313"/>
        <v>-1.3546429329866891</v>
      </c>
      <c r="CB136" s="68">
        <f t="shared" si="313"/>
        <v>-0.31767135976899974</v>
      </c>
      <c r="CC136" s="68">
        <f t="shared" si="313"/>
        <v>-0.45110157927710426</v>
      </c>
      <c r="CD136" s="68">
        <f t="shared" si="313"/>
        <v>-0.26780822314276287</v>
      </c>
      <c r="CE136" s="68">
        <f t="shared" si="314"/>
        <v>-0.71890980241986713</v>
      </c>
      <c r="CK136" t="str">
        <f t="shared" si="324"/>
        <v>61 Caring personal service occupations</v>
      </c>
      <c r="CL136" s="68">
        <f t="shared" si="315"/>
        <v>-0.16349549287130966</v>
      </c>
      <c r="CM136" s="68">
        <f t="shared" si="315"/>
        <v>3.7563846664136868E-2</v>
      </c>
      <c r="CN136" s="68">
        <f t="shared" si="315"/>
        <v>-0.1020548155330257</v>
      </c>
      <c r="CO136" s="68">
        <f t="shared" si="315"/>
        <v>-0.10680412669374767</v>
      </c>
      <c r="CP136" s="68">
        <f t="shared" si="316"/>
        <v>-0.20885894222677337</v>
      </c>
    </row>
    <row r="137" spans="1:94" x14ac:dyDescent="0.25">
      <c r="A137" t="str">
        <f t="shared" si="298"/>
        <v>62 Leisure, travel and related personal service occupations</v>
      </c>
      <c r="B137" s="27">
        <f t="shared" si="299"/>
        <v>7.1385751013127961E-3</v>
      </c>
      <c r="C137" s="27">
        <f t="shared" si="299"/>
        <v>1.1180193833751177E-3</v>
      </c>
      <c r="D137" s="27">
        <f t="shared" si="299"/>
        <v>7.4016166458455469E-3</v>
      </c>
      <c r="E137" s="27">
        <f t="shared" si="299"/>
        <v>1.907618918483131E-2</v>
      </c>
      <c r="F137" s="27">
        <f t="shared" si="300"/>
        <v>2.6477805830676857E-2</v>
      </c>
      <c r="L137" t="str">
        <f t="shared" si="317"/>
        <v>62 Leisure, travel and related personal service occupations</v>
      </c>
      <c r="M137" s="27">
        <f t="shared" si="301"/>
        <v>3.81806073715317E-2</v>
      </c>
      <c r="N137" s="27">
        <f t="shared" si="301"/>
        <v>-1.2806028400510483E-3</v>
      </c>
      <c r="O137" s="27">
        <f t="shared" si="301"/>
        <v>6.9990111425256796E-2</v>
      </c>
      <c r="P137" s="27">
        <f t="shared" si="301"/>
        <v>0.2448498790403637</v>
      </c>
      <c r="Q137" s="27">
        <f t="shared" si="302"/>
        <v>0.3148399904656205</v>
      </c>
      <c r="W137" t="str">
        <f t="shared" si="318"/>
        <v>62 Leisure, travel and related personal service occupations</v>
      </c>
      <c r="X137" s="27">
        <f t="shared" si="303"/>
        <v>-1.2902748403200603E-2</v>
      </c>
      <c r="Y137" s="27">
        <f t="shared" si="303"/>
        <v>4.9367448149275295E-2</v>
      </c>
      <c r="Z137" s="27">
        <f t="shared" si="303"/>
        <v>0.21659818503318695</v>
      </c>
      <c r="AA137" s="27">
        <f t="shared" si="303"/>
        <v>0.48265219006115956</v>
      </c>
      <c r="AB137" s="27">
        <f t="shared" si="304"/>
        <v>0.69925037509434651</v>
      </c>
      <c r="AH137" t="str">
        <f t="shared" si="319"/>
        <v>62 Leisure, travel and related personal service occupations</v>
      </c>
      <c r="AI137" s="27">
        <f t="shared" si="305"/>
        <v>-2.8584738483114824E-2</v>
      </c>
      <c r="AJ137" s="27">
        <f t="shared" si="305"/>
        <v>4.5217645938318451E-2</v>
      </c>
      <c r="AK137" s="27">
        <f t="shared" si="305"/>
        <v>8.7175003960820452E-2</v>
      </c>
      <c r="AL137" s="27">
        <f t="shared" si="305"/>
        <v>0.25344021174259568</v>
      </c>
      <c r="AM137" s="27">
        <f t="shared" si="306"/>
        <v>0.34061521570341613</v>
      </c>
      <c r="AS137" t="str">
        <f t="shared" si="320"/>
        <v>62 Leisure, travel and related personal service occupations</v>
      </c>
      <c r="AT137" s="27">
        <f t="shared" si="307"/>
        <v>-5.0396684957027205E-2</v>
      </c>
      <c r="AU137" s="27">
        <f t="shared" si="307"/>
        <v>7.2514360478325712E-2</v>
      </c>
      <c r="AV137" s="27">
        <f t="shared" si="307"/>
        <v>0.13442689136109265</v>
      </c>
      <c r="AW137" s="27">
        <f t="shared" si="307"/>
        <v>0.33164583560635075</v>
      </c>
      <c r="AX137" s="27">
        <f t="shared" si="308"/>
        <v>0.4660727269674434</v>
      </c>
      <c r="BD137" t="str">
        <f t="shared" si="321"/>
        <v>62 Leisure, travel and related personal service occupations</v>
      </c>
      <c r="BE137" s="27">
        <f t="shared" si="309"/>
        <v>-0.36496974301619733</v>
      </c>
      <c r="BF137" s="27">
        <f t="shared" si="309"/>
        <v>-0.2485352981765323</v>
      </c>
      <c r="BG137" s="27">
        <f t="shared" si="309"/>
        <v>-9.846545938055673E-3</v>
      </c>
      <c r="BH137" s="27">
        <f t="shared" si="309"/>
        <v>-0.149509457449712</v>
      </c>
      <c r="BI137" s="27">
        <f t="shared" si="310"/>
        <v>-0.15935600338776768</v>
      </c>
      <c r="BO137" t="str">
        <f t="shared" si="322"/>
        <v>62 Leisure, travel and related personal service occupations</v>
      </c>
      <c r="BP137" s="27">
        <f t="shared" si="311"/>
        <v>-0.42254506690161353</v>
      </c>
      <c r="BQ137" s="27">
        <f t="shared" si="311"/>
        <v>-0.5527748205558356</v>
      </c>
      <c r="BR137" s="27">
        <f t="shared" si="311"/>
        <v>-2.7755474303425842E-3</v>
      </c>
      <c r="BS137" s="27">
        <f t="shared" si="311"/>
        <v>-0.42175067959748991</v>
      </c>
      <c r="BT137" s="27">
        <f t="shared" si="312"/>
        <v>-0.42452622702783249</v>
      </c>
      <c r="BZ137" t="str">
        <f t="shared" si="323"/>
        <v>62 Leisure, travel and related personal service occupations</v>
      </c>
      <c r="CA137" s="68">
        <f t="shared" si="313"/>
        <v>-0.30105192281165682</v>
      </c>
      <c r="CB137" s="68">
        <f t="shared" si="313"/>
        <v>-0.25736022082476095</v>
      </c>
      <c r="CC137" s="68">
        <f t="shared" si="313"/>
        <v>-0.10453716337272434</v>
      </c>
      <c r="CD137" s="68">
        <f t="shared" si="313"/>
        <v>-0.43224482827468191</v>
      </c>
      <c r="CE137" s="68">
        <f t="shared" si="314"/>
        <v>-0.53678199164740625</v>
      </c>
      <c r="CK137" t="str">
        <f t="shared" si="324"/>
        <v>62 Leisure, travel and related personal service occupations</v>
      </c>
      <c r="CL137" s="68">
        <f t="shared" si="315"/>
        <v>-0.31878587095861455</v>
      </c>
      <c r="CM137" s="68">
        <f t="shared" si="315"/>
        <v>1.0140463879250383E-2</v>
      </c>
      <c r="CN137" s="68">
        <f t="shared" si="315"/>
        <v>-0.26742204885986504</v>
      </c>
      <c r="CO137" s="68">
        <f t="shared" si="315"/>
        <v>-0.16809016405319771</v>
      </c>
      <c r="CP137" s="68">
        <f t="shared" si="316"/>
        <v>-0.43551221291306275</v>
      </c>
    </row>
    <row r="138" spans="1:94" x14ac:dyDescent="0.25">
      <c r="A138" t="str">
        <f t="shared" si="298"/>
        <v>63 Community and civil enforcement occupations</v>
      </c>
      <c r="B138" s="27">
        <f t="shared" si="299"/>
        <v>6.31589048366851E-4</v>
      </c>
      <c r="C138" s="27">
        <f t="shared" si="299"/>
        <v>-3.7653526048631774E-4</v>
      </c>
      <c r="D138" s="27">
        <f t="shared" si="299"/>
        <v>7.3352007121265739E-4</v>
      </c>
      <c r="E138" s="27">
        <f t="shared" si="299"/>
        <v>1.2153666717392396E-3</v>
      </c>
      <c r="F138" s="27">
        <f t="shared" si="300"/>
        <v>1.948886742951897E-3</v>
      </c>
      <c r="L138" t="str">
        <f t="shared" si="317"/>
        <v>63 Community and civil enforcement occupations</v>
      </c>
      <c r="M138" s="27">
        <f t="shared" si="301"/>
        <v>2.7341668867081198E-3</v>
      </c>
      <c r="N138" s="27">
        <f t="shared" si="301"/>
        <v>2.1254991881549182E-4</v>
      </c>
      <c r="O138" s="27">
        <f t="shared" si="301"/>
        <v>3.5042043387018759E-3</v>
      </c>
      <c r="P138" s="27">
        <f t="shared" si="301"/>
        <v>1.2962980078047418E-2</v>
      </c>
      <c r="Q138" s="27">
        <f t="shared" si="302"/>
        <v>1.6467184416749294E-2</v>
      </c>
      <c r="W138" t="str">
        <f t="shared" si="318"/>
        <v>63 Community and civil enforcement occupations</v>
      </c>
      <c r="X138" s="27">
        <f t="shared" si="303"/>
        <v>-4.0185610301354188E-3</v>
      </c>
      <c r="Y138" s="27">
        <f t="shared" si="303"/>
        <v>1.0084687248456632E-2</v>
      </c>
      <c r="Z138" s="27">
        <f t="shared" si="303"/>
        <v>1.0450258578043367E-2</v>
      </c>
      <c r="AA138" s="27">
        <f t="shared" si="303"/>
        <v>2.2396158610705902E-2</v>
      </c>
      <c r="AB138" s="27">
        <f t="shared" si="304"/>
        <v>3.2846417188749269E-2</v>
      </c>
      <c r="AH138" t="str">
        <f t="shared" si="319"/>
        <v>63 Community and civil enforcement occupations</v>
      </c>
      <c r="AI138" s="27">
        <f t="shared" si="305"/>
        <v>-3.1399639650660366E-3</v>
      </c>
      <c r="AJ138" s="27">
        <f t="shared" si="305"/>
        <v>5.273336291863405E-3</v>
      </c>
      <c r="AK138" s="27">
        <f t="shared" si="305"/>
        <v>-7.6897238843446486E-4</v>
      </c>
      <c r="AL138" s="27">
        <f t="shared" si="305"/>
        <v>6.38214124194246E-3</v>
      </c>
      <c r="AM138" s="27">
        <f t="shared" si="306"/>
        <v>5.6131688535079952E-3</v>
      </c>
      <c r="AS138" t="str">
        <f t="shared" si="320"/>
        <v>63 Community and civil enforcement occupations</v>
      </c>
      <c r="AT138" s="27">
        <f t="shared" si="307"/>
        <v>-3.2736513843136562E-3</v>
      </c>
      <c r="AU138" s="27">
        <f t="shared" si="307"/>
        <v>4.7280040532904528E-3</v>
      </c>
      <c r="AV138" s="27">
        <f t="shared" si="307"/>
        <v>-3.1887765883050131E-3</v>
      </c>
      <c r="AW138" s="27">
        <f t="shared" si="307"/>
        <v>1.7218940793456844E-3</v>
      </c>
      <c r="AX138" s="27">
        <f t="shared" si="308"/>
        <v>-1.4668825089593288E-3</v>
      </c>
      <c r="BD138" t="str">
        <f t="shared" si="321"/>
        <v>63 Community and civil enforcement occupations</v>
      </c>
      <c r="BE138" s="27">
        <f t="shared" si="309"/>
        <v>-1.9177827300840083E-2</v>
      </c>
      <c r="BF138" s="27">
        <f t="shared" si="309"/>
        <v>2.0811351146060336E-2</v>
      </c>
      <c r="BG138" s="27">
        <f t="shared" si="309"/>
        <v>-2.0217402934563346E-2</v>
      </c>
      <c r="BH138" s="27">
        <f t="shared" si="309"/>
        <v>7.7736790167532155E-3</v>
      </c>
      <c r="BI138" s="27">
        <f t="shared" si="310"/>
        <v>-1.244372391781013E-2</v>
      </c>
      <c r="BO138" t="str">
        <f t="shared" si="322"/>
        <v>63 Community and civil enforcement occupations</v>
      </c>
      <c r="BP138" s="27">
        <f t="shared" si="311"/>
        <v>-1.3616979174027488E-2</v>
      </c>
      <c r="BQ138" s="27">
        <f t="shared" si="311"/>
        <v>1.7024713618040976E-2</v>
      </c>
      <c r="BR138" s="27">
        <f t="shared" si="311"/>
        <v>-1.7973585438109341E-2</v>
      </c>
      <c r="BS138" s="27">
        <f t="shared" si="311"/>
        <v>4.9814765268884897E-3</v>
      </c>
      <c r="BT138" s="27">
        <f t="shared" si="312"/>
        <v>-1.2992108911220851E-2</v>
      </c>
      <c r="BZ138" t="str">
        <f t="shared" si="323"/>
        <v>63 Community and civil enforcement occupations</v>
      </c>
      <c r="CA138" s="68">
        <f t="shared" si="313"/>
        <v>-1.8773780751053515E-2</v>
      </c>
      <c r="CB138" s="68">
        <f t="shared" si="313"/>
        <v>1.9126805057114352E-2</v>
      </c>
      <c r="CC138" s="68">
        <f t="shared" si="313"/>
        <v>-2.219275146426819E-2</v>
      </c>
      <c r="CD138" s="68">
        <f t="shared" si="313"/>
        <v>-1.3867025861727514E-2</v>
      </c>
      <c r="CE138" s="68">
        <f t="shared" si="314"/>
        <v>-3.6059777325995704E-2</v>
      </c>
      <c r="CK138" t="str">
        <f t="shared" si="324"/>
        <v>63 Community and civil enforcement occupations</v>
      </c>
      <c r="CL138" s="68">
        <f t="shared" si="315"/>
        <v>-2.0572569028289592E-2</v>
      </c>
      <c r="CM138" s="68">
        <f t="shared" si="315"/>
        <v>1.3664690837259096E-2</v>
      </c>
      <c r="CN138" s="68">
        <f t="shared" si="315"/>
        <v>-2.5586614672509535E-2</v>
      </c>
      <c r="CO138" s="68">
        <f t="shared" si="315"/>
        <v>-7.5993359096796585E-3</v>
      </c>
      <c r="CP138" s="68">
        <f t="shared" si="316"/>
        <v>-3.3185950582189191E-2</v>
      </c>
    </row>
    <row r="139" spans="1:94" x14ac:dyDescent="0.25">
      <c r="A139" t="str">
        <f t="shared" si="298"/>
        <v>71 Sales occupations</v>
      </c>
      <c r="B139" s="27">
        <f t="shared" si="299"/>
        <v>7.1441172281254614E-3</v>
      </c>
      <c r="C139" s="27">
        <f t="shared" si="299"/>
        <v>-7.2273266200690162E-3</v>
      </c>
      <c r="D139" s="27">
        <f t="shared" si="299"/>
        <v>9.7188272606938131E-3</v>
      </c>
      <c r="E139" s="27">
        <f t="shared" si="299"/>
        <v>2.5853704917202062E-2</v>
      </c>
      <c r="F139" s="27">
        <f t="shared" si="300"/>
        <v>3.5572532177895876E-2</v>
      </c>
      <c r="L139" t="str">
        <f t="shared" si="317"/>
        <v>71 Sales occupations</v>
      </c>
      <c r="M139" s="27">
        <f t="shared" si="301"/>
        <v>0.19660637341662957</v>
      </c>
      <c r="N139" s="27">
        <f t="shared" si="301"/>
        <v>-7.279018229011669E-3</v>
      </c>
      <c r="O139" s="27">
        <f t="shared" si="301"/>
        <v>0.29415871303134355</v>
      </c>
      <c r="P139" s="27">
        <f t="shared" si="301"/>
        <v>0.90243200129135337</v>
      </c>
      <c r="Q139" s="27">
        <f t="shared" si="302"/>
        <v>1.196590714322697</v>
      </c>
      <c r="W139" t="str">
        <f t="shared" si="318"/>
        <v>71 Sales occupations</v>
      </c>
      <c r="X139" s="27">
        <f t="shared" si="303"/>
        <v>-0.35509253607295976</v>
      </c>
      <c r="Y139" s="27">
        <f t="shared" si="303"/>
        <v>0.50164778124717335</v>
      </c>
      <c r="Z139" s="27">
        <f t="shared" si="303"/>
        <v>0.30318456063079502</v>
      </c>
      <c r="AA139" s="27">
        <f t="shared" si="303"/>
        <v>1.2494302292726962</v>
      </c>
      <c r="AB139" s="27">
        <f t="shared" si="304"/>
        <v>1.5526147899034912</v>
      </c>
      <c r="AH139" t="str">
        <f t="shared" si="319"/>
        <v>71 Sales occupations</v>
      </c>
      <c r="AI139" s="27">
        <f t="shared" si="305"/>
        <v>-0.14606607042261621</v>
      </c>
      <c r="AJ139" s="27">
        <f t="shared" si="305"/>
        <v>0.20411350195852651</v>
      </c>
      <c r="AK139" s="27">
        <f t="shared" si="305"/>
        <v>2.7674890474302938E-3</v>
      </c>
      <c r="AL139" s="27">
        <f t="shared" si="305"/>
        <v>0.30114005986154635</v>
      </c>
      <c r="AM139" s="27">
        <f t="shared" si="306"/>
        <v>0.30390754890897664</v>
      </c>
      <c r="AS139" t="str">
        <f t="shared" si="320"/>
        <v>71 Sales occupations</v>
      </c>
      <c r="AT139" s="27">
        <f t="shared" si="307"/>
        <v>-0.15450284928715907</v>
      </c>
      <c r="AU139" s="27">
        <f t="shared" si="307"/>
        <v>0.11933185672039748</v>
      </c>
      <c r="AV139" s="27">
        <f t="shared" si="307"/>
        <v>-3.2866175508405648E-2</v>
      </c>
      <c r="AW139" s="27">
        <f t="shared" si="307"/>
        <v>0.19005620525706601</v>
      </c>
      <c r="AX139" s="27">
        <f t="shared" si="308"/>
        <v>0.15719002974866036</v>
      </c>
      <c r="BD139" t="str">
        <f t="shared" si="321"/>
        <v>71 Sales occupations</v>
      </c>
      <c r="BE139" s="27">
        <f t="shared" si="309"/>
        <v>-0.19268747244401752</v>
      </c>
      <c r="BF139" s="27">
        <f t="shared" si="309"/>
        <v>2.9585587830100124E-2</v>
      </c>
      <c r="BG139" s="27">
        <f t="shared" si="309"/>
        <v>-0.13946318495335674</v>
      </c>
      <c r="BH139" s="27">
        <f t="shared" si="309"/>
        <v>2.3681159431454546E-4</v>
      </c>
      <c r="BI139" s="27">
        <f t="shared" si="310"/>
        <v>-0.1392263733590422</v>
      </c>
      <c r="BO139" t="str">
        <f t="shared" si="322"/>
        <v>71 Sales occupations</v>
      </c>
      <c r="BP139" s="27">
        <f t="shared" si="311"/>
        <v>-0.85938241358955736</v>
      </c>
      <c r="BQ139" s="27">
        <f t="shared" si="311"/>
        <v>-1.0091102145916508</v>
      </c>
      <c r="BR139" s="27">
        <f t="shared" si="311"/>
        <v>-0.42528558655345439</v>
      </c>
      <c r="BS139" s="27">
        <f t="shared" si="311"/>
        <v>-1.4829704442458169</v>
      </c>
      <c r="BT139" s="27">
        <f t="shared" si="312"/>
        <v>-1.9082560307992713</v>
      </c>
      <c r="BZ139" t="str">
        <f t="shared" si="323"/>
        <v>71 Sales occupations</v>
      </c>
      <c r="CA139" s="68">
        <f t="shared" si="313"/>
        <v>-0.85447751890865042</v>
      </c>
      <c r="CB139" s="68">
        <f t="shared" si="313"/>
        <v>-0.44878527935576074</v>
      </c>
      <c r="CC139" s="68">
        <f t="shared" si="313"/>
        <v>-1.1184973615660212</v>
      </c>
      <c r="CD139" s="68">
        <f t="shared" si="313"/>
        <v>-2.1698470483765555</v>
      </c>
      <c r="CE139" s="68">
        <f t="shared" si="314"/>
        <v>-3.2883444099425767</v>
      </c>
      <c r="CK139" t="str">
        <f t="shared" si="324"/>
        <v>71 Sales occupations</v>
      </c>
      <c r="CL139" s="68">
        <f t="shared" si="315"/>
        <v>-1.1290863142345553</v>
      </c>
      <c r="CM139" s="68">
        <f t="shared" si="315"/>
        <v>7.3275422251354083E-2</v>
      </c>
      <c r="CN139" s="68">
        <f t="shared" si="315"/>
        <v>-1.3583746566226753</v>
      </c>
      <c r="CO139" s="68">
        <f t="shared" si="315"/>
        <v>-0.77357617799063316</v>
      </c>
      <c r="CP139" s="68">
        <f t="shared" si="316"/>
        <v>-2.1319508346133085</v>
      </c>
    </row>
    <row r="140" spans="1:94" x14ac:dyDescent="0.25">
      <c r="A140" t="str">
        <f t="shared" si="298"/>
        <v>72 Customer service occupations</v>
      </c>
      <c r="B140" s="27">
        <f t="shared" si="299"/>
        <v>5.5805340738108548E-3</v>
      </c>
      <c r="C140" s="27">
        <f t="shared" si="299"/>
        <v>1.8818561917077689E-3</v>
      </c>
      <c r="D140" s="27">
        <f t="shared" si="299"/>
        <v>2.6856624007304777E-2</v>
      </c>
      <c r="E140" s="27">
        <f t="shared" si="299"/>
        <v>5.2618832959158826E-2</v>
      </c>
      <c r="F140" s="27">
        <f t="shared" si="300"/>
        <v>7.9475456966463603E-2</v>
      </c>
      <c r="L140" t="str">
        <f t="shared" si="317"/>
        <v>72 Customer service occupations</v>
      </c>
      <c r="M140" s="27">
        <f t="shared" si="301"/>
        <v>9.1840090173073208E-2</v>
      </c>
      <c r="N140" s="27">
        <f t="shared" si="301"/>
        <v>2.2635854201464689E-2</v>
      </c>
      <c r="O140" s="27">
        <f t="shared" si="301"/>
        <v>0.24225286520925349</v>
      </c>
      <c r="P140" s="27">
        <f t="shared" si="301"/>
        <v>0.48232937214906579</v>
      </c>
      <c r="Q140" s="27">
        <f t="shared" si="302"/>
        <v>0.72458223735831928</v>
      </c>
      <c r="W140" t="str">
        <f t="shared" si="318"/>
        <v>72 Customer service occupations</v>
      </c>
      <c r="X140" s="27">
        <f t="shared" si="303"/>
        <v>-7.4444549014927475E-2</v>
      </c>
      <c r="Y140" s="27">
        <f t="shared" si="303"/>
        <v>0.23674681700737921</v>
      </c>
      <c r="Z140" s="27">
        <f t="shared" si="303"/>
        <v>0.53240116280201022</v>
      </c>
      <c r="AA140" s="27">
        <f t="shared" si="303"/>
        <v>0.66715794184299404</v>
      </c>
      <c r="AB140" s="27">
        <f t="shared" si="304"/>
        <v>1.1995591046450043</v>
      </c>
      <c r="AH140" t="str">
        <f t="shared" si="319"/>
        <v>72 Customer service occupations</v>
      </c>
      <c r="AI140" s="27">
        <f t="shared" si="305"/>
        <v>8.9623235592195538E-5</v>
      </c>
      <c r="AJ140" s="27">
        <f t="shared" si="305"/>
        <v>9.9642902542570744E-2</v>
      </c>
      <c r="AK140" s="27">
        <f t="shared" si="305"/>
        <v>0.19426895929931132</v>
      </c>
      <c r="AL140" s="27">
        <f t="shared" si="305"/>
        <v>0.28130741683584959</v>
      </c>
      <c r="AM140" s="27">
        <f t="shared" si="306"/>
        <v>0.47557637613516091</v>
      </c>
      <c r="AS140" t="str">
        <f t="shared" si="320"/>
        <v>72 Customer service occupations</v>
      </c>
      <c r="AT140" s="27">
        <f t="shared" si="307"/>
        <v>-0.11866602441069862</v>
      </c>
      <c r="AU140" s="27">
        <f t="shared" si="307"/>
        <v>6.9884540324501865E-2</v>
      </c>
      <c r="AV140" s="27">
        <f t="shared" si="307"/>
        <v>0.23559432475876585</v>
      </c>
      <c r="AW140" s="27">
        <f t="shared" si="307"/>
        <v>0.19346246213254936</v>
      </c>
      <c r="AX140" s="27">
        <f t="shared" si="308"/>
        <v>0.42905678689131521</v>
      </c>
      <c r="BD140" t="str">
        <f t="shared" si="321"/>
        <v>72 Customer service occupations</v>
      </c>
      <c r="BE140" s="27">
        <f t="shared" si="309"/>
        <v>3.0989615773431733E-2</v>
      </c>
      <c r="BF140" s="27">
        <f t="shared" si="309"/>
        <v>2.5241877681749791E-2</v>
      </c>
      <c r="BG140" s="27">
        <f t="shared" si="309"/>
        <v>0.66213631616672108</v>
      </c>
      <c r="BH140" s="27">
        <f t="shared" si="309"/>
        <v>0.33799252665745838</v>
      </c>
      <c r="BI140" s="27">
        <f t="shared" si="310"/>
        <v>1.0001288428241795</v>
      </c>
      <c r="BO140" t="str">
        <f t="shared" si="322"/>
        <v>72 Customer service occupations</v>
      </c>
      <c r="BP140" s="27">
        <f t="shared" si="311"/>
        <v>4.6383408823997385E-2</v>
      </c>
      <c r="BQ140" s="27">
        <f t="shared" si="311"/>
        <v>-0.26821333280672244</v>
      </c>
      <c r="BR140" s="27">
        <f t="shared" si="311"/>
        <v>0.682194913323388</v>
      </c>
      <c r="BS140" s="27">
        <f t="shared" si="311"/>
        <v>-0.11505774341495778</v>
      </c>
      <c r="BT140" s="27">
        <f t="shared" si="312"/>
        <v>0.56713716990843022</v>
      </c>
      <c r="BZ140" t="str">
        <f t="shared" si="323"/>
        <v>72 Customer service occupations</v>
      </c>
      <c r="CA140" s="68">
        <f t="shared" si="313"/>
        <v>-0.21512714301710711</v>
      </c>
      <c r="CB140" s="68">
        <f t="shared" si="313"/>
        <v>-1.7368197369815874E-2</v>
      </c>
      <c r="CC140" s="68">
        <f t="shared" si="313"/>
        <v>7.0951818496270302E-2</v>
      </c>
      <c r="CD140" s="68">
        <f t="shared" si="313"/>
        <v>-0.20945248502264913</v>
      </c>
      <c r="CE140" s="68">
        <f t="shared" si="314"/>
        <v>-0.13850066652637882</v>
      </c>
      <c r="CK140" t="str">
        <f t="shared" si="324"/>
        <v>72 Customer service occupations</v>
      </c>
      <c r="CL140" s="68">
        <f t="shared" si="315"/>
        <v>-7.3344815257435636E-3</v>
      </c>
      <c r="CM140" s="68">
        <f t="shared" si="315"/>
        <v>9.9376726358581635E-2</v>
      </c>
      <c r="CN140" s="68">
        <f t="shared" si="315"/>
        <v>2.1560093317850137E-2</v>
      </c>
      <c r="CO140" s="68">
        <f t="shared" si="315"/>
        <v>-3.5429196728986256E-2</v>
      </c>
      <c r="CP140" s="68">
        <f t="shared" si="316"/>
        <v>-1.3869103411136119E-2</v>
      </c>
    </row>
    <row r="141" spans="1:94" x14ac:dyDescent="0.25">
      <c r="A141" t="str">
        <f t="shared" si="298"/>
        <v>81 Process, plant and machine operatives</v>
      </c>
      <c r="B141" s="27">
        <f t="shared" si="299"/>
        <v>9.7287115717271631E-3</v>
      </c>
      <c r="C141" s="27">
        <f t="shared" si="299"/>
        <v>-4.2079463684529805E-3</v>
      </c>
      <c r="D141" s="27">
        <f t="shared" si="299"/>
        <v>2.1020393008328045E-2</v>
      </c>
      <c r="E141" s="27">
        <f t="shared" si="299"/>
        <v>6.5527011472629265E-2</v>
      </c>
      <c r="F141" s="27">
        <f t="shared" si="300"/>
        <v>8.6547404480957324E-2</v>
      </c>
      <c r="L141" t="str">
        <f t="shared" si="317"/>
        <v>81 Process, plant and machine operatives</v>
      </c>
      <c r="M141" s="27">
        <f t="shared" si="301"/>
        <v>7.0522949349580699E-2</v>
      </c>
      <c r="N141" s="27">
        <f t="shared" si="301"/>
        <v>-4.1426555451412106E-2</v>
      </c>
      <c r="O141" s="27">
        <f t="shared" si="301"/>
        <v>0.16973303570914677</v>
      </c>
      <c r="P141" s="27">
        <f t="shared" si="301"/>
        <v>0.35136717118889965</v>
      </c>
      <c r="Q141" s="27">
        <f t="shared" si="302"/>
        <v>0.52110020689804637</v>
      </c>
      <c r="W141" t="str">
        <f t="shared" si="318"/>
        <v>81 Process, plant and machine operatives</v>
      </c>
      <c r="X141" s="27">
        <f t="shared" si="303"/>
        <v>-1.8087873251814823E-2</v>
      </c>
      <c r="Y141" s="27">
        <f t="shared" si="303"/>
        <v>-2.9611893289725244E-2</v>
      </c>
      <c r="Z141" s="27">
        <f t="shared" si="303"/>
        <v>0.38743108458111764</v>
      </c>
      <c r="AA141" s="27">
        <f t="shared" si="303"/>
        <v>0.7045574259450994</v>
      </c>
      <c r="AB141" s="27">
        <f t="shared" si="304"/>
        <v>1.091988510526217</v>
      </c>
      <c r="AH141" t="str">
        <f t="shared" si="319"/>
        <v>81 Process, plant and machine operatives</v>
      </c>
      <c r="AI141" s="27">
        <f t="shared" si="305"/>
        <v>-9.5839516817974868E-3</v>
      </c>
      <c r="AJ141" s="27">
        <f t="shared" si="305"/>
        <v>-1.5639004955103286E-2</v>
      </c>
      <c r="AK141" s="27">
        <f t="shared" si="305"/>
        <v>0.13100469091823036</v>
      </c>
      <c r="AL141" s="27">
        <f t="shared" si="305"/>
        <v>0.13424136641021805</v>
      </c>
      <c r="AM141" s="27">
        <f t="shared" si="306"/>
        <v>0.26524605732844841</v>
      </c>
      <c r="AS141" t="str">
        <f t="shared" si="320"/>
        <v>81 Process, plant and machine operatives</v>
      </c>
      <c r="AT141" s="27">
        <f t="shared" si="307"/>
        <v>-8.7655246365230921E-2</v>
      </c>
      <c r="AU141" s="27">
        <f t="shared" si="307"/>
        <v>-6.0410207339193889E-2</v>
      </c>
      <c r="AV141" s="27">
        <f t="shared" si="307"/>
        <v>0.2889796860202728</v>
      </c>
      <c r="AW141" s="27">
        <f t="shared" si="307"/>
        <v>0.31470081447872256</v>
      </c>
      <c r="AX141" s="27">
        <f t="shared" si="308"/>
        <v>0.60368050049899535</v>
      </c>
      <c r="BD141" t="str">
        <f t="shared" si="321"/>
        <v>81 Process, plant and machine operatives</v>
      </c>
      <c r="BE141" s="27">
        <f t="shared" si="309"/>
        <v>0.41772248576840898</v>
      </c>
      <c r="BF141" s="27">
        <f t="shared" si="309"/>
        <v>-0.76227938221637626</v>
      </c>
      <c r="BG141" s="27">
        <f t="shared" si="309"/>
        <v>1.7189229337838405</v>
      </c>
      <c r="BH141" s="27">
        <f t="shared" si="309"/>
        <v>0.89643644972865566</v>
      </c>
      <c r="BI141" s="27">
        <f t="shared" si="310"/>
        <v>2.6153593835124962</v>
      </c>
      <c r="BO141" t="str">
        <f t="shared" si="322"/>
        <v>81 Process, plant and machine operatives</v>
      </c>
      <c r="BP141" s="27">
        <f t="shared" si="311"/>
        <v>0.28642914023174981</v>
      </c>
      <c r="BQ141" s="27">
        <f t="shared" si="311"/>
        <v>-1.3626582586323694</v>
      </c>
      <c r="BR141" s="27">
        <f t="shared" si="311"/>
        <v>2.083021387515493</v>
      </c>
      <c r="BS141" s="27">
        <f t="shared" si="311"/>
        <v>-0.11101586890048321</v>
      </c>
      <c r="BT141" s="27">
        <f t="shared" si="312"/>
        <v>1.9720055186150098</v>
      </c>
      <c r="BZ141" t="str">
        <f t="shared" si="323"/>
        <v>81 Process, plant and machine operatives</v>
      </c>
      <c r="CA141" s="68">
        <f t="shared" si="313"/>
        <v>-0.58206239689837869</v>
      </c>
      <c r="CB141" s="68">
        <f t="shared" si="313"/>
        <v>-0.75573772443216036</v>
      </c>
      <c r="CC141" s="68">
        <f t="shared" si="313"/>
        <v>0.30248411385310003</v>
      </c>
      <c r="CD141" s="68">
        <f t="shared" si="313"/>
        <v>-2.3625661164799165</v>
      </c>
      <c r="CE141" s="68">
        <f t="shared" si="314"/>
        <v>-2.0600820026268165</v>
      </c>
      <c r="CK141" t="str">
        <f t="shared" si="324"/>
        <v>81 Process, plant and machine operatives</v>
      </c>
      <c r="CL141" s="68">
        <f t="shared" si="315"/>
        <v>-1.3676366222196923</v>
      </c>
      <c r="CM141" s="68">
        <f t="shared" si="315"/>
        <v>-0.38882914173960836</v>
      </c>
      <c r="CN141" s="68">
        <f t="shared" si="315"/>
        <v>-1.4757543040200318</v>
      </c>
      <c r="CO141" s="68">
        <f t="shared" si="315"/>
        <v>-0.62332477507294848</v>
      </c>
      <c r="CP141" s="68">
        <f t="shared" si="316"/>
        <v>-2.0990790790929803</v>
      </c>
    </row>
    <row r="142" spans="1:94" x14ac:dyDescent="0.25">
      <c r="A142" t="str">
        <f t="shared" si="298"/>
        <v>82 Transport and mobile machine drivers and operatives</v>
      </c>
      <c r="B142" s="27">
        <f t="shared" si="299"/>
        <v>2.2201614311519256E-2</v>
      </c>
      <c r="C142" s="27">
        <f t="shared" si="299"/>
        <v>-1.546600774732175E-2</v>
      </c>
      <c r="D142" s="27">
        <f t="shared" si="299"/>
        <v>3.4582053293523575E-2</v>
      </c>
      <c r="E142" s="27">
        <f t="shared" si="299"/>
        <v>7.0316189901041354E-2</v>
      </c>
      <c r="F142" s="27">
        <f t="shared" si="300"/>
        <v>0.10489824319456492</v>
      </c>
      <c r="L142" t="str">
        <f t="shared" si="317"/>
        <v>82 Transport and mobile machine drivers and operatives</v>
      </c>
      <c r="M142" s="27">
        <f t="shared" si="301"/>
        <v>8.8072711409067833E-2</v>
      </c>
      <c r="N142" s="27">
        <f t="shared" si="301"/>
        <v>-6.7493066517676004E-2</v>
      </c>
      <c r="O142" s="27">
        <f t="shared" si="301"/>
        <v>0.15498121061934711</v>
      </c>
      <c r="P142" s="27">
        <f t="shared" si="301"/>
        <v>0.31580862248389524</v>
      </c>
      <c r="Q142" s="27">
        <f t="shared" si="302"/>
        <v>0.47078983310324235</v>
      </c>
      <c r="W142" t="str">
        <f t="shared" si="318"/>
        <v>82 Transport and mobile machine drivers and operatives</v>
      </c>
      <c r="X142" s="27">
        <f t="shared" si="303"/>
        <v>9.4973122882620498E-2</v>
      </c>
      <c r="Y142" s="27">
        <f t="shared" si="303"/>
        <v>-1.7663095757815883E-2</v>
      </c>
      <c r="Z142" s="27">
        <f t="shared" si="303"/>
        <v>0.30962550981407222</v>
      </c>
      <c r="AA142" s="27">
        <f t="shared" si="303"/>
        <v>0.51371791745041628</v>
      </c>
      <c r="AB142" s="27">
        <f t="shared" si="304"/>
        <v>0.8233434272644885</v>
      </c>
      <c r="AH142" t="str">
        <f t="shared" si="319"/>
        <v>82 Transport and mobile machine drivers and operatives</v>
      </c>
      <c r="AI142" s="27">
        <f t="shared" si="305"/>
        <v>3.145097246108014E-2</v>
      </c>
      <c r="AJ142" s="27">
        <f t="shared" si="305"/>
        <v>-3.7335873518432094E-2</v>
      </c>
      <c r="AK142" s="27">
        <f t="shared" si="305"/>
        <v>0.13545152895011853</v>
      </c>
      <c r="AL142" s="27">
        <f t="shared" si="305"/>
        <v>0.16996820600556906</v>
      </c>
      <c r="AM142" s="27">
        <f t="shared" si="306"/>
        <v>0.30541973495568758</v>
      </c>
      <c r="AS142" t="str">
        <f t="shared" si="320"/>
        <v>82 Transport and mobile machine drivers and operatives</v>
      </c>
      <c r="AT142" s="27">
        <f t="shared" si="307"/>
        <v>-7.5891367764495676E-3</v>
      </c>
      <c r="AU142" s="27">
        <f t="shared" si="307"/>
        <v>-4.0429468868771634E-2</v>
      </c>
      <c r="AV142" s="27">
        <f t="shared" si="307"/>
        <v>0.17961767316541288</v>
      </c>
      <c r="AW142" s="27">
        <f t="shared" si="307"/>
        <v>0.23022860987617255</v>
      </c>
      <c r="AX142" s="27">
        <f t="shared" si="308"/>
        <v>0.40984628304158544</v>
      </c>
      <c r="BD142" t="str">
        <f t="shared" si="321"/>
        <v>82 Transport and mobile machine drivers and operatives</v>
      </c>
      <c r="BE142" s="27">
        <f t="shared" si="309"/>
        <v>0.53422745586122522</v>
      </c>
      <c r="BF142" s="27">
        <f t="shared" si="309"/>
        <v>-0.39807499555797765</v>
      </c>
      <c r="BG142" s="27">
        <f t="shared" si="309"/>
        <v>0.96786842925069827</v>
      </c>
      <c r="BH142" s="27">
        <f t="shared" si="309"/>
        <v>0.9642500935739946</v>
      </c>
      <c r="BI142" s="27">
        <f t="shared" si="310"/>
        <v>1.9321185228246929</v>
      </c>
      <c r="BO142" t="str">
        <f t="shared" si="322"/>
        <v>82 Transport and mobile machine drivers and operatives</v>
      </c>
      <c r="BP142" s="27">
        <f t="shared" si="311"/>
        <v>0.80247602945048602</v>
      </c>
      <c r="BQ142" s="27">
        <f t="shared" si="311"/>
        <v>-1.3416728163048788</v>
      </c>
      <c r="BR142" s="27">
        <f t="shared" si="311"/>
        <v>1.7437714942279037</v>
      </c>
      <c r="BS142" s="27">
        <f t="shared" si="311"/>
        <v>0.55314355309032237</v>
      </c>
      <c r="BT142" s="27">
        <f t="shared" si="312"/>
        <v>2.296915047318226</v>
      </c>
      <c r="BZ142" t="str">
        <f t="shared" si="323"/>
        <v>82 Transport and mobile machine drivers and operatives</v>
      </c>
      <c r="CA142" s="68">
        <f t="shared" si="313"/>
        <v>-0.71132265719233434</v>
      </c>
      <c r="CB142" s="68">
        <f t="shared" si="313"/>
        <v>-0.60183383782651312</v>
      </c>
      <c r="CC142" s="68">
        <f t="shared" si="313"/>
        <v>-0.33801917372819368</v>
      </c>
      <c r="CD142" s="68">
        <f t="shared" si="313"/>
        <v>-1.1670875561665905</v>
      </c>
      <c r="CE142" s="68">
        <f t="shared" si="314"/>
        <v>-1.5051067298947842</v>
      </c>
      <c r="CK142" t="str">
        <f t="shared" si="324"/>
        <v>82 Transport and mobile machine drivers and operatives</v>
      </c>
      <c r="CL142" s="68">
        <f t="shared" si="315"/>
        <v>-0.14208252299287683</v>
      </c>
      <c r="CM142" s="68">
        <f t="shared" si="315"/>
        <v>-0.36394426989068762</v>
      </c>
      <c r="CN142" s="68">
        <f t="shared" si="315"/>
        <v>-1.2924779620378093</v>
      </c>
      <c r="CO142" s="68">
        <f t="shared" si="315"/>
        <v>-1.3433473237534903</v>
      </c>
      <c r="CP142" s="68">
        <f t="shared" si="316"/>
        <v>-2.6358252857912996</v>
      </c>
    </row>
    <row r="143" spans="1:94" x14ac:dyDescent="0.25">
      <c r="A143" t="str">
        <f t="shared" si="298"/>
        <v>91 Elementary trades and related occupations</v>
      </c>
      <c r="B143" s="27">
        <f t="shared" si="299"/>
        <v>-1.2368103773711047E-5</v>
      </c>
      <c r="C143" s="27">
        <f t="shared" si="299"/>
        <v>-7.4627587463089908E-5</v>
      </c>
      <c r="D143" s="27">
        <f t="shared" si="299"/>
        <v>6.2342473016847269E-5</v>
      </c>
      <c r="E143" s="27">
        <f t="shared" si="299"/>
        <v>2.3748240323938363E-4</v>
      </c>
      <c r="F143" s="27">
        <f t="shared" si="300"/>
        <v>2.998248762562309E-4</v>
      </c>
      <c r="L143" t="str">
        <f t="shared" si="317"/>
        <v>91 Elementary trades and related occupations</v>
      </c>
      <c r="M143" s="27">
        <f t="shared" si="301"/>
        <v>2.2534807605755866E-2</v>
      </c>
      <c r="N143" s="27">
        <f t="shared" si="301"/>
        <v>-3.4503543694227562E-2</v>
      </c>
      <c r="O143" s="27">
        <f t="shared" si="301"/>
        <v>3.1706363547702315E-2</v>
      </c>
      <c r="P143" s="27">
        <f t="shared" si="301"/>
        <v>0.10564422340162147</v>
      </c>
      <c r="Q143" s="27">
        <f t="shared" si="302"/>
        <v>0.13735058694932378</v>
      </c>
      <c r="W143" t="str">
        <f t="shared" si="318"/>
        <v>91 Elementary trades and related occupations</v>
      </c>
      <c r="X143" s="27">
        <f t="shared" si="303"/>
        <v>-7.8135159122655395E-2</v>
      </c>
      <c r="Y143" s="27">
        <f t="shared" si="303"/>
        <v>-2.1844772936904511E-2</v>
      </c>
      <c r="Z143" s="27">
        <f t="shared" si="303"/>
        <v>1.1260809783248449E-2</v>
      </c>
      <c r="AA143" s="27">
        <f t="shared" si="303"/>
        <v>6.2411299010690036E-2</v>
      </c>
      <c r="AB143" s="27">
        <f t="shared" si="304"/>
        <v>7.3672108793938484E-2</v>
      </c>
      <c r="AH143" t="str">
        <f t="shared" si="319"/>
        <v>91 Elementary trades and related occupations</v>
      </c>
      <c r="AI143" s="27">
        <f t="shared" si="305"/>
        <v>-4.962306620756507E-2</v>
      </c>
      <c r="AJ143" s="27">
        <f t="shared" si="305"/>
        <v>-2.0263088613428154E-2</v>
      </c>
      <c r="AK143" s="27">
        <f t="shared" si="305"/>
        <v>1.003432166674334E-2</v>
      </c>
      <c r="AL143" s="27">
        <f t="shared" si="305"/>
        <v>5.8463829190259525E-2</v>
      </c>
      <c r="AM143" s="27">
        <f t="shared" si="306"/>
        <v>6.8498150857002865E-2</v>
      </c>
      <c r="AS143" t="str">
        <f t="shared" si="320"/>
        <v>91 Elementary trades and related occupations</v>
      </c>
      <c r="AT143" s="27">
        <f t="shared" si="307"/>
        <v>-5.0459726397602905E-2</v>
      </c>
      <c r="AU143" s="27">
        <f t="shared" si="307"/>
        <v>-1.9712501812386152E-3</v>
      </c>
      <c r="AV143" s="27">
        <f t="shared" si="307"/>
        <v>1.1291520389573123E-2</v>
      </c>
      <c r="AW143" s="27">
        <f t="shared" si="307"/>
        <v>4.3609075933950692E-2</v>
      </c>
      <c r="AX143" s="27">
        <f t="shared" si="308"/>
        <v>5.4900596323523815E-2</v>
      </c>
      <c r="BD143" t="str">
        <f t="shared" si="321"/>
        <v>91 Elementary trades and related occupations</v>
      </c>
      <c r="BE143" s="27">
        <f t="shared" si="309"/>
        <v>-4.5420611746693318E-2</v>
      </c>
      <c r="BF143" s="27">
        <f t="shared" si="309"/>
        <v>-0.18989212430103208</v>
      </c>
      <c r="BG143" s="27">
        <f t="shared" si="309"/>
        <v>2.5631303767526203E-2</v>
      </c>
      <c r="BH143" s="27">
        <f t="shared" si="309"/>
        <v>0.23490631406743123</v>
      </c>
      <c r="BI143" s="27">
        <f t="shared" si="310"/>
        <v>0.26053761783495744</v>
      </c>
      <c r="BO143" t="str">
        <f t="shared" si="322"/>
        <v>91 Elementary trades and related occupations</v>
      </c>
      <c r="BP143" s="27">
        <f t="shared" si="311"/>
        <v>-0.21488954797166127</v>
      </c>
      <c r="BQ143" s="27">
        <f t="shared" si="311"/>
        <v>-0.39630408113242765</v>
      </c>
      <c r="BR143" s="27">
        <f t="shared" si="311"/>
        <v>-5.1559389671387734E-2</v>
      </c>
      <c r="BS143" s="27">
        <f t="shared" si="311"/>
        <v>6.5776584350789591E-3</v>
      </c>
      <c r="BT143" s="27">
        <f t="shared" si="312"/>
        <v>-4.4981731236308775E-2</v>
      </c>
      <c r="BZ143" t="str">
        <f t="shared" si="323"/>
        <v>91 Elementary trades and related occupations</v>
      </c>
      <c r="CA143" s="68">
        <f t="shared" si="313"/>
        <v>-0.55546839254088765</v>
      </c>
      <c r="CB143" s="68">
        <f t="shared" si="313"/>
        <v>-0.42728968791839961</v>
      </c>
      <c r="CC143" s="68">
        <f t="shared" si="313"/>
        <v>-0.56082263338535254</v>
      </c>
      <c r="CD143" s="68">
        <f t="shared" si="313"/>
        <v>-0.52313753631429405</v>
      </c>
      <c r="CE143" s="68">
        <f t="shared" si="314"/>
        <v>-1.0839601696996466</v>
      </c>
      <c r="CK143" t="str">
        <f t="shared" si="324"/>
        <v>91 Elementary trades and related occupations</v>
      </c>
      <c r="CL143" s="68">
        <f t="shared" si="315"/>
        <v>-0.68392896158802907</v>
      </c>
      <c r="CM143" s="68">
        <f t="shared" si="315"/>
        <v>-9.7013779669693045E-2</v>
      </c>
      <c r="CN143" s="68">
        <f t="shared" si="315"/>
        <v>-0.80167539785203301</v>
      </c>
      <c r="CO143" s="68">
        <f t="shared" si="315"/>
        <v>-0.44278601750992996</v>
      </c>
      <c r="CP143" s="68">
        <f t="shared" si="316"/>
        <v>-1.2444614153619629</v>
      </c>
    </row>
    <row r="144" spans="1:94" x14ac:dyDescent="0.25">
      <c r="A144" t="str">
        <f t="shared" si="298"/>
        <v>92 Elementary administration and service occupations</v>
      </c>
      <c r="B144" s="27">
        <f t="shared" si="299"/>
        <v>7.9742846081867665E-3</v>
      </c>
      <c r="C144" s="27">
        <f t="shared" si="299"/>
        <v>-4.0937558205452335E-3</v>
      </c>
      <c r="D144" s="27">
        <f t="shared" si="299"/>
        <v>1.5549176848268828E-2</v>
      </c>
      <c r="E144" s="27">
        <f t="shared" si="299"/>
        <v>3.1888544898405848E-2</v>
      </c>
      <c r="F144" s="27">
        <f t="shared" si="300"/>
        <v>4.7437721746674676E-2</v>
      </c>
      <c r="L144" t="str">
        <f t="shared" ref="L144" si="325">A144</f>
        <v>92 Elementary administration and service occupations</v>
      </c>
      <c r="M144" s="27">
        <f t="shared" si="301"/>
        <v>0.20687270944604996</v>
      </c>
      <c r="N144" s="27">
        <f t="shared" si="301"/>
        <v>-3.874660573496036E-2</v>
      </c>
      <c r="O144" s="27">
        <f t="shared" si="301"/>
        <v>0.37747843750313337</v>
      </c>
      <c r="P144" s="27">
        <f t="shared" si="301"/>
        <v>1.0522611831469768</v>
      </c>
      <c r="Q144" s="27">
        <f t="shared" si="302"/>
        <v>1.4297396206501101</v>
      </c>
      <c r="W144" t="str">
        <f t="shared" ref="W144" si="326">A144</f>
        <v>92 Elementary administration and service occupations</v>
      </c>
      <c r="X144" s="27">
        <f t="shared" si="303"/>
        <v>-1.7738354136576984E-2</v>
      </c>
      <c r="Y144" s="27">
        <f t="shared" si="303"/>
        <v>0.24877006287816883</v>
      </c>
      <c r="Z144" s="27">
        <f t="shared" si="303"/>
        <v>0.63062822741842428</v>
      </c>
      <c r="AA144" s="27">
        <f t="shared" si="303"/>
        <v>0.95773739938904257</v>
      </c>
      <c r="AB144" s="27">
        <f t="shared" si="304"/>
        <v>1.5883656268074668</v>
      </c>
      <c r="AH144" t="str">
        <f t="shared" ref="AH144" si="327">L144</f>
        <v>92 Elementary administration and service occupations</v>
      </c>
      <c r="AI144" s="27">
        <f t="shared" si="305"/>
        <v>-4.0993836073471845E-2</v>
      </c>
      <c r="AJ144" s="27">
        <f t="shared" si="305"/>
        <v>0.11283483393112204</v>
      </c>
      <c r="AK144" s="27">
        <f t="shared" si="305"/>
        <v>0.25894508582744669</v>
      </c>
      <c r="AL144" s="27">
        <f t="shared" si="305"/>
        <v>0.55550481940088092</v>
      </c>
      <c r="AM144" s="27">
        <f t="shared" si="306"/>
        <v>0.81444990522832761</v>
      </c>
      <c r="AS144" t="str">
        <f t="shared" ref="AS144" si="328">W144</f>
        <v>92 Elementary administration and service occupations</v>
      </c>
      <c r="AT144" s="27">
        <f t="shared" si="307"/>
        <v>-4.0248141347080768E-2</v>
      </c>
      <c r="AU144" s="27">
        <f t="shared" si="307"/>
        <v>0.11309167436996659</v>
      </c>
      <c r="AV144" s="27">
        <f t="shared" si="307"/>
        <v>0.2494249968321991</v>
      </c>
      <c r="AW144" s="27">
        <f t="shared" si="307"/>
        <v>0.4745929117081491</v>
      </c>
      <c r="AX144" s="27">
        <f t="shared" si="308"/>
        <v>0.7240179085403482</v>
      </c>
      <c r="BD144" t="str">
        <f t="shared" ref="BD144" si="329">AH144</f>
        <v>92 Elementary administration and service occupations</v>
      </c>
      <c r="BE144" s="27">
        <f t="shared" si="309"/>
        <v>-0.17097703575955414</v>
      </c>
      <c r="BF144" s="27">
        <f t="shared" si="309"/>
        <v>-0.49361711400518438</v>
      </c>
      <c r="BG144" s="27">
        <f t="shared" si="309"/>
        <v>0.28270750604257255</v>
      </c>
      <c r="BH144" s="27">
        <f t="shared" si="309"/>
        <v>-0.41888079965854885</v>
      </c>
      <c r="BI144" s="27">
        <f t="shared" si="310"/>
        <v>-0.1361732936159763</v>
      </c>
      <c r="BO144" t="str">
        <f t="shared" ref="BO144" si="330">AS144</f>
        <v>92 Elementary administration and service occupations</v>
      </c>
      <c r="BP144" s="27">
        <f t="shared" si="311"/>
        <v>0.40914407071263881</v>
      </c>
      <c r="BQ144" s="27">
        <f t="shared" si="311"/>
        <v>-2.3530984210682764</v>
      </c>
      <c r="BR144" s="27">
        <f t="shared" si="311"/>
        <v>1.4524330954418794</v>
      </c>
      <c r="BS144" s="27">
        <f t="shared" si="311"/>
        <v>-0.97443994999239791</v>
      </c>
      <c r="BT144" s="27">
        <f t="shared" si="312"/>
        <v>0.47799314544948146</v>
      </c>
      <c r="BZ144" t="str">
        <f t="shared" ref="BZ144" si="331">BD144</f>
        <v>92 Elementary administration and service occupations</v>
      </c>
      <c r="CA144" s="68">
        <f t="shared" si="313"/>
        <v>-1.0610054211182529</v>
      </c>
      <c r="CB144" s="68">
        <f t="shared" si="313"/>
        <v>-1.49506631261516</v>
      </c>
      <c r="CC144" s="68">
        <f t="shared" si="313"/>
        <v>-0.70173796131321531</v>
      </c>
      <c r="CD144" s="68">
        <f t="shared" si="313"/>
        <v>-2.9550592790350922</v>
      </c>
      <c r="CE144" s="68">
        <f t="shared" si="314"/>
        <v>-3.6567972403483076</v>
      </c>
      <c r="CK144" t="str">
        <f t="shared" ref="CK144" si="332">BO144</f>
        <v>92 Elementary administration and service occupations</v>
      </c>
      <c r="CL144" s="68">
        <f t="shared" si="315"/>
        <v>-2.9986123572456371</v>
      </c>
      <c r="CM144" s="68">
        <f t="shared" si="315"/>
        <v>-0.12311470675147529</v>
      </c>
      <c r="CN144" s="68">
        <f t="shared" si="315"/>
        <v>-2.1578915312356006</v>
      </c>
      <c r="CO144" s="68">
        <f t="shared" si="315"/>
        <v>-1.6150300681242891</v>
      </c>
      <c r="CP144" s="68">
        <f t="shared" si="316"/>
        <v>-3.7729215993598899</v>
      </c>
    </row>
    <row r="145" spans="1:94" x14ac:dyDescent="0.25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5">
      <c r="A146" s="24" t="str">
        <f t="shared" ref="A146" si="333">A35</f>
        <v>All occupations</v>
      </c>
      <c r="B146" s="29">
        <f>C35-B35</f>
        <v>1.9995293611995084</v>
      </c>
      <c r="C146" s="29">
        <f>D35-C35</f>
        <v>-0.21553204421025551</v>
      </c>
      <c r="D146" s="29">
        <f>E35-D35</f>
        <v>2.0848669076695296</v>
      </c>
      <c r="E146" s="29">
        <f>F35-E35</f>
        <v>4.3080306522278935</v>
      </c>
      <c r="F146" s="29">
        <f t="shared" ref="F146" si="334">F35-D35</f>
        <v>6.3928975598974231</v>
      </c>
      <c r="L146" s="24" t="str">
        <f t="shared" ref="L146" si="335">L35</f>
        <v>All occupations</v>
      </c>
      <c r="M146" s="29">
        <f>N35-M35</f>
        <v>13.600133224150774</v>
      </c>
      <c r="N146" s="29">
        <f t="shared" ref="N146" si="336">O35-N35</f>
        <v>-5.8283865415234004E-2</v>
      </c>
      <c r="O146" s="29">
        <f>P35-O35</f>
        <v>12.901465936893558</v>
      </c>
      <c r="P146" s="29">
        <f>Q35-P35</f>
        <v>28.440018672936695</v>
      </c>
      <c r="Q146" s="29">
        <f>Q35-O35</f>
        <v>41.341484609830253</v>
      </c>
      <c r="W146" s="24" t="str">
        <f t="shared" ref="W146" si="337">W35</f>
        <v>All occupations</v>
      </c>
      <c r="X146" s="29">
        <f>Y35-X35</f>
        <v>-1.7564874443543061</v>
      </c>
      <c r="Y146" s="29">
        <f t="shared" ref="Y146" si="338">Z35-Y35</f>
        <v>9.1190602599203174</v>
      </c>
      <c r="Z146" s="29">
        <f>AA35-Z35</f>
        <v>6.4442607044089328</v>
      </c>
      <c r="AA146" s="29">
        <f>AB35-AA35</f>
        <v>14.611810885967444</v>
      </c>
      <c r="AB146" s="29">
        <f>AB35-Z35</f>
        <v>21.056071590376376</v>
      </c>
      <c r="AH146" s="24" t="str">
        <f t="shared" ref="AH146" si="339">AH35</f>
        <v>All occupations</v>
      </c>
      <c r="AI146" s="29">
        <f>AJ35-AI35</f>
        <v>-2.2644546807822721</v>
      </c>
      <c r="AJ146" s="29">
        <f t="shared" ref="AJ146" si="340">AK35-AJ35</f>
        <v>2.8291544534335209</v>
      </c>
      <c r="AK146" s="29">
        <f>AL35-AK35</f>
        <v>-0.70450971085363534</v>
      </c>
      <c r="AL146" s="29">
        <f>AM35-AL35</f>
        <v>2.3366867953370338</v>
      </c>
      <c r="AM146" s="29">
        <f>AM35-AK35</f>
        <v>1.6321770844833985</v>
      </c>
      <c r="AS146" s="24" t="str">
        <f t="shared" ref="AS146" si="341">AS35</f>
        <v>All occupations</v>
      </c>
      <c r="AT146" s="29">
        <f>AU35-AT35</f>
        <v>-1.8475076220083828</v>
      </c>
      <c r="AU146" s="29">
        <f t="shared" ref="AU146" si="342">AV35-AU35</f>
        <v>2.1931512976818262</v>
      </c>
      <c r="AV146" s="29">
        <f>AW35-AV35</f>
        <v>1.0037041826775095</v>
      </c>
      <c r="AW146" s="29">
        <f>AX35-AW35</f>
        <v>3.8794933483532432</v>
      </c>
      <c r="AX146" s="29">
        <f>AX35-AV35</f>
        <v>4.8831975310307527</v>
      </c>
      <c r="BD146" s="24" t="str">
        <f t="shared" ref="BD146" si="343">BD35</f>
        <v>All occupations</v>
      </c>
      <c r="BE146" s="29">
        <f>BF35-BE35</f>
        <v>8.5430028066193842</v>
      </c>
      <c r="BF146" s="29">
        <f t="shared" ref="BF146" si="344">BG35-BF35</f>
        <v>-5.3566777072895775</v>
      </c>
      <c r="BG146" s="29">
        <f>BH35-BG35</f>
        <v>4.8273664352935555</v>
      </c>
      <c r="BH146" s="29">
        <f>BI35-BH35</f>
        <v>1.0508276618292314</v>
      </c>
      <c r="BI146" s="29">
        <f>BI35-BG35</f>
        <v>5.8781940971227868</v>
      </c>
      <c r="BO146" s="24" t="str">
        <f t="shared" ref="BO146" si="345">BO35</f>
        <v>All occupations</v>
      </c>
      <c r="BP146" s="29">
        <f>BQ35-BP35</f>
        <v>2.9756707996707519</v>
      </c>
      <c r="BQ146" s="29">
        <f t="shared" ref="BQ146" si="346">BR35-BQ35</f>
        <v>-15.712653795459545</v>
      </c>
      <c r="BR146" s="29">
        <f>BS35-BR35</f>
        <v>5.500473897509508</v>
      </c>
      <c r="BS146" s="29">
        <f>BT35-BS35</f>
        <v>-13.186980401955978</v>
      </c>
      <c r="BT146" s="29">
        <f>BT35-BR35</f>
        <v>-7.68650650444647</v>
      </c>
      <c r="BZ146" s="24" t="str">
        <f t="shared" ref="BZ146" si="347">BZ35</f>
        <v>All occupations</v>
      </c>
      <c r="CA146" s="70">
        <f>CB35-CA35</f>
        <v>-8.2520948680830486</v>
      </c>
      <c r="CB146" s="70">
        <f t="shared" ref="CB146" si="348">CC35-CB35</f>
        <v>-5.9561446979443247</v>
      </c>
      <c r="CC146" s="70">
        <f>CD35-CC35</f>
        <v>-8.2451844167689785</v>
      </c>
      <c r="CD146" s="70">
        <f>CE35-CD35</f>
        <v>-19.859308050331542</v>
      </c>
      <c r="CE146" s="70">
        <f>CE35-CC35</f>
        <v>-28.104492467100521</v>
      </c>
      <c r="CK146" s="24" t="str">
        <f t="shared" ref="CK146" si="349">CK35</f>
        <v>All occupations</v>
      </c>
      <c r="CL146" s="70">
        <f>CM35-CL35</f>
        <v>-8.6287915764126026</v>
      </c>
      <c r="CM146" s="70">
        <f t="shared" ref="CM146" si="350">CN35-CM35</f>
        <v>-0.57907390071651932</v>
      </c>
      <c r="CN146" s="70">
        <f>CO35-CN35</f>
        <v>-11.87844393683023</v>
      </c>
      <c r="CO146" s="70">
        <f>CP35-CO35</f>
        <v>-7.7645795643640856</v>
      </c>
      <c r="CP146" s="70">
        <f>CP35-CN35</f>
        <v>-19.643023501194314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91" customWidth="1"/>
    <col min="2" max="4" width="11.7265625" style="91" customWidth="1"/>
    <col min="5" max="5" width="14.7265625" style="91" customWidth="1"/>
    <col min="6" max="8" width="11.7265625" style="91" customWidth="1"/>
    <col min="9" max="9" width="16.54296875" style="91" customWidth="1"/>
    <col min="10" max="11" width="11.7265625" style="91" customWidth="1"/>
    <col min="12" max="12" width="2.7265625" style="91" customWidth="1"/>
    <col min="13" max="22" width="11.7265625" style="91" customWidth="1"/>
    <col min="23" max="23" width="2.7265625" style="91" customWidth="1"/>
    <col min="24" max="32" width="11.7265625" style="91" customWidth="1"/>
    <col min="33" max="33" width="12.81640625" style="91" customWidth="1"/>
    <col min="34" max="16384" width="9.1796875" style="91"/>
  </cols>
  <sheetData>
    <row r="1" spans="1:33" ht="15.5" x14ac:dyDescent="0.35">
      <c r="A1" s="19" t="str">
        <f>CONCATENATE("Basic Table 3  Occupation by Qualification in ",A$6,", ",Info!B5)</f>
        <v>Basic Table 3  Occupation by Qualification in 2020, Black Country</v>
      </c>
    </row>
    <row r="2" spans="1:33" ht="14" x14ac:dyDescent="0.3">
      <c r="A2" s="365" t="s">
        <v>525</v>
      </c>
    </row>
    <row r="3" spans="1:33" x14ac:dyDescent="0.25">
      <c r="AG3" s="92"/>
    </row>
    <row r="4" spans="1:33" x14ac:dyDescent="0.25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5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0.5" x14ac:dyDescent="0.3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69">
        <f>'Basic T2'!D8</f>
        <v>0.40211463992171392</v>
      </c>
      <c r="C8" s="69">
        <f>'Basic T2'!O8</f>
        <v>3.7941479027392155</v>
      </c>
      <c r="D8" s="69">
        <f>'Basic T2'!Z8</f>
        <v>9.0617102317223139</v>
      </c>
      <c r="E8" s="69">
        <f>'Basic T2'!AK8</f>
        <v>1.9011556830275471</v>
      </c>
      <c r="F8" s="69">
        <f>'Basic T2'!AV8</f>
        <v>2.6516372773475458</v>
      </c>
      <c r="G8" s="69">
        <f>'Basic T2'!BG8</f>
        <v>6.5904534497367191</v>
      </c>
      <c r="H8" s="69">
        <f>'Basic T2'!BR8</f>
        <v>5.0708515929233204</v>
      </c>
      <c r="I8" s="69">
        <f>'Basic T2'!CC8</f>
        <v>3.8149208320877004</v>
      </c>
      <c r="J8" s="69">
        <f>'Basic T2'!CN8</f>
        <v>1.1712916050525883</v>
      </c>
      <c r="K8" s="309">
        <f>SUM(B8:J8)</f>
        <v>34.458283214558662</v>
      </c>
      <c r="L8" s="97"/>
      <c r="M8" s="97">
        <f t="shared" ref="M8:M33" si="0">B8/B$35*100</f>
        <v>5.6705280194296677</v>
      </c>
      <c r="N8" s="97">
        <f t="shared" ref="N8:N33" si="1">C8/C$35*100</f>
        <v>7.9186199269688462</v>
      </c>
      <c r="O8" s="97">
        <f t="shared" ref="O8:O33" si="2">D8/D$35*100</f>
        <v>9.9541983807185588</v>
      </c>
      <c r="P8" s="97">
        <f t="shared" ref="P8:P33" si="3">E8/E$35*100</f>
        <v>6.8319558511972964</v>
      </c>
      <c r="Q8" s="97">
        <f t="shared" ref="Q8:Q33" si="4">F8/F$35*100</f>
        <v>9.8353550044824161</v>
      </c>
      <c r="R8" s="97">
        <f t="shared" ref="R8:R33" si="5">G8/G$35*100</f>
        <v>6.3094396529831842</v>
      </c>
      <c r="S8" s="97">
        <f t="shared" ref="S8:S33" si="6">H8/H$35*100</f>
        <v>5.1170195509175151</v>
      </c>
      <c r="T8" s="97">
        <f t="shared" ref="T8:T33" si="7">I8/I$35*100</f>
        <v>6.3555358630771206</v>
      </c>
      <c r="U8" s="97">
        <f t="shared" ref="U8:U33" si="8">J8/J$35*100</f>
        <v>3.6844728169069452</v>
      </c>
      <c r="V8" s="97">
        <f t="shared" ref="V8:V33" si="9">K8/K$35*100</f>
        <v>6.9445183163356781</v>
      </c>
      <c r="W8" s="97"/>
      <c r="X8" s="97">
        <f t="shared" ref="X8:X32" si="10">IF($K8&gt;0,B8/$K8*100,0)</f>
        <v>1.1669607490828797</v>
      </c>
      <c r="Y8" s="97">
        <f t="shared" ref="Y8:AG23" si="11">IF($K8&gt;0,C8/$K8*100,0)</f>
        <v>11.010844269618703</v>
      </c>
      <c r="Z8" s="97">
        <f t="shared" si="11"/>
        <v>26.297625378776075</v>
      </c>
      <c r="AA8" s="97">
        <f t="shared" si="11"/>
        <v>5.5172675643466382</v>
      </c>
      <c r="AB8" s="97">
        <f t="shared" si="11"/>
        <v>7.6952100626627455</v>
      </c>
      <c r="AC8" s="97">
        <f t="shared" si="11"/>
        <v>19.125890308290941</v>
      </c>
      <c r="AD8" s="97">
        <f t="shared" si="11"/>
        <v>14.715914781212547</v>
      </c>
      <c r="AE8" s="97">
        <f t="shared" si="11"/>
        <v>11.07112855371707</v>
      </c>
      <c r="AF8" s="97">
        <f>IF($K8&gt;0,J8/$K8*100,0)</f>
        <v>3.3991583322924117</v>
      </c>
      <c r="AG8" s="97">
        <f t="shared" si="11"/>
        <v>100</v>
      </c>
    </row>
    <row r="9" spans="1:33" x14ac:dyDescent="0.25">
      <c r="A9" s="10" t="str">
        <f>name!D5</f>
        <v>12 Other managers and proprietors</v>
      </c>
      <c r="B9" s="69">
        <f>'Basic T2'!D9</f>
        <v>0.13049482101401563</v>
      </c>
      <c r="C9" s="69">
        <f>'Basic T2'!O9</f>
        <v>1.3034627633437299</v>
      </c>
      <c r="D9" s="69">
        <f>'Basic T2'!Z9</f>
        <v>2.8406548428583043</v>
      </c>
      <c r="E9" s="69">
        <f>'Basic T2'!AK9</f>
        <v>0.8485764129150063</v>
      </c>
      <c r="F9" s="69">
        <f>'Basic T2'!AV9</f>
        <v>0.93932857918245216</v>
      </c>
      <c r="G9" s="69">
        <f>'Basic T2'!BG9</f>
        <v>2.2843568184125962</v>
      </c>
      <c r="H9" s="69">
        <f>'Basic T2'!BR9</f>
        <v>2.5186952239648499</v>
      </c>
      <c r="I9" s="69">
        <f>'Basic T2'!CC9</f>
        <v>1.5925012680852835</v>
      </c>
      <c r="J9" s="69">
        <f>'Basic T2'!CN9</f>
        <v>0.74587932734944973</v>
      </c>
      <c r="K9" s="309">
        <f>SUM(B9:J9)</f>
        <v>13.203950057125688</v>
      </c>
      <c r="L9" s="97"/>
      <c r="M9" s="97">
        <f t="shared" si="0"/>
        <v>1.8402079046276401</v>
      </c>
      <c r="N9" s="97">
        <f t="shared" si="1"/>
        <v>2.7204069204639483</v>
      </c>
      <c r="O9" s="97">
        <f t="shared" si="2"/>
        <v>3.1204310349687825</v>
      </c>
      <c r="P9" s="97">
        <f t="shared" si="3"/>
        <v>3.0494275882606336</v>
      </c>
      <c r="Q9" s="97">
        <f t="shared" si="4"/>
        <v>3.4841228553540944</v>
      </c>
      <c r="R9" s="97">
        <f t="shared" si="5"/>
        <v>2.1869529314755609</v>
      </c>
      <c r="S9" s="97">
        <f t="shared" si="6"/>
        <v>2.5416268781789997</v>
      </c>
      <c r="T9" s="97">
        <f t="shared" si="7"/>
        <v>2.6530560834136696</v>
      </c>
      <c r="U9" s="97">
        <f t="shared" si="8"/>
        <v>2.3462749109249339</v>
      </c>
      <c r="V9" s="97">
        <f t="shared" si="9"/>
        <v>2.6610458927608329</v>
      </c>
      <c r="W9" s="97"/>
      <c r="X9" s="97">
        <f t="shared" si="10"/>
        <v>0.98830138291527669</v>
      </c>
      <c r="Y9" s="97">
        <f t="shared" si="11"/>
        <v>9.8717638108627863</v>
      </c>
      <c r="Z9" s="97">
        <f t="shared" si="11"/>
        <v>21.513674548665133</v>
      </c>
      <c r="AA9" s="97">
        <f t="shared" si="11"/>
        <v>6.426686023831639</v>
      </c>
      <c r="AB9" s="97">
        <f t="shared" si="11"/>
        <v>7.1139967594434435</v>
      </c>
      <c r="AC9" s="97">
        <f t="shared" si="11"/>
        <v>17.300556337531834</v>
      </c>
      <c r="AD9" s="97">
        <f t="shared" si="11"/>
        <v>19.075316197561669</v>
      </c>
      <c r="AE9" s="97">
        <f t="shared" si="11"/>
        <v>12.060794392552772</v>
      </c>
      <c r="AF9" s="97">
        <f t="shared" si="11"/>
        <v>5.6489105466354435</v>
      </c>
      <c r="AG9" s="97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69">
        <f>'Basic T2'!D10</f>
        <v>1.2288221919230395</v>
      </c>
      <c r="C10" s="69">
        <f>'Basic T2'!O10</f>
        <v>4.4679255757124636</v>
      </c>
      <c r="D10" s="69">
        <f>'Basic T2'!Z10</f>
        <v>8.2832208886154746</v>
      </c>
      <c r="E10" s="69">
        <f>'Basic T2'!AK10</f>
        <v>0.91840753442355216</v>
      </c>
      <c r="F10" s="69">
        <f>'Basic T2'!AV10</f>
        <v>2.5907536934591509</v>
      </c>
      <c r="G10" s="69">
        <f>'Basic T2'!BG10</f>
        <v>4.1244978391238991</v>
      </c>
      <c r="H10" s="69">
        <f>'Basic T2'!BR10</f>
        <v>2.8178686666048871</v>
      </c>
      <c r="I10" s="69">
        <f>'Basic T2'!CC10</f>
        <v>1.6519689597028775</v>
      </c>
      <c r="J10" s="69">
        <f>'Basic T2'!CN10</f>
        <v>0.60219636547158029</v>
      </c>
      <c r="K10" s="309">
        <f t="shared" ref="K10:K32" si="12">SUM(B10:J10)</f>
        <v>26.685661715036925</v>
      </c>
      <c r="L10" s="97"/>
      <c r="M10" s="97">
        <f t="shared" si="0"/>
        <v>17.328567474074465</v>
      </c>
      <c r="N10" s="97">
        <f t="shared" si="1"/>
        <v>9.3248353524931744</v>
      </c>
      <c r="O10" s="97">
        <f t="shared" si="2"/>
        <v>9.0990355957253897</v>
      </c>
      <c r="P10" s="97">
        <f t="shared" si="3"/>
        <v>3.3003713397088239</v>
      </c>
      <c r="Q10" s="97">
        <f t="shared" si="4"/>
        <v>9.6095278649248712</v>
      </c>
      <c r="R10" s="97">
        <f t="shared" si="5"/>
        <v>3.9486312153303178</v>
      </c>
      <c r="S10" s="97">
        <f t="shared" si="6"/>
        <v>2.8435241684173498</v>
      </c>
      <c r="T10" s="97">
        <f t="shared" si="7"/>
        <v>2.7521273520992633</v>
      </c>
      <c r="U10" s="97">
        <f t="shared" si="8"/>
        <v>1.8942986780141569</v>
      </c>
      <c r="V10" s="97">
        <f t="shared" si="9"/>
        <v>5.3780702134723359</v>
      </c>
      <c r="W10" s="97"/>
      <c r="X10" s="97">
        <f t="shared" si="10"/>
        <v>4.6048031525132416</v>
      </c>
      <c r="Y10" s="97">
        <f t="shared" si="11"/>
        <v>16.742794776547971</v>
      </c>
      <c r="Z10" s="97">
        <f t="shared" si="11"/>
        <v>31.039968118714544</v>
      </c>
      <c r="AA10" s="97">
        <f t="shared" si="11"/>
        <v>3.4415767696929356</v>
      </c>
      <c r="AB10" s="97">
        <f t="shared" si="11"/>
        <v>9.7084109104152514</v>
      </c>
      <c r="AC10" s="97">
        <f t="shared" si="11"/>
        <v>15.455857468206657</v>
      </c>
      <c r="AD10" s="97">
        <f t="shared" si="11"/>
        <v>10.559485826866586</v>
      </c>
      <c r="AE10" s="97">
        <f t="shared" si="11"/>
        <v>6.1904740356204861</v>
      </c>
      <c r="AF10" s="97">
        <f t="shared" si="11"/>
        <v>2.2566289414223246</v>
      </c>
      <c r="AG10" s="97">
        <f t="shared" si="11"/>
        <v>100</v>
      </c>
    </row>
    <row r="11" spans="1:33" x14ac:dyDescent="0.25">
      <c r="A11" s="10" t="str">
        <f>name!D7</f>
        <v>22 Health professionals</v>
      </c>
      <c r="B11" s="69">
        <f>'Basic T2'!D11</f>
        <v>1.716898386190332</v>
      </c>
      <c r="C11" s="69">
        <f>'Basic T2'!O11</f>
        <v>5.2257769020888833</v>
      </c>
      <c r="D11" s="69">
        <f>'Basic T2'!Z11</f>
        <v>9.8304533361184561</v>
      </c>
      <c r="E11" s="69">
        <f>'Basic T2'!AK11</f>
        <v>3.3751206489515146</v>
      </c>
      <c r="F11" s="69">
        <f>'Basic T2'!AV11</f>
        <v>0.63448614872768261</v>
      </c>
      <c r="G11" s="69">
        <f>'Basic T2'!BG11</f>
        <v>2.791747767193117</v>
      </c>
      <c r="H11" s="69">
        <f>'Basic T2'!BR11</f>
        <v>2.0069135379067085</v>
      </c>
      <c r="I11" s="69">
        <f>'Basic T2'!CC11</f>
        <v>0.93874080174198105</v>
      </c>
      <c r="J11" s="69">
        <f>'Basic T2'!CN11</f>
        <v>0.30889333010236442</v>
      </c>
      <c r="K11" s="309">
        <f t="shared" si="12"/>
        <v>26.829030859021039</v>
      </c>
      <c r="L11" s="97"/>
      <c r="M11" s="97">
        <f t="shared" si="0"/>
        <v>24.211305530435958</v>
      </c>
      <c r="N11" s="97">
        <f t="shared" si="1"/>
        <v>10.906517661290763</v>
      </c>
      <c r="O11" s="97">
        <f t="shared" si="2"/>
        <v>10.798655019618854</v>
      </c>
      <c r="P11" s="97">
        <f t="shared" si="3"/>
        <v>12.128767502817393</v>
      </c>
      <c r="Q11" s="97">
        <f t="shared" si="4"/>
        <v>2.3534125770044634</v>
      </c>
      <c r="R11" s="97">
        <f t="shared" si="5"/>
        <v>2.6727089718172872</v>
      </c>
      <c r="S11" s="97">
        <f t="shared" si="6"/>
        <v>2.0251856364325977</v>
      </c>
      <c r="T11" s="97">
        <f t="shared" si="7"/>
        <v>1.5639120952190115</v>
      </c>
      <c r="U11" s="97">
        <f t="shared" si="8"/>
        <v>0.97167014019103048</v>
      </c>
      <c r="V11" s="97">
        <f t="shared" si="9"/>
        <v>5.4069639816323924</v>
      </c>
      <c r="W11" s="97"/>
      <c r="X11" s="97">
        <f t="shared" si="10"/>
        <v>6.3994051638024008</v>
      </c>
      <c r="Y11" s="97">
        <f t="shared" si="11"/>
        <v>19.478068102977186</v>
      </c>
      <c r="Z11" s="97">
        <f t="shared" si="11"/>
        <v>36.641104882896087</v>
      </c>
      <c r="AA11" s="97">
        <f t="shared" si="11"/>
        <v>12.580106477519887</v>
      </c>
      <c r="AB11" s="97">
        <f t="shared" si="11"/>
        <v>2.364923847088356</v>
      </c>
      <c r="AC11" s="97">
        <f t="shared" si="11"/>
        <v>10.405697402425607</v>
      </c>
      <c r="AD11" s="97">
        <f t="shared" si="11"/>
        <v>7.4803802957045713</v>
      </c>
      <c r="AE11" s="97">
        <f t="shared" si="11"/>
        <v>3.4989739535311517</v>
      </c>
      <c r="AF11" s="97">
        <f t="shared" si="11"/>
        <v>1.1513398740547558</v>
      </c>
      <c r="AG11" s="97">
        <f t="shared" si="11"/>
        <v>100</v>
      </c>
    </row>
    <row r="12" spans="1:33" x14ac:dyDescent="0.25">
      <c r="A12" s="10" t="str">
        <f>name!D8</f>
        <v>23 Teaching and other educational professionals</v>
      </c>
      <c r="B12" s="69">
        <f>'Basic T2'!D12</f>
        <v>1.9646321612036162</v>
      </c>
      <c r="C12" s="69">
        <f>'Basic T2'!O12</f>
        <v>11.47388925534997</v>
      </c>
      <c r="D12" s="69">
        <f>'Basic T2'!Z12</f>
        <v>5.6577297443242376</v>
      </c>
      <c r="E12" s="69">
        <f>'Basic T2'!AK12</f>
        <v>0.42561969427254731</v>
      </c>
      <c r="F12" s="69">
        <f>'Basic T2'!AV12</f>
        <v>0.19311574085151217</v>
      </c>
      <c r="G12" s="69">
        <f>'Basic T2'!BG12</f>
        <v>0.8929047094704996</v>
      </c>
      <c r="H12" s="69">
        <f>'Basic T2'!BR12</f>
        <v>0.69471857059087339</v>
      </c>
      <c r="I12" s="69">
        <f>'Basic T2'!CC12</f>
        <v>0.46897455808995336</v>
      </c>
      <c r="J12" s="69">
        <f>'Basic T2'!CN12</f>
        <v>0.21135450634508687</v>
      </c>
      <c r="K12" s="309">
        <f t="shared" si="12"/>
        <v>21.982938940498297</v>
      </c>
      <c r="L12" s="97"/>
      <c r="M12" s="97">
        <f t="shared" si="0"/>
        <v>27.704790156724137</v>
      </c>
      <c r="N12" s="97">
        <f t="shared" si="1"/>
        <v>23.94671225959663</v>
      </c>
      <c r="O12" s="97">
        <f t="shared" si="2"/>
        <v>6.214959739315284</v>
      </c>
      <c r="P12" s="97">
        <f t="shared" si="3"/>
        <v>1.5294986026812414</v>
      </c>
      <c r="Q12" s="97">
        <f t="shared" si="4"/>
        <v>0.71629776985493143</v>
      </c>
      <c r="R12" s="97">
        <f t="shared" si="5"/>
        <v>0.85483167785574155</v>
      </c>
      <c r="S12" s="97">
        <f t="shared" si="6"/>
        <v>0.70104368920203275</v>
      </c>
      <c r="T12" s="97">
        <f t="shared" si="7"/>
        <v>0.78129658622046161</v>
      </c>
      <c r="U12" s="97">
        <f t="shared" si="8"/>
        <v>0.664847190913057</v>
      </c>
      <c r="V12" s="97">
        <f t="shared" si="9"/>
        <v>4.4303113178511415</v>
      </c>
      <c r="W12" s="97"/>
      <c r="X12" s="97">
        <f t="shared" si="10"/>
        <v>8.9370769146078644</v>
      </c>
      <c r="Y12" s="97">
        <f t="shared" si="11"/>
        <v>52.194519060470476</v>
      </c>
      <c r="Z12" s="97">
        <f t="shared" si="11"/>
        <v>25.736912428488921</v>
      </c>
      <c r="AA12" s="97">
        <f t="shared" si="11"/>
        <v>1.9361364530219618</v>
      </c>
      <c r="AB12" s="97">
        <f t="shared" si="11"/>
        <v>0.87848008573477265</v>
      </c>
      <c r="AC12" s="97">
        <f t="shared" si="11"/>
        <v>4.0618077131876884</v>
      </c>
      <c r="AD12" s="97">
        <f t="shared" si="11"/>
        <v>3.160262476601893</v>
      </c>
      <c r="AE12" s="97">
        <f t="shared" si="11"/>
        <v>2.1333569608655925</v>
      </c>
      <c r="AF12" s="97">
        <f t="shared" si="11"/>
        <v>0.96144790702082528</v>
      </c>
      <c r="AG12" s="97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69">
        <f>'Basic T2'!D13</f>
        <v>0.45898318953332035</v>
      </c>
      <c r="C13" s="69">
        <f>'Basic T2'!O13</f>
        <v>5.6874323710150545</v>
      </c>
      <c r="D13" s="69">
        <f>'Basic T2'!Z13</f>
        <v>9.8367788396884102</v>
      </c>
      <c r="E13" s="69">
        <f>'Basic T2'!AK13</f>
        <v>1.0952353304805718</v>
      </c>
      <c r="F13" s="69">
        <f>'Basic T2'!AV13</f>
        <v>1.6226013707608027</v>
      </c>
      <c r="G13" s="69">
        <f>'Basic T2'!BG13</f>
        <v>4.2077584234590555</v>
      </c>
      <c r="H13" s="69">
        <f>'Basic T2'!BR13</f>
        <v>2.6501166859957737</v>
      </c>
      <c r="I13" s="69">
        <f>'Basic T2'!CC13</f>
        <v>1.682820210031621</v>
      </c>
      <c r="J13" s="69">
        <f>'Basic T2'!CN13</f>
        <v>0.64449478869839283</v>
      </c>
      <c r="K13" s="309">
        <f t="shared" si="12"/>
        <v>27.886221209662999</v>
      </c>
      <c r="L13" s="97"/>
      <c r="M13" s="97">
        <f t="shared" si="0"/>
        <v>6.4724752055846446</v>
      </c>
      <c r="N13" s="97">
        <f t="shared" si="1"/>
        <v>11.870021006269402</v>
      </c>
      <c r="O13" s="97">
        <f t="shared" si="2"/>
        <v>10.805603522250602</v>
      </c>
      <c r="P13" s="97">
        <f t="shared" si="3"/>
        <v>3.9358162465679176</v>
      </c>
      <c r="Q13" s="97">
        <f t="shared" si="4"/>
        <v>6.0184930452313088</v>
      </c>
      <c r="R13" s="97">
        <f t="shared" si="5"/>
        <v>4.0283416079977252</v>
      </c>
      <c r="S13" s="97">
        <f t="shared" si="6"/>
        <v>2.6742448770099845</v>
      </c>
      <c r="T13" s="97">
        <f t="shared" si="7"/>
        <v>2.8035245465668077</v>
      </c>
      <c r="U13" s="97">
        <f t="shared" si="8"/>
        <v>2.0273546906287261</v>
      </c>
      <c r="V13" s="97">
        <f t="shared" si="9"/>
        <v>5.6200238635821869</v>
      </c>
      <c r="W13" s="97"/>
      <c r="X13" s="97">
        <f t="shared" si="10"/>
        <v>1.6459138944730012</v>
      </c>
      <c r="Y13" s="97">
        <f t="shared" si="11"/>
        <v>20.395134673335637</v>
      </c>
      <c r="Z13" s="97">
        <f t="shared" si="11"/>
        <v>35.27469270838251</v>
      </c>
      <c r="AA13" s="97">
        <f t="shared" si="11"/>
        <v>3.9275143170027498</v>
      </c>
      <c r="AB13" s="97">
        <f t="shared" si="11"/>
        <v>5.8186491405961691</v>
      </c>
      <c r="AC13" s="97">
        <f t="shared" si="11"/>
        <v>15.089023327409464</v>
      </c>
      <c r="AD13" s="97">
        <f t="shared" si="11"/>
        <v>9.5033194568415311</v>
      </c>
      <c r="AE13" s="97">
        <f t="shared" si="11"/>
        <v>6.0345939214184323</v>
      </c>
      <c r="AF13" s="97">
        <f t="shared" si="11"/>
        <v>2.3111585605405209</v>
      </c>
      <c r="AG13" s="97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69">
        <f>'Basic T2'!D14</f>
        <v>0.13424439512140601</v>
      </c>
      <c r="C14" s="69">
        <f>'Basic T2'!O14</f>
        <v>0.89678256615296614</v>
      </c>
      <c r="D14" s="69">
        <f>'Basic T2'!Z14</f>
        <v>1.9576452759019725</v>
      </c>
      <c r="E14" s="69">
        <f>'Basic T2'!AK14</f>
        <v>0.39801048005971296</v>
      </c>
      <c r="F14" s="69">
        <f>'Basic T2'!AV14</f>
        <v>0.92835823606294898</v>
      </c>
      <c r="G14" s="69">
        <f>'Basic T2'!BG14</f>
        <v>1.6831931149646644</v>
      </c>
      <c r="H14" s="69">
        <f>'Basic T2'!BR14</f>
        <v>1.3714863979673269</v>
      </c>
      <c r="I14" s="69">
        <f>'Basic T2'!CC14</f>
        <v>1.0625642589367763</v>
      </c>
      <c r="J14" s="69">
        <f>'Basic T2'!CN14</f>
        <v>0.32609836183695945</v>
      </c>
      <c r="K14" s="309">
        <f t="shared" si="12"/>
        <v>8.7583830870047326</v>
      </c>
      <c r="L14" s="97"/>
      <c r="M14" s="97">
        <f t="shared" si="0"/>
        <v>1.8930835349230815</v>
      </c>
      <c r="N14" s="97">
        <f t="shared" si="1"/>
        <v>1.8716403473281338</v>
      </c>
      <c r="O14" s="97">
        <f t="shared" si="2"/>
        <v>2.1504538257234689</v>
      </c>
      <c r="P14" s="97">
        <f t="shared" si="3"/>
        <v>1.4302826708812992</v>
      </c>
      <c r="Q14" s="97">
        <f t="shared" si="4"/>
        <v>3.4434320640369553</v>
      </c>
      <c r="R14" s="97">
        <f t="shared" si="5"/>
        <v>1.6114225620712932</v>
      </c>
      <c r="S14" s="97">
        <f t="shared" si="6"/>
        <v>1.3839732012686363</v>
      </c>
      <c r="T14" s="97">
        <f t="shared" si="7"/>
        <v>1.7701980071762073</v>
      </c>
      <c r="U14" s="97">
        <f t="shared" si="8"/>
        <v>1.0257911391520795</v>
      </c>
      <c r="V14" s="97">
        <f t="shared" si="9"/>
        <v>1.7651126549302756</v>
      </c>
      <c r="W14" s="97"/>
      <c r="X14" s="97">
        <f t="shared" si="10"/>
        <v>1.5327531781590071</v>
      </c>
      <c r="Y14" s="97">
        <f t="shared" si="11"/>
        <v>10.239133836056668</v>
      </c>
      <c r="Z14" s="97">
        <f t="shared" si="11"/>
        <v>22.351674463824633</v>
      </c>
      <c r="AA14" s="97">
        <f t="shared" si="11"/>
        <v>4.5443374205709475</v>
      </c>
      <c r="AB14" s="97">
        <f t="shared" si="11"/>
        <v>10.599653233259485</v>
      </c>
      <c r="AC14" s="97">
        <f t="shared" si="11"/>
        <v>19.218080532034566</v>
      </c>
      <c r="AD14" s="97">
        <f t="shared" si="11"/>
        <v>15.659127767570164</v>
      </c>
      <c r="AE14" s="97">
        <f t="shared" si="11"/>
        <v>12.131968291194731</v>
      </c>
      <c r="AF14" s="97">
        <f t="shared" si="11"/>
        <v>3.7232712773298133</v>
      </c>
      <c r="AG14" s="97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69">
        <f>'Basic T2'!D15</f>
        <v>3.8693959952058855E-2</v>
      </c>
      <c r="C15" s="69">
        <f>'Basic T2'!O15</f>
        <v>1.2464310321006769</v>
      </c>
      <c r="D15" s="69">
        <f>'Basic T2'!Z15</f>
        <v>3.4818020837896437</v>
      </c>
      <c r="E15" s="69">
        <f>'Basic T2'!AK15</f>
        <v>1.8365058932421012</v>
      </c>
      <c r="F15" s="69">
        <f>'Basic T2'!AV15</f>
        <v>0.48835617092457639</v>
      </c>
      <c r="G15" s="69">
        <f>'Basic T2'!BG15</f>
        <v>1.9783046826406447</v>
      </c>
      <c r="H15" s="69">
        <f>'Basic T2'!BR15</f>
        <v>1.3982287088146053</v>
      </c>
      <c r="I15" s="69">
        <f>'Basic T2'!CC15</f>
        <v>0.44315824607727017</v>
      </c>
      <c r="J15" s="69">
        <f>'Basic T2'!CN15</f>
        <v>0.12215277790263956</v>
      </c>
      <c r="K15" s="309">
        <f t="shared" si="12"/>
        <v>11.033633555444217</v>
      </c>
      <c r="L15" s="97"/>
      <c r="M15" s="97">
        <f t="shared" si="0"/>
        <v>0.54565330954763602</v>
      </c>
      <c r="N15" s="97">
        <f t="shared" si="1"/>
        <v>2.6013781912030973</v>
      </c>
      <c r="O15" s="97">
        <f t="shared" si="2"/>
        <v>3.8247248894708914</v>
      </c>
      <c r="P15" s="97">
        <f t="shared" si="3"/>
        <v>6.5996316320150044</v>
      </c>
      <c r="Q15" s="97">
        <f t="shared" si="4"/>
        <v>1.8113926632067634</v>
      </c>
      <c r="R15" s="97">
        <f t="shared" si="5"/>
        <v>1.8939507130323239</v>
      </c>
      <c r="S15" s="97">
        <f t="shared" si="6"/>
        <v>1.4109589895400199</v>
      </c>
      <c r="T15" s="97">
        <f t="shared" si="7"/>
        <v>0.73828743765073712</v>
      </c>
      <c r="U15" s="97">
        <f t="shared" si="8"/>
        <v>0.38424982109535383</v>
      </c>
      <c r="V15" s="97">
        <f t="shared" si="9"/>
        <v>2.2236531589346535</v>
      </c>
      <c r="W15" s="97"/>
      <c r="X15" s="97">
        <f t="shared" si="10"/>
        <v>0.35069100090755212</v>
      </c>
      <c r="Y15" s="97">
        <f t="shared" si="11"/>
        <v>11.296650607774287</v>
      </c>
      <c r="Z15" s="97">
        <f t="shared" si="11"/>
        <v>31.556259923746083</v>
      </c>
      <c r="AA15" s="97">
        <f t="shared" si="11"/>
        <v>16.644615611109653</v>
      </c>
      <c r="AB15" s="97">
        <f t="shared" si="11"/>
        <v>4.426068424971497</v>
      </c>
      <c r="AC15" s="97">
        <f t="shared" si="11"/>
        <v>17.92976604397478</v>
      </c>
      <c r="AD15" s="97">
        <f t="shared" si="11"/>
        <v>12.672422931108592</v>
      </c>
      <c r="AE15" s="97">
        <f t="shared" si="11"/>
        <v>4.0164307057180357</v>
      </c>
      <c r="AF15" s="97">
        <f t="shared" si="11"/>
        <v>1.1070947506895126</v>
      </c>
      <c r="AG15" s="97">
        <f t="shared" si="11"/>
        <v>100</v>
      </c>
    </row>
    <row r="16" spans="1:33" x14ac:dyDescent="0.25">
      <c r="A16" s="10" t="str">
        <f>name!D12</f>
        <v>33 Protective service occupations</v>
      </c>
      <c r="B16" s="69">
        <f>'Basic T2'!D16</f>
        <v>2.2556664348817271E-2</v>
      </c>
      <c r="C16" s="69">
        <f>'Basic T2'!O16</f>
        <v>0.26413399935912896</v>
      </c>
      <c r="D16" s="69">
        <f>'Basic T2'!Z16</f>
        <v>1.1289328951745237</v>
      </c>
      <c r="E16" s="69">
        <f>'Basic T2'!AK16</f>
        <v>0.33305814145364371</v>
      </c>
      <c r="F16" s="69">
        <f>'Basic T2'!AV16</f>
        <v>0.26848027271093161</v>
      </c>
      <c r="G16" s="69">
        <f>'Basic T2'!BG16</f>
        <v>0.8830557130197928</v>
      </c>
      <c r="H16" s="69">
        <f>'Basic T2'!BR16</f>
        <v>1.0816361819894651</v>
      </c>
      <c r="I16" s="69">
        <f>'Basic T2'!CC16</f>
        <v>0.58565034146724004</v>
      </c>
      <c r="J16" s="69">
        <f>'Basic T2'!CN16</f>
        <v>0.13269501519398252</v>
      </c>
      <c r="K16" s="309">
        <f t="shared" si="12"/>
        <v>4.7001992247175259</v>
      </c>
      <c r="L16" s="97"/>
      <c r="M16" s="97">
        <f t="shared" si="0"/>
        <v>0.3180888844030661</v>
      </c>
      <c r="N16" s="97">
        <f t="shared" si="1"/>
        <v>0.55126389490645433</v>
      </c>
      <c r="O16" s="97">
        <f t="shared" si="2"/>
        <v>1.2401215344258782</v>
      </c>
      <c r="P16" s="97">
        <f t="shared" si="3"/>
        <v>1.1968712181790049</v>
      </c>
      <c r="Q16" s="97">
        <f t="shared" si="4"/>
        <v>0.99583710651921331</v>
      </c>
      <c r="R16" s="97">
        <f t="shared" si="5"/>
        <v>0.84540263792364667</v>
      </c>
      <c r="S16" s="97">
        <f t="shared" si="6"/>
        <v>1.0914840217260453</v>
      </c>
      <c r="T16" s="97">
        <f t="shared" si="7"/>
        <v>0.97567470263373446</v>
      </c>
      <c r="U16" s="97">
        <f t="shared" si="8"/>
        <v>0.41741200424580155</v>
      </c>
      <c r="V16" s="97">
        <f t="shared" si="9"/>
        <v>0.94725031433623241</v>
      </c>
      <c r="W16" s="97"/>
      <c r="X16" s="97">
        <f t="shared" si="10"/>
        <v>0.47990868621473998</v>
      </c>
      <c r="Y16" s="97">
        <f t="shared" si="11"/>
        <v>5.6196341204026936</v>
      </c>
      <c r="Z16" s="97">
        <f t="shared" si="11"/>
        <v>24.018830717593055</v>
      </c>
      <c r="AA16" s="97">
        <f t="shared" si="11"/>
        <v>7.0860430703053856</v>
      </c>
      <c r="AB16" s="97">
        <f t="shared" si="11"/>
        <v>5.7121041018653163</v>
      </c>
      <c r="AC16" s="97">
        <f t="shared" si="11"/>
        <v>18.787623051719962</v>
      </c>
      <c r="AD16" s="97">
        <f t="shared" si="11"/>
        <v>23.012560325131105</v>
      </c>
      <c r="AE16" s="97">
        <f t="shared" si="11"/>
        <v>12.460117400713724</v>
      </c>
      <c r="AF16" s="97">
        <f t="shared" si="11"/>
        <v>2.8231785260540159</v>
      </c>
      <c r="AG16" s="97">
        <f t="shared" si="11"/>
        <v>100</v>
      </c>
    </row>
    <row r="17" spans="1:33" x14ac:dyDescent="0.25">
      <c r="A17" s="10" t="str">
        <f>name!D13</f>
        <v>34 Culture, media and sports occupations</v>
      </c>
      <c r="B17" s="69">
        <f>'Basic T2'!D17</f>
        <v>7.6044888685729353E-2</v>
      </c>
      <c r="C17" s="69">
        <f>'Basic T2'!O17</f>
        <v>1.333902864452752</v>
      </c>
      <c r="D17" s="69">
        <f>'Basic T2'!Z17</f>
        <v>2.774635479959902</v>
      </c>
      <c r="E17" s="69">
        <f>'Basic T2'!AK17</f>
        <v>0.40163409740402412</v>
      </c>
      <c r="F17" s="69">
        <f>'Basic T2'!AV17</f>
        <v>0.44719092658619553</v>
      </c>
      <c r="G17" s="69">
        <f>'Basic T2'!BG17</f>
        <v>1.3358395018838547</v>
      </c>
      <c r="H17" s="69">
        <f>'Basic T2'!BR17</f>
        <v>0.56955219620906328</v>
      </c>
      <c r="I17" s="69">
        <f>'Basic T2'!CC17</f>
        <v>0.44079325699994654</v>
      </c>
      <c r="J17" s="69">
        <f>'Basic T2'!CN17</f>
        <v>0.28665070173064033</v>
      </c>
      <c r="K17" s="309">
        <f t="shared" si="12"/>
        <v>7.6662439139121075</v>
      </c>
      <c r="L17" s="97"/>
      <c r="M17" s="97">
        <f t="shared" si="0"/>
        <v>1.0723675022396346</v>
      </c>
      <c r="N17" s="97">
        <f t="shared" si="1"/>
        <v>2.7839372828535711</v>
      </c>
      <c r="O17" s="97">
        <f t="shared" si="2"/>
        <v>3.0479094227725776</v>
      </c>
      <c r="P17" s="97">
        <f t="shared" si="3"/>
        <v>1.4433044312447341</v>
      </c>
      <c r="Q17" s="97">
        <f t="shared" si="4"/>
        <v>1.6587040600659766</v>
      </c>
      <c r="R17" s="97">
        <f t="shared" si="5"/>
        <v>1.2788799416440764</v>
      </c>
      <c r="S17" s="97">
        <f t="shared" si="6"/>
        <v>0.5747377279463316</v>
      </c>
      <c r="T17" s="97">
        <f t="shared" si="7"/>
        <v>0.73434744163029797</v>
      </c>
      <c r="U17" s="97">
        <f t="shared" si="8"/>
        <v>0.90170262803721357</v>
      </c>
      <c r="V17" s="97">
        <f t="shared" si="9"/>
        <v>1.5450093942917702</v>
      </c>
      <c r="W17" s="97"/>
      <c r="X17" s="97">
        <f t="shared" si="10"/>
        <v>0.99194454989527481</v>
      </c>
      <c r="Y17" s="97">
        <f t="shared" si="11"/>
        <v>17.399692462590291</v>
      </c>
      <c r="Z17" s="97">
        <f t="shared" si="11"/>
        <v>36.192893301042872</v>
      </c>
      <c r="AA17" s="97">
        <f t="shared" si="11"/>
        <v>5.2389945051861657</v>
      </c>
      <c r="AB17" s="97">
        <f t="shared" si="11"/>
        <v>5.8332467843172582</v>
      </c>
      <c r="AC17" s="97">
        <f t="shared" si="11"/>
        <v>17.424954343804224</v>
      </c>
      <c r="AD17" s="97">
        <f t="shared" si="11"/>
        <v>7.4293513564769817</v>
      </c>
      <c r="AE17" s="97">
        <f t="shared" si="11"/>
        <v>5.7497943184409896</v>
      </c>
      <c r="AF17" s="97">
        <f t="shared" si="11"/>
        <v>3.7391283782459461</v>
      </c>
      <c r="AG17" s="97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69">
        <f>'Basic T2'!D18</f>
        <v>0.32593345516851402</v>
      </c>
      <c r="C18" s="69">
        <f>'Basic T2'!O18</f>
        <v>3.4461216968759119</v>
      </c>
      <c r="D18" s="69">
        <f>'Basic T2'!Z18</f>
        <v>7.2140467664421752</v>
      </c>
      <c r="E18" s="69">
        <f>'Basic T2'!AK18</f>
        <v>2.1818504516021529</v>
      </c>
      <c r="F18" s="69">
        <f>'Basic T2'!AV18</f>
        <v>1.9044679197285828</v>
      </c>
      <c r="G18" s="69">
        <f>'Basic T2'!BG18</f>
        <v>5.6343764426471505</v>
      </c>
      <c r="H18" s="69">
        <f>'Basic T2'!BR18</f>
        <v>4.4367425130193014</v>
      </c>
      <c r="I18" s="69">
        <f>'Basic T2'!CC18</f>
        <v>2.5974272801768752</v>
      </c>
      <c r="J18" s="69">
        <f>'Basic T2'!CN18</f>
        <v>0.97113682335327389</v>
      </c>
      <c r="K18" s="309">
        <f t="shared" si="12"/>
        <v>28.712103349013933</v>
      </c>
      <c r="L18" s="97"/>
      <c r="M18" s="97">
        <f t="shared" si="0"/>
        <v>4.5962385014442741</v>
      </c>
      <c r="N18" s="97">
        <f t="shared" si="1"/>
        <v>7.1922678396222031</v>
      </c>
      <c r="O18" s="97">
        <f t="shared" si="2"/>
        <v>7.924558477886583</v>
      </c>
      <c r="P18" s="97">
        <f t="shared" si="3"/>
        <v>7.8406550775067725</v>
      </c>
      <c r="Q18" s="97">
        <f t="shared" si="4"/>
        <v>7.0639820329859067</v>
      </c>
      <c r="R18" s="97">
        <f t="shared" si="5"/>
        <v>5.3941293141964968</v>
      </c>
      <c r="S18" s="97">
        <f t="shared" si="6"/>
        <v>4.4771371761677941</v>
      </c>
      <c r="T18" s="97">
        <f t="shared" si="7"/>
        <v>4.3272306182734157</v>
      </c>
      <c r="U18" s="97">
        <f t="shared" si="8"/>
        <v>3.0548560338924737</v>
      </c>
      <c r="V18" s="97">
        <f t="shared" si="9"/>
        <v>5.7864672585750592</v>
      </c>
      <c r="W18" s="97"/>
      <c r="X18" s="97">
        <f t="shared" si="10"/>
        <v>1.135177911581694</v>
      </c>
      <c r="Y18" s="97">
        <f t="shared" si="11"/>
        <v>12.00233105525605</v>
      </c>
      <c r="Z18" s="97">
        <f t="shared" si="11"/>
        <v>25.1254555570201</v>
      </c>
      <c r="AA18" s="97">
        <f t="shared" si="11"/>
        <v>7.5990617095528279</v>
      </c>
      <c r="AB18" s="97">
        <f t="shared" si="11"/>
        <v>6.6329794671555771</v>
      </c>
      <c r="AC18" s="97">
        <f t="shared" si="11"/>
        <v>19.623697972098075</v>
      </c>
      <c r="AD18" s="97">
        <f t="shared" si="11"/>
        <v>15.45251651921096</v>
      </c>
      <c r="AE18" s="97">
        <f t="shared" si="11"/>
        <v>9.0464542029662187</v>
      </c>
      <c r="AF18" s="97">
        <f t="shared" si="11"/>
        <v>3.3823256051585155</v>
      </c>
      <c r="AG18" s="97">
        <f t="shared" si="11"/>
        <v>100</v>
      </c>
    </row>
    <row r="19" spans="1:33" x14ac:dyDescent="0.25">
      <c r="A19" s="10" t="str">
        <f>name!D15</f>
        <v>41 Administrative occupations</v>
      </c>
      <c r="B19" s="69">
        <f>'Basic T2'!D19</f>
        <v>0.28037837176089742</v>
      </c>
      <c r="C19" s="69">
        <f>'Basic T2'!O19</f>
        <v>2.9256183633396677</v>
      </c>
      <c r="D19" s="69">
        <f>'Basic T2'!Z19</f>
        <v>9.2235756139023692</v>
      </c>
      <c r="E19" s="69">
        <f>'Basic T2'!AK19</f>
        <v>3.4346213323330841</v>
      </c>
      <c r="F19" s="69">
        <f>'Basic T2'!AV19</f>
        <v>3.1969532295214331</v>
      </c>
      <c r="G19" s="69">
        <f>'Basic T2'!BG19</f>
        <v>9.9112151775198516</v>
      </c>
      <c r="H19" s="69">
        <f>'Basic T2'!BR19</f>
        <v>11.401931318881392</v>
      </c>
      <c r="I19" s="69">
        <f>'Basic T2'!CC19</f>
        <v>4.9099988529902703</v>
      </c>
      <c r="J19" s="69">
        <f>'Basic T2'!CN19</f>
        <v>2.033247315039465</v>
      </c>
      <c r="K19" s="309">
        <f t="shared" si="12"/>
        <v>47.317539575288428</v>
      </c>
      <c r="L19" s="97"/>
      <c r="M19" s="97">
        <f t="shared" si="0"/>
        <v>3.9538312094823675</v>
      </c>
      <c r="N19" s="97">
        <f t="shared" si="1"/>
        <v>6.1059453833947739</v>
      </c>
      <c r="O19" s="97">
        <f t="shared" si="2"/>
        <v>10.132005889896089</v>
      </c>
      <c r="P19" s="97">
        <f t="shared" si="3"/>
        <v>12.342587994010202</v>
      </c>
      <c r="Q19" s="97">
        <f t="shared" si="4"/>
        <v>11.858020783492192</v>
      </c>
      <c r="R19" s="97">
        <f t="shared" si="5"/>
        <v>9.4886056820249127</v>
      </c>
      <c r="S19" s="97">
        <f t="shared" si="6"/>
        <v>11.505741078748439</v>
      </c>
      <c r="T19" s="97">
        <f t="shared" si="7"/>
        <v>8.1799007558356092</v>
      </c>
      <c r="U19" s="97">
        <f t="shared" si="8"/>
        <v>6.3958833393803687</v>
      </c>
      <c r="V19" s="97">
        <f t="shared" si="9"/>
        <v>9.536096683008747</v>
      </c>
      <c r="W19" s="97"/>
      <c r="X19" s="97">
        <f t="shared" si="10"/>
        <v>0.59254638824738248</v>
      </c>
      <c r="Y19" s="97">
        <f t="shared" si="11"/>
        <v>6.1829469359551634</v>
      </c>
      <c r="Z19" s="97">
        <f t="shared" si="11"/>
        <v>19.492931578207795</v>
      </c>
      <c r="AA19" s="97">
        <f t="shared" si="11"/>
        <v>7.2586642567670916</v>
      </c>
      <c r="AB19" s="97">
        <f t="shared" si="11"/>
        <v>6.7563809492559521</v>
      </c>
      <c r="AC19" s="97">
        <f t="shared" si="11"/>
        <v>20.946176125133906</v>
      </c>
      <c r="AD19" s="97">
        <f t="shared" si="11"/>
        <v>24.096627637917265</v>
      </c>
      <c r="AE19" s="97">
        <f t="shared" si="11"/>
        <v>10.376699416455956</v>
      </c>
      <c r="AF19" s="97">
        <f t="shared" si="11"/>
        <v>4.2970267120594912</v>
      </c>
      <c r="AG19" s="97">
        <f t="shared" si="11"/>
        <v>100</v>
      </c>
    </row>
    <row r="20" spans="1:33" x14ac:dyDescent="0.25">
      <c r="A20" s="10" t="str">
        <f>name!D16</f>
        <v>42 Secretarial and related occupations</v>
      </c>
      <c r="B20" s="69">
        <f>'Basic T2'!D20</f>
        <v>2.0592996826313111E-2</v>
      </c>
      <c r="C20" s="69">
        <f>'Basic T2'!O20</f>
        <v>0.47344891711814269</v>
      </c>
      <c r="D20" s="69">
        <f>'Basic T2'!Z20</f>
        <v>1.3748722979682471</v>
      </c>
      <c r="E20" s="69">
        <f>'Basic T2'!AK20</f>
        <v>0.70683547234435118</v>
      </c>
      <c r="F20" s="69">
        <f>'Basic T2'!AV20</f>
        <v>0.55514762100387227</v>
      </c>
      <c r="G20" s="69">
        <f>'Basic T2'!BG20</f>
        <v>1.7795463417217814</v>
      </c>
      <c r="H20" s="69">
        <f>'Basic T2'!BR20</f>
        <v>2.0327402399299297</v>
      </c>
      <c r="I20" s="69">
        <f>'Basic T2'!CC20</f>
        <v>1.6848815725342332</v>
      </c>
      <c r="J20" s="69">
        <f>'Basic T2'!CN20</f>
        <v>0.66032392978035137</v>
      </c>
      <c r="K20" s="309">
        <f t="shared" si="12"/>
        <v>9.2883893892272233</v>
      </c>
      <c r="L20" s="97"/>
      <c r="M20" s="97">
        <f t="shared" si="0"/>
        <v>0.29039769735906362</v>
      </c>
      <c r="N20" s="97">
        <f t="shared" si="1"/>
        <v>0.98811699638458506</v>
      </c>
      <c r="O20" s="97">
        <f t="shared" si="2"/>
        <v>1.5102835173674656</v>
      </c>
      <c r="P20" s="97">
        <f t="shared" si="3"/>
        <v>2.5400701185221259</v>
      </c>
      <c r="Q20" s="97">
        <f t="shared" si="4"/>
        <v>2.0591330417291078</v>
      </c>
      <c r="R20" s="97">
        <f t="shared" si="5"/>
        <v>1.7036673331224446</v>
      </c>
      <c r="S20" s="97">
        <f t="shared" si="6"/>
        <v>2.0512474796490263</v>
      </c>
      <c r="T20" s="97">
        <f t="shared" si="7"/>
        <v>2.8069587104430171</v>
      </c>
      <c r="U20" s="97">
        <f t="shared" si="8"/>
        <v>2.0771476198872283</v>
      </c>
      <c r="V20" s="97">
        <f t="shared" si="9"/>
        <v>1.8719269860633585</v>
      </c>
      <c r="W20" s="97"/>
      <c r="X20" s="97">
        <f t="shared" si="10"/>
        <v>0.22170686394992331</v>
      </c>
      <c r="Y20" s="97">
        <f t="shared" si="11"/>
        <v>5.0972121998594719</v>
      </c>
      <c r="Z20" s="97">
        <f t="shared" si="11"/>
        <v>14.802052760221693</v>
      </c>
      <c r="AA20" s="97">
        <f t="shared" si="11"/>
        <v>7.609882001331111</v>
      </c>
      <c r="AB20" s="97">
        <f t="shared" si="11"/>
        <v>5.9767909993926249</v>
      </c>
      <c r="AC20" s="97">
        <f t="shared" si="11"/>
        <v>19.158825789385176</v>
      </c>
      <c r="AD20" s="97">
        <f t="shared" si="11"/>
        <v>21.884744004030711</v>
      </c>
      <c r="AE20" s="97">
        <f t="shared" si="11"/>
        <v>18.139652655910158</v>
      </c>
      <c r="AF20" s="97">
        <f t="shared" si="11"/>
        <v>7.1091327259191175</v>
      </c>
      <c r="AG20" s="97">
        <f t="shared" si="11"/>
        <v>100</v>
      </c>
    </row>
    <row r="21" spans="1:33" x14ac:dyDescent="0.25">
      <c r="A21" s="10" t="str">
        <f>name!D17</f>
        <v>51 Skilled agricultural and related trades</v>
      </c>
      <c r="B21" s="69">
        <f>'Basic T2'!D21</f>
        <v>6.4725081901144815E-3</v>
      </c>
      <c r="C21" s="69">
        <f>'Basic T2'!O21</f>
        <v>5.1006957805719219E-2</v>
      </c>
      <c r="D21" s="69">
        <f>'Basic T2'!Z21</f>
        <v>0.34400352890645813</v>
      </c>
      <c r="E21" s="69">
        <f>'Basic T2'!AK21</f>
        <v>0.13707085366700361</v>
      </c>
      <c r="F21" s="69">
        <f>'Basic T2'!AV21</f>
        <v>0.27327002686508384</v>
      </c>
      <c r="G21" s="69">
        <f>'Basic T2'!BG21</f>
        <v>0.42666535905657843</v>
      </c>
      <c r="H21" s="69">
        <f>'Basic T2'!BR21</f>
        <v>0.76172764556322814</v>
      </c>
      <c r="I21" s="69">
        <f>'Basic T2'!CC21</f>
        <v>0.7156809434132323</v>
      </c>
      <c r="J21" s="69">
        <f>'Basic T2'!CN21</f>
        <v>0.47001644394319703</v>
      </c>
      <c r="K21" s="309">
        <f t="shared" si="12"/>
        <v>3.1859142674106153</v>
      </c>
      <c r="L21" s="97"/>
      <c r="M21" s="97">
        <f t="shared" si="0"/>
        <v>9.1273819463965913E-2</v>
      </c>
      <c r="N21" s="97">
        <f t="shared" si="1"/>
        <v>0.10645465671035785</v>
      </c>
      <c r="O21" s="97">
        <f t="shared" si="2"/>
        <v>0.37788444817124767</v>
      </c>
      <c r="P21" s="97">
        <f t="shared" si="3"/>
        <v>0.49257513684918186</v>
      </c>
      <c r="Q21" s="97">
        <f t="shared" si="4"/>
        <v>1.0136030856343525</v>
      </c>
      <c r="R21" s="97">
        <f t="shared" si="5"/>
        <v>0.4084725513224628</v>
      </c>
      <c r="S21" s="97">
        <f t="shared" si="6"/>
        <v>0.76866285344674379</v>
      </c>
      <c r="T21" s="97">
        <f t="shared" si="7"/>
        <v>1.1923015188481636</v>
      </c>
      <c r="U21" s="97">
        <f t="shared" si="8"/>
        <v>1.4785069778846611</v>
      </c>
      <c r="V21" s="97">
        <f t="shared" si="9"/>
        <v>0.64207029254900605</v>
      </c>
      <c r="W21" s="97"/>
      <c r="X21" s="97">
        <f t="shared" si="10"/>
        <v>0.20316014954712136</v>
      </c>
      <c r="Y21" s="97">
        <f t="shared" si="11"/>
        <v>1.6010147645051245</v>
      </c>
      <c r="Z21" s="97">
        <f t="shared" si="11"/>
        <v>10.797639234217391</v>
      </c>
      <c r="AA21" s="97">
        <f t="shared" si="11"/>
        <v>4.30240245536831</v>
      </c>
      <c r="AB21" s="97">
        <f t="shared" si="11"/>
        <v>8.5774444610898719</v>
      </c>
      <c r="AC21" s="97">
        <f t="shared" si="11"/>
        <v>13.392242328082327</v>
      </c>
      <c r="AD21" s="97">
        <f t="shared" si="11"/>
        <v>23.909232378130817</v>
      </c>
      <c r="AE21" s="97">
        <f t="shared" si="11"/>
        <v>22.463910932383921</v>
      </c>
      <c r="AF21" s="97">
        <f t="shared" si="11"/>
        <v>14.752953296675109</v>
      </c>
      <c r="AG21" s="97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69">
        <f>'Basic T2'!D22</f>
        <v>1.1528215041746498E-2</v>
      </c>
      <c r="C22" s="69">
        <f>'Basic T2'!O22</f>
        <v>0.35303262568292743</v>
      </c>
      <c r="D22" s="69">
        <f>'Basic T2'!Z22</f>
        <v>0.96488283806357245</v>
      </c>
      <c r="E22" s="69">
        <f>'Basic T2'!AK22</f>
        <v>0.37418590687256814</v>
      </c>
      <c r="F22" s="69">
        <f>'Basic T2'!AV22</f>
        <v>1.796186480932439</v>
      </c>
      <c r="G22" s="69">
        <f>'Basic T2'!BG22</f>
        <v>9.8620255021604315</v>
      </c>
      <c r="H22" s="69">
        <f>'Basic T2'!BR22</f>
        <v>5.7055909426220586</v>
      </c>
      <c r="I22" s="69">
        <f>'Basic T2'!CC22</f>
        <v>2.8156825579285996</v>
      </c>
      <c r="J22" s="69">
        <f>'Basic T2'!CN22</f>
        <v>1.4538823398802427</v>
      </c>
      <c r="K22" s="309">
        <f t="shared" si="12"/>
        <v>23.336997409184587</v>
      </c>
      <c r="L22" s="97"/>
      <c r="M22" s="97">
        <f t="shared" si="0"/>
        <v>0.16256823283270888</v>
      </c>
      <c r="N22" s="97">
        <f t="shared" si="1"/>
        <v>0.73680079329134918</v>
      </c>
      <c r="O22" s="97">
        <f t="shared" si="2"/>
        <v>1.0599141816091857</v>
      </c>
      <c r="P22" s="97">
        <f t="shared" si="3"/>
        <v>1.3446671509944759</v>
      </c>
      <c r="Q22" s="97">
        <f t="shared" si="4"/>
        <v>6.6623485214742857</v>
      </c>
      <c r="R22" s="97">
        <f t="shared" si="5"/>
        <v>9.4415134309989242</v>
      </c>
      <c r="S22" s="97">
        <f t="shared" si="6"/>
        <v>5.7575379338017347</v>
      </c>
      <c r="T22" s="97">
        <f t="shared" si="7"/>
        <v>4.6908369173582232</v>
      </c>
      <c r="U22" s="97">
        <f t="shared" si="8"/>
        <v>4.5734042122066709</v>
      </c>
      <c r="V22" s="97">
        <f t="shared" si="9"/>
        <v>4.7032002420796273</v>
      </c>
      <c r="W22" s="97"/>
      <c r="X22" s="97">
        <f t="shared" si="10"/>
        <v>4.9398878697262977E-2</v>
      </c>
      <c r="Y22" s="97">
        <f t="shared" si="11"/>
        <v>1.5127594158449309</v>
      </c>
      <c r="Z22" s="97">
        <f t="shared" si="11"/>
        <v>4.1345629051826087</v>
      </c>
      <c r="AA22" s="97">
        <f t="shared" si="11"/>
        <v>1.6034021014430171</v>
      </c>
      <c r="AB22" s="97">
        <f t="shared" si="11"/>
        <v>7.6967334290636975</v>
      </c>
      <c r="AC22" s="97">
        <f t="shared" si="11"/>
        <v>42.259187543463064</v>
      </c>
      <c r="AD22" s="97">
        <f t="shared" si="11"/>
        <v>24.448693388364294</v>
      </c>
      <c r="AE22" s="97">
        <f t="shared" si="11"/>
        <v>12.065316323943415</v>
      </c>
      <c r="AF22" s="97">
        <f t="shared" si="11"/>
        <v>6.2299460139977043</v>
      </c>
      <c r="AG22" s="97">
        <f t="shared" si="11"/>
        <v>100</v>
      </c>
    </row>
    <row r="23" spans="1:33" x14ac:dyDescent="0.25">
      <c r="A23" s="10" t="str">
        <f>name!D19</f>
        <v>53 Skilled construction and building trades</v>
      </c>
      <c r="B23" s="69">
        <f>'Basic T2'!D23</f>
        <v>3.4674086733359837E-3</v>
      </c>
      <c r="C23" s="69">
        <f>'Basic T2'!O23</f>
        <v>0.1400095473322128</v>
      </c>
      <c r="D23" s="69">
        <f>'Basic T2'!Z23</f>
        <v>0.4838400243245799</v>
      </c>
      <c r="E23" s="69">
        <f>'Basic T2'!AK23</f>
        <v>0.36878146763466302</v>
      </c>
      <c r="F23" s="69">
        <f>'Basic T2'!AV23</f>
        <v>0.53110023725598698</v>
      </c>
      <c r="G23" s="69">
        <f>'Basic T2'!BG23</f>
        <v>5.6663392976927263</v>
      </c>
      <c r="H23" s="69">
        <f>'Basic T2'!BR23</f>
        <v>5.5840886683597173</v>
      </c>
      <c r="I23" s="69">
        <f>'Basic T2'!CC23</f>
        <v>2.6687277158338927</v>
      </c>
      <c r="J23" s="69">
        <f>'Basic T2'!CN23</f>
        <v>1.9872453518954258</v>
      </c>
      <c r="K23" s="309">
        <f t="shared" si="12"/>
        <v>17.43359971900254</v>
      </c>
      <c r="L23" s="97"/>
      <c r="M23" s="97">
        <f t="shared" si="0"/>
        <v>4.8896598345171099E-2</v>
      </c>
      <c r="N23" s="97">
        <f t="shared" si="1"/>
        <v>0.29220853269065394</v>
      </c>
      <c r="O23" s="97">
        <f t="shared" si="2"/>
        <v>0.5314934447802534</v>
      </c>
      <c r="P23" s="97">
        <f t="shared" si="3"/>
        <v>1.3252458639302587</v>
      </c>
      <c r="Q23" s="97">
        <f t="shared" si="4"/>
        <v>1.9699373745426592</v>
      </c>
      <c r="R23" s="97">
        <f t="shared" si="5"/>
        <v>5.4247292883234914</v>
      </c>
      <c r="S23" s="97">
        <f t="shared" si="6"/>
        <v>5.6349294327466053</v>
      </c>
      <c r="T23" s="97">
        <f t="shared" si="7"/>
        <v>4.4460148593668833</v>
      </c>
      <c r="U23" s="97">
        <f t="shared" si="8"/>
        <v>6.251177288387237</v>
      </c>
      <c r="V23" s="97">
        <f t="shared" si="9"/>
        <v>3.5134644350803392</v>
      </c>
      <c r="W23" s="97"/>
      <c r="X23" s="97">
        <f t="shared" si="10"/>
        <v>1.9889229586684411E-2</v>
      </c>
      <c r="Y23" s="97">
        <f t="shared" si="11"/>
        <v>0.80310176663975519</v>
      </c>
      <c r="Z23" s="97">
        <f t="shared" si="11"/>
        <v>2.7753305807359832</v>
      </c>
      <c r="AA23" s="97">
        <f t="shared" si="11"/>
        <v>2.1153489444448641</v>
      </c>
      <c r="AB23" s="97">
        <f t="shared" si="11"/>
        <v>3.0464175260206892</v>
      </c>
      <c r="AC23" s="97">
        <f t="shared" si="11"/>
        <v>32.50240563637837</v>
      </c>
      <c r="AD23" s="97">
        <f t="shared" si="11"/>
        <v>32.03061191242729</v>
      </c>
      <c r="AE23" s="97">
        <f t="shared" si="11"/>
        <v>15.307955665203165</v>
      </c>
      <c r="AF23" s="97">
        <f t="shared" si="11"/>
        <v>11.398938738563201</v>
      </c>
      <c r="AG23" s="97">
        <f t="shared" si="11"/>
        <v>100</v>
      </c>
    </row>
    <row r="24" spans="1:33" x14ac:dyDescent="0.25">
      <c r="A24" s="10" t="str">
        <f>name!D20</f>
        <v>54 Textiles, printing and other skilled trades</v>
      </c>
      <c r="B24" s="69">
        <f>'Basic T2'!D24</f>
        <v>3.1186021219172549E-2</v>
      </c>
      <c r="C24" s="69">
        <f>'Basic T2'!O24</f>
        <v>0.30057772310758346</v>
      </c>
      <c r="D24" s="69">
        <f>'Basic T2'!Z24</f>
        <v>0.65123166168838897</v>
      </c>
      <c r="E24" s="69">
        <f>'Basic T2'!AK24</f>
        <v>0.25938767461664808</v>
      </c>
      <c r="F24" s="69">
        <f>'Basic T2'!AV24</f>
        <v>0.29159308430417796</v>
      </c>
      <c r="G24" s="69">
        <f>'Basic T2'!BG24</f>
        <v>2.0179638448785147</v>
      </c>
      <c r="H24" s="69">
        <f>'Basic T2'!BR24</f>
        <v>2.0500579323759345</v>
      </c>
      <c r="I24" s="69">
        <f>'Basic T2'!CC24</f>
        <v>1.5818537330810452</v>
      </c>
      <c r="J24" s="69">
        <f>'Basic T2'!CN24</f>
        <v>1.1662675996816274</v>
      </c>
      <c r="K24" s="309">
        <f t="shared" si="12"/>
        <v>8.3501192749530944</v>
      </c>
      <c r="L24" s="97"/>
      <c r="M24" s="97">
        <f t="shared" si="0"/>
        <v>0.43977808709544775</v>
      </c>
      <c r="N24" s="97">
        <f t="shared" si="1"/>
        <v>0.62732418683105595</v>
      </c>
      <c r="O24" s="97">
        <f t="shared" si="2"/>
        <v>0.71537149020258661</v>
      </c>
      <c r="P24" s="97">
        <f t="shared" si="3"/>
        <v>0.93213047050602416</v>
      </c>
      <c r="Q24" s="97">
        <f t="shared" si="4"/>
        <v>1.081566293204463</v>
      </c>
      <c r="R24" s="97">
        <f t="shared" si="5"/>
        <v>1.9319188274778794</v>
      </c>
      <c r="S24" s="97">
        <f t="shared" si="6"/>
        <v>2.068722842356673</v>
      </c>
      <c r="T24" s="97">
        <f t="shared" si="7"/>
        <v>2.6353176312802411</v>
      </c>
      <c r="U24" s="97">
        <f t="shared" si="8"/>
        <v>3.6686690570733997</v>
      </c>
      <c r="V24" s="97">
        <f t="shared" si="9"/>
        <v>1.6828335842338065</v>
      </c>
      <c r="W24" s="97"/>
      <c r="X24" s="97">
        <f t="shared" si="10"/>
        <v>0.37347994911543025</v>
      </c>
      <c r="Y24" s="97">
        <f t="shared" ref="Y24:AG32" si="13">IF($K24&gt;0,C24/$K24*100,0)</f>
        <v>3.5996817914828156</v>
      </c>
      <c r="Z24" s="97">
        <f t="shared" si="13"/>
        <v>7.7990701718694568</v>
      </c>
      <c r="AA24" s="97">
        <f t="shared" si="13"/>
        <v>3.1063948439000613</v>
      </c>
      <c r="AB24" s="97">
        <f t="shared" si="13"/>
        <v>3.4920828637602415</v>
      </c>
      <c r="AC24" s="97">
        <f t="shared" si="13"/>
        <v>24.166886465102024</v>
      </c>
      <c r="AD24" s="97">
        <f t="shared" si="13"/>
        <v>24.551241304124368</v>
      </c>
      <c r="AE24" s="97">
        <f t="shared" si="13"/>
        <v>18.944085479424857</v>
      </c>
      <c r="AF24" s="97">
        <f t="shared" si="13"/>
        <v>13.967077131220723</v>
      </c>
      <c r="AG24" s="97">
        <f t="shared" si="13"/>
        <v>100</v>
      </c>
    </row>
    <row r="25" spans="1:33" x14ac:dyDescent="0.25">
      <c r="A25" s="10" t="str">
        <f>name!D21</f>
        <v>61 Caring personal service occupations</v>
      </c>
      <c r="B25" s="69">
        <f>'Basic T2'!D25</f>
        <v>2.7545890768822964E-2</v>
      </c>
      <c r="C25" s="69">
        <f>'Basic T2'!O25</f>
        <v>1.6584054165240061</v>
      </c>
      <c r="D25" s="69">
        <f>'Basic T2'!Z25</f>
        <v>5.1099599572156196</v>
      </c>
      <c r="E25" s="69">
        <f>'Basic T2'!AK25</f>
        <v>4.2090020440052669</v>
      </c>
      <c r="F25" s="69">
        <f>'Basic T2'!AV25</f>
        <v>2.3443051289833976</v>
      </c>
      <c r="G25" s="69">
        <f>'Basic T2'!BG25</f>
        <v>14.460474639671544</v>
      </c>
      <c r="H25" s="69">
        <f>'Basic T2'!BR25</f>
        <v>9.9932385526142564</v>
      </c>
      <c r="I25" s="69">
        <f>'Basic T2'!CC25</f>
        <v>1.4750451668680997</v>
      </c>
      <c r="J25" s="69">
        <f>'Basic T2'!CN25</f>
        <v>0.52786891399297475</v>
      </c>
      <c r="K25" s="309">
        <f t="shared" si="12"/>
        <v>39.805845710643986</v>
      </c>
      <c r="L25" s="97"/>
      <c r="M25" s="97">
        <f t="shared" si="0"/>
        <v>0.38844580603971435</v>
      </c>
      <c r="N25" s="97">
        <f t="shared" si="1"/>
        <v>3.4611940585655891</v>
      </c>
      <c r="O25" s="97">
        <f t="shared" si="2"/>
        <v>5.6132400872395403</v>
      </c>
      <c r="P25" s="97">
        <f t="shared" si="3"/>
        <v>15.12538736251749</v>
      </c>
      <c r="Q25" s="97">
        <f t="shared" si="4"/>
        <v>8.6954099564646441</v>
      </c>
      <c r="R25" s="97">
        <f t="shared" si="5"/>
        <v>13.843886887046624</v>
      </c>
      <c r="S25" s="97">
        <f t="shared" si="6"/>
        <v>10.08422276094071</v>
      </c>
      <c r="T25" s="97">
        <f t="shared" si="7"/>
        <v>2.4573779824831945</v>
      </c>
      <c r="U25" s="97">
        <f t="shared" si="8"/>
        <v>1.6604905696476699</v>
      </c>
      <c r="V25" s="97">
        <f t="shared" si="9"/>
        <v>8.022234390307819</v>
      </c>
      <c r="W25" s="97"/>
      <c r="X25" s="97">
        <f t="shared" si="10"/>
        <v>6.9200616836680495E-2</v>
      </c>
      <c r="Y25" s="97">
        <f t="shared" si="13"/>
        <v>4.1662358553546639</v>
      </c>
      <c r="Z25" s="97">
        <f t="shared" si="13"/>
        <v>12.837209877063932</v>
      </c>
      <c r="AA25" s="97">
        <f t="shared" si="13"/>
        <v>10.573828966230932</v>
      </c>
      <c r="AB25" s="97">
        <f t="shared" si="13"/>
        <v>5.8893488811281207</v>
      </c>
      <c r="AC25" s="97">
        <f t="shared" si="13"/>
        <v>36.32751517148359</v>
      </c>
      <c r="AD25" s="97">
        <f t="shared" si="13"/>
        <v>25.104952235550893</v>
      </c>
      <c r="AE25" s="97">
        <f t="shared" si="13"/>
        <v>3.7055993674659606</v>
      </c>
      <c r="AF25" s="97">
        <f t="shared" si="13"/>
        <v>1.326109028885232</v>
      </c>
      <c r="AG25" s="97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69">
        <f>'Basic T2'!D26</f>
        <v>1.721080347992732E-2</v>
      </c>
      <c r="C26" s="69">
        <f>'Basic T2'!O26</f>
        <v>0.23045229175617399</v>
      </c>
      <c r="D26" s="69">
        <f>'Basic T2'!Z26</f>
        <v>0.9316710060589849</v>
      </c>
      <c r="E26" s="69">
        <f>'Basic T2'!AK26</f>
        <v>0.62365191174702128</v>
      </c>
      <c r="F26" s="69">
        <f>'Basic T2'!AV26</f>
        <v>0.72244168194773084</v>
      </c>
      <c r="G26" s="69">
        <f>'Basic T2'!BG26</f>
        <v>2.1838987244933259</v>
      </c>
      <c r="H26" s="69">
        <f>'Basic T2'!BR26</f>
        <v>2.3202267500962215</v>
      </c>
      <c r="I26" s="69">
        <f>'Basic T2'!CC26</f>
        <v>1.3866278045761966</v>
      </c>
      <c r="J26" s="69">
        <f>'Basic T2'!CN26</f>
        <v>0.73060391387328727</v>
      </c>
      <c r="K26" s="309">
        <f t="shared" si="12"/>
        <v>9.1467848880288702</v>
      </c>
      <c r="L26" s="97"/>
      <c r="M26" s="97">
        <f t="shared" si="0"/>
        <v>0.2427027859239986</v>
      </c>
      <c r="N26" s="97">
        <f t="shared" si="1"/>
        <v>0.48096810047879329</v>
      </c>
      <c r="O26" s="97">
        <f t="shared" si="2"/>
        <v>1.0234313151406196</v>
      </c>
      <c r="P26" s="97">
        <f t="shared" si="3"/>
        <v>2.2411433033118442</v>
      </c>
      <c r="Q26" s="97">
        <f t="shared" si="4"/>
        <v>2.679653990646476</v>
      </c>
      <c r="R26" s="97">
        <f t="shared" si="5"/>
        <v>2.0907783228433319</v>
      </c>
      <c r="S26" s="97">
        <f t="shared" si="6"/>
        <v>2.3413514328388483</v>
      </c>
      <c r="T26" s="97">
        <f t="shared" si="7"/>
        <v>2.3100774901011931</v>
      </c>
      <c r="U26" s="97">
        <f t="shared" si="8"/>
        <v>2.2982238146162506</v>
      </c>
      <c r="V26" s="97">
        <f t="shared" si="9"/>
        <v>1.8433888535590655</v>
      </c>
      <c r="W26" s="97"/>
      <c r="X26" s="97">
        <f t="shared" si="10"/>
        <v>0.18816232906551106</v>
      </c>
      <c r="Y26" s="97">
        <f t="shared" si="13"/>
        <v>2.5194895755970532</v>
      </c>
      <c r="Z26" s="97">
        <f t="shared" si="13"/>
        <v>10.18577584871748</v>
      </c>
      <c r="AA26" s="97">
        <f t="shared" si="13"/>
        <v>6.8182636782378525</v>
      </c>
      <c r="AB26" s="97">
        <f t="shared" si="13"/>
        <v>7.8983128038055002</v>
      </c>
      <c r="AC26" s="97">
        <f t="shared" si="13"/>
        <v>23.876135180040905</v>
      </c>
      <c r="AD26" s="97">
        <f t="shared" si="13"/>
        <v>25.366582668112024</v>
      </c>
      <c r="AE26" s="97">
        <f t="shared" si="13"/>
        <v>15.159729036494424</v>
      </c>
      <c r="AF26" s="97">
        <f t="shared" si="13"/>
        <v>7.9875488799292436</v>
      </c>
      <c r="AG26" s="97">
        <f t="shared" si="13"/>
        <v>100</v>
      </c>
    </row>
    <row r="27" spans="1:33" x14ac:dyDescent="0.25">
      <c r="A27" s="10" t="str">
        <f>name!D23</f>
        <v>63 Community and civil enforcement occupations</v>
      </c>
      <c r="B27" s="69">
        <f>'Basic T2'!D27</f>
        <v>1.3368234823267688E-3</v>
      </c>
      <c r="C27" s="69">
        <f>'Basic T2'!O27</f>
        <v>1.6562033742458616E-2</v>
      </c>
      <c r="D27" s="69">
        <f>'Basic T2'!Z27</f>
        <v>7.0837531244246119E-2</v>
      </c>
      <c r="E27" s="69">
        <f>'Basic T2'!AK27</f>
        <v>2.1585458754856023E-2</v>
      </c>
      <c r="F27" s="69">
        <f>'Basic T2'!AV27</f>
        <v>2.1172693385943318E-2</v>
      </c>
      <c r="G27" s="69">
        <f>'Basic T2'!BG27</f>
        <v>7.2364790208030216E-2</v>
      </c>
      <c r="H27" s="69">
        <f>'Basic T2'!BR27</f>
        <v>0.11495203119717823</v>
      </c>
      <c r="I27" s="69">
        <f>'Basic T2'!CC27</f>
        <v>9.623663284197867E-2</v>
      </c>
      <c r="J27" s="69">
        <f>'Basic T2'!CN27</f>
        <v>4.2964852679776608E-2</v>
      </c>
      <c r="K27" s="309">
        <f t="shared" si="12"/>
        <v>0.45801284753679455</v>
      </c>
      <c r="L27" s="97"/>
      <c r="M27" s="97">
        <f t="shared" si="0"/>
        <v>1.8851576791736057E-2</v>
      </c>
      <c r="N27" s="97">
        <f t="shared" si="1"/>
        <v>3.4565982609554978E-2</v>
      </c>
      <c r="O27" s="97">
        <f t="shared" si="2"/>
        <v>7.7814322106341982E-2</v>
      </c>
      <c r="P27" s="97">
        <f t="shared" si="3"/>
        <v>7.756908208914931E-2</v>
      </c>
      <c r="Q27" s="97">
        <f t="shared" si="4"/>
        <v>7.853297192296016E-2</v>
      </c>
      <c r="R27" s="97">
        <f t="shared" si="5"/>
        <v>6.9279190013335878E-2</v>
      </c>
      <c r="S27" s="97">
        <f t="shared" si="6"/>
        <v>0.11599862079863001</v>
      </c>
      <c r="T27" s="97">
        <f t="shared" si="7"/>
        <v>0.1603271465621125</v>
      </c>
      <c r="U27" s="97">
        <f t="shared" si="8"/>
        <v>0.13515236607022468</v>
      </c>
      <c r="V27" s="97">
        <f t="shared" si="9"/>
        <v>9.2305196664368067E-2</v>
      </c>
      <c r="W27" s="97"/>
      <c r="X27" s="97">
        <f t="shared" si="10"/>
        <v>0.29187466891294461</v>
      </c>
      <c r="Y27" s="97">
        <f t="shared" si="13"/>
        <v>3.616063136990519</v>
      </c>
      <c r="Z27" s="97">
        <f t="shared" si="13"/>
        <v>15.466276028109752</v>
      </c>
      <c r="AA27" s="97">
        <f t="shared" si="13"/>
        <v>4.7128500588887849</v>
      </c>
      <c r="AB27" s="97">
        <f t="shared" si="13"/>
        <v>4.6227291439117124</v>
      </c>
      <c r="AC27" s="97">
        <f t="shared" si="13"/>
        <v>15.799729330129059</v>
      </c>
      <c r="AD27" s="97">
        <f t="shared" si="13"/>
        <v>25.097992734350871</v>
      </c>
      <c r="AE27" s="97">
        <f t="shared" si="13"/>
        <v>21.011775839813637</v>
      </c>
      <c r="AF27" s="97">
        <f t="shared" si="13"/>
        <v>9.3807090588927231</v>
      </c>
      <c r="AG27" s="97">
        <f t="shared" si="13"/>
        <v>100</v>
      </c>
    </row>
    <row r="28" spans="1:33" x14ac:dyDescent="0.25">
      <c r="A28" s="10" t="str">
        <f>name!D24</f>
        <v>71 Sales occupations</v>
      </c>
      <c r="B28" s="69">
        <f>'Basic T2'!D28</f>
        <v>5.1287922652370276E-2</v>
      </c>
      <c r="C28" s="69">
        <f>'Basic T2'!O28</f>
        <v>0.98037963775967507</v>
      </c>
      <c r="D28" s="69">
        <f>'Basic T2'!Z28</f>
        <v>3.9362445054311559</v>
      </c>
      <c r="E28" s="69">
        <f>'Basic T2'!AK28</f>
        <v>1.3081398810024805</v>
      </c>
      <c r="F28" s="69">
        <f>'Basic T2'!AV28</f>
        <v>1.083501631583806</v>
      </c>
      <c r="G28" s="69">
        <f>'Basic T2'!BG28</f>
        <v>7.7432089335941949</v>
      </c>
      <c r="H28" s="69">
        <f>'Basic T2'!BR28</f>
        <v>7.458609023369581</v>
      </c>
      <c r="I28" s="69">
        <f>'Basic T2'!CC28</f>
        <v>4.7380605103744386</v>
      </c>
      <c r="J28" s="69">
        <f>'Basic T2'!CN28</f>
        <v>2.8923757794811418</v>
      </c>
      <c r="K28" s="309">
        <f t="shared" si="12"/>
        <v>30.191807825248844</v>
      </c>
      <c r="L28" s="97"/>
      <c r="M28" s="97">
        <f t="shared" si="0"/>
        <v>0.72325047035150891</v>
      </c>
      <c r="N28" s="97">
        <f t="shared" si="1"/>
        <v>2.0461125750932165</v>
      </c>
      <c r="O28" s="97">
        <f t="shared" si="2"/>
        <v>4.3239253606797332</v>
      </c>
      <c r="P28" s="97">
        <f t="shared" si="3"/>
        <v>4.7009058721415267</v>
      </c>
      <c r="Q28" s="97">
        <f t="shared" si="4"/>
        <v>4.0188842137649212</v>
      </c>
      <c r="R28" s="97">
        <f t="shared" si="5"/>
        <v>7.4130421919457694</v>
      </c>
      <c r="S28" s="97">
        <f t="shared" si="6"/>
        <v>7.5265165023750029</v>
      </c>
      <c r="T28" s="97">
        <f t="shared" si="7"/>
        <v>7.8934569865333373</v>
      </c>
      <c r="U28" s="97">
        <f t="shared" si="8"/>
        <v>9.0984003384023531</v>
      </c>
      <c r="V28" s="97">
        <f t="shared" si="9"/>
        <v>6.0846781350134913</v>
      </c>
      <c r="W28" s="97"/>
      <c r="X28" s="97">
        <f t="shared" si="10"/>
        <v>0.16987363906535979</v>
      </c>
      <c r="Y28" s="97">
        <f t="shared" si="13"/>
        <v>3.2471710320698386</v>
      </c>
      <c r="Z28" s="97">
        <f t="shared" si="13"/>
        <v>13.037458797479983</v>
      </c>
      <c r="AA28" s="97">
        <f t="shared" si="13"/>
        <v>4.3327643332060015</v>
      </c>
      <c r="AB28" s="97">
        <f t="shared" si="13"/>
        <v>3.5887272397040557</v>
      </c>
      <c r="AC28" s="97">
        <f t="shared" si="13"/>
        <v>25.646721714751692</v>
      </c>
      <c r="AD28" s="97">
        <f t="shared" si="13"/>
        <v>24.704082201835181</v>
      </c>
      <c r="AE28" s="97">
        <f t="shared" si="13"/>
        <v>15.693199088303972</v>
      </c>
      <c r="AF28" s="97">
        <f t="shared" si="13"/>
        <v>9.5800019535839187</v>
      </c>
      <c r="AG28" s="97">
        <f t="shared" si="13"/>
        <v>100</v>
      </c>
    </row>
    <row r="29" spans="1:33" x14ac:dyDescent="0.25">
      <c r="A29" s="10" t="str">
        <f>name!D25</f>
        <v>72 Customer service occupations</v>
      </c>
      <c r="B29" s="69">
        <f>'Basic T2'!D29</f>
        <v>3.4145100765402642E-2</v>
      </c>
      <c r="C29" s="69">
        <f>'Basic T2'!O29</f>
        <v>0.35827396547043966</v>
      </c>
      <c r="D29" s="69">
        <f>'Basic T2'!Z29</f>
        <v>1.4235832342864903</v>
      </c>
      <c r="E29" s="69">
        <f>'Basic T2'!AK29</f>
        <v>0.47268273258675764</v>
      </c>
      <c r="F29" s="69">
        <f>'Basic T2'!AV29</f>
        <v>0.69930501334202588</v>
      </c>
      <c r="G29" s="69">
        <f>'Basic T2'!BG29</f>
        <v>2.2175479361852179</v>
      </c>
      <c r="H29" s="69">
        <f>'Basic T2'!BR29</f>
        <v>2.2175320337037028</v>
      </c>
      <c r="I29" s="69">
        <f>'Basic T2'!CC29</f>
        <v>1.0888620155673843</v>
      </c>
      <c r="J29" s="69">
        <f>'Basic T2'!CN29</f>
        <v>0.60589873007314954</v>
      </c>
      <c r="K29" s="309">
        <f t="shared" si="12"/>
        <v>9.1178307619805725</v>
      </c>
      <c r="L29" s="97"/>
      <c r="M29" s="97">
        <f t="shared" si="0"/>
        <v>0.48150634519091451</v>
      </c>
      <c r="N29" s="97">
        <f t="shared" si="1"/>
        <v>0.74773979165128268</v>
      </c>
      <c r="O29" s="97">
        <f t="shared" si="2"/>
        <v>1.5637919954608095</v>
      </c>
      <c r="P29" s="97">
        <f t="shared" si="3"/>
        <v>1.6986234160020832</v>
      </c>
      <c r="Q29" s="97">
        <f t="shared" si="4"/>
        <v>2.5938363144121914</v>
      </c>
      <c r="R29" s="97">
        <f t="shared" si="5"/>
        <v>2.1229927481722797</v>
      </c>
      <c r="S29" s="97">
        <f t="shared" si="6"/>
        <v>2.2377217245094227</v>
      </c>
      <c r="T29" s="97">
        <f t="shared" si="7"/>
        <v>1.8140092270522534</v>
      </c>
      <c r="U29" s="97">
        <f t="shared" si="8"/>
        <v>1.9059450192616449</v>
      </c>
      <c r="V29" s="97">
        <f t="shared" si="9"/>
        <v>1.8375536104790808</v>
      </c>
      <c r="W29" s="97"/>
      <c r="X29" s="97">
        <f>IF($K29&gt;0,B29/$K29*100,0)</f>
        <v>0.37448710835674309</v>
      </c>
      <c r="Y29" s="97">
        <f t="shared" si="13"/>
        <v>3.9293772260433522</v>
      </c>
      <c r="Z29" s="97">
        <f t="shared" si="13"/>
        <v>15.613178961629027</v>
      </c>
      <c r="AA29" s="97">
        <f t="shared" si="13"/>
        <v>5.1841577775027892</v>
      </c>
      <c r="AB29" s="97">
        <f t="shared" si="13"/>
        <v>7.6696423918941337</v>
      </c>
      <c r="AC29" s="97">
        <f t="shared" si="13"/>
        <v>24.321003471921461</v>
      </c>
      <c r="AD29" s="97">
        <f t="shared" si="13"/>
        <v>24.320829061122112</v>
      </c>
      <c r="AE29" s="97">
        <f t="shared" si="13"/>
        <v>11.942116979267798</v>
      </c>
      <c r="AF29" s="97">
        <f t="shared" si="13"/>
        <v>6.645207022262567</v>
      </c>
      <c r="AG29" s="97">
        <f t="shared" si="13"/>
        <v>100</v>
      </c>
    </row>
    <row r="30" spans="1:33" x14ac:dyDescent="0.25">
      <c r="A30" s="10" t="str">
        <f>name!D26</f>
        <v>81 Process, plant and machine operatives</v>
      </c>
      <c r="B30" s="69">
        <f>'Basic T2'!D30</f>
        <v>3.1212897683661971E-2</v>
      </c>
      <c r="C30" s="69">
        <f>'Basic T2'!O30</f>
        <v>0.21322211711229894</v>
      </c>
      <c r="D30" s="69">
        <f>'Basic T2'!Z30</f>
        <v>0.5979512304248642</v>
      </c>
      <c r="E30" s="69">
        <f>'Basic T2'!AK30</f>
        <v>0.27492450327367379</v>
      </c>
      <c r="F30" s="69">
        <f>'Basic T2'!AV30</f>
        <v>0.62529404343205619</v>
      </c>
      <c r="G30" s="69">
        <f>'Basic T2'!BG30</f>
        <v>4.3104308458548575</v>
      </c>
      <c r="H30" s="69">
        <f>'Basic T2'!BR30</f>
        <v>5.425332899218791</v>
      </c>
      <c r="I30" s="69">
        <f>'Basic T2'!CC30</f>
        <v>4.341014383742654</v>
      </c>
      <c r="J30" s="69">
        <f>'Basic T2'!CN30</f>
        <v>2.4968711080308728</v>
      </c>
      <c r="K30" s="309">
        <f t="shared" si="12"/>
        <v>18.316254028773731</v>
      </c>
      <c r="L30" s="97"/>
      <c r="M30" s="97">
        <f t="shared" si="0"/>
        <v>0.4401570928063071</v>
      </c>
      <c r="N30" s="97">
        <f t="shared" si="1"/>
        <v>0.44500766673248654</v>
      </c>
      <c r="O30" s="97">
        <f t="shared" si="2"/>
        <v>0.65684346745134903</v>
      </c>
      <c r="P30" s="97">
        <f t="shared" si="3"/>
        <v>0.9879633138654802</v>
      </c>
      <c r="Q30" s="97">
        <f t="shared" si="4"/>
        <v>2.319317559713296</v>
      </c>
      <c r="R30" s="97">
        <f t="shared" si="5"/>
        <v>4.1266361271947005</v>
      </c>
      <c r="S30" s="97">
        <f t="shared" si="6"/>
        <v>5.4747282595060476</v>
      </c>
      <c r="T30" s="97">
        <f t="shared" si="7"/>
        <v>7.2319908622879163</v>
      </c>
      <c r="U30" s="97">
        <f t="shared" si="8"/>
        <v>7.8542812781852325</v>
      </c>
      <c r="V30" s="97">
        <f t="shared" si="9"/>
        <v>3.6913493570606914</v>
      </c>
      <c r="W30" s="97"/>
      <c r="X30" s="97">
        <f t="shared" si="10"/>
        <v>0.17041092373270425</v>
      </c>
      <c r="Y30" s="97">
        <f t="shared" si="13"/>
        <v>1.1641142166806588</v>
      </c>
      <c r="Z30" s="97">
        <f t="shared" si="13"/>
        <v>3.2645934560937997</v>
      </c>
      <c r="AA30" s="97">
        <f t="shared" si="13"/>
        <v>1.5009865163574603</v>
      </c>
      <c r="AB30" s="97">
        <f t="shared" si="13"/>
        <v>3.4138751430819694</v>
      </c>
      <c r="AC30" s="97">
        <f t="shared" si="13"/>
        <v>23.533364622937807</v>
      </c>
      <c r="AD30" s="97">
        <f t="shared" si="13"/>
        <v>29.620319147659341</v>
      </c>
      <c r="AE30" s="97">
        <f t="shared" si="13"/>
        <v>23.700339474016808</v>
      </c>
      <c r="AF30" s="97">
        <f t="shared" si="13"/>
        <v>13.631996499439452</v>
      </c>
      <c r="AG30" s="97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69">
        <f>'Basic T2'!D31</f>
        <v>4.493757623305044E-2</v>
      </c>
      <c r="C31" s="69">
        <f>'Basic T2'!O31</f>
        <v>0.25152538337715752</v>
      </c>
      <c r="D31" s="69">
        <f>'Basic T2'!Z31</f>
        <v>0.91297754270328813</v>
      </c>
      <c r="E31" s="69">
        <f>'Basic T2'!AK31</f>
        <v>0.46068278291115511</v>
      </c>
      <c r="F31" s="69">
        <f>'Basic T2'!AV31</f>
        <v>0.71538105372924443</v>
      </c>
      <c r="G31" s="69">
        <f>'Basic T2'!BG31</f>
        <v>4.0544522946228883</v>
      </c>
      <c r="H31" s="69">
        <f>'Basic T2'!BR31</f>
        <v>6.5373099863731792</v>
      </c>
      <c r="I31" s="69">
        <f>'Basic T2'!CC31</f>
        <v>5.3183574121498003</v>
      </c>
      <c r="J31" s="69">
        <f>'Basic T2'!CN31</f>
        <v>3.6558772384080243</v>
      </c>
      <c r="K31" s="309">
        <f t="shared" si="12"/>
        <v>21.951501270507787</v>
      </c>
      <c r="L31" s="97"/>
      <c r="M31" s="97">
        <f t="shared" si="0"/>
        <v>0.63369934803761208</v>
      </c>
      <c r="N31" s="97">
        <f t="shared" si="1"/>
        <v>0.52494893820846833</v>
      </c>
      <c r="O31" s="97">
        <f t="shared" si="2"/>
        <v>1.0028967319430802</v>
      </c>
      <c r="P31" s="97">
        <f t="shared" si="3"/>
        <v>1.6555006317229182</v>
      </c>
      <c r="Q31" s="97">
        <f t="shared" si="4"/>
        <v>2.6534649693664067</v>
      </c>
      <c r="R31" s="97">
        <f t="shared" si="5"/>
        <v>3.8815723794914678</v>
      </c>
      <c r="S31" s="97">
        <f t="shared" si="6"/>
        <v>6.5968294274996175</v>
      </c>
      <c r="T31" s="97">
        <f t="shared" si="7"/>
        <v>8.8602130301830169</v>
      </c>
      <c r="U31" s="97">
        <f t="shared" si="8"/>
        <v>11.500108298187987</v>
      </c>
      <c r="V31" s="97">
        <f t="shared" si="9"/>
        <v>4.4239755560340885</v>
      </c>
      <c r="W31" s="97"/>
      <c r="X31" s="97">
        <f t="shared" si="10"/>
        <v>0.20471299743596502</v>
      </c>
      <c r="Y31" s="97">
        <f t="shared" si="13"/>
        <v>1.1458231502147243</v>
      </c>
      <c r="Z31" s="97">
        <f t="shared" si="13"/>
        <v>4.1590665324101952</v>
      </c>
      <c r="AA31" s="97">
        <f t="shared" si="13"/>
        <v>2.0986390736295117</v>
      </c>
      <c r="AB31" s="97">
        <f t="shared" si="13"/>
        <v>3.2589163033253268</v>
      </c>
      <c r="AC31" s="97">
        <f t="shared" si="13"/>
        <v>18.470045600344033</v>
      </c>
      <c r="AD31" s="97">
        <f t="shared" si="13"/>
        <v>29.780696572020638</v>
      </c>
      <c r="AE31" s="97">
        <f t="shared" si="13"/>
        <v>24.227761676123279</v>
      </c>
      <c r="AF31" s="97">
        <f t="shared" si="13"/>
        <v>16.654338094496328</v>
      </c>
      <c r="AG31" s="97">
        <f t="shared" si="13"/>
        <v>100</v>
      </c>
    </row>
    <row r="32" spans="1:33" x14ac:dyDescent="0.25">
      <c r="A32" s="10" t="str">
        <f>name!D28</f>
        <v>91 Elementary trades and related occupations</v>
      </c>
      <c r="B32" s="69">
        <f>'Basic T2'!D32</f>
        <v>2.8891072480207678E-4</v>
      </c>
      <c r="C32" s="69">
        <f>'Basic T2'!O32</f>
        <v>8.2975956300022358E-2</v>
      </c>
      <c r="D32" s="69">
        <f>'Basic T2'!Z32</f>
        <v>0.29239727077091932</v>
      </c>
      <c r="E32" s="69">
        <f>'Basic T2'!AK32</f>
        <v>0.20591726824313186</v>
      </c>
      <c r="F32" s="69">
        <f>'Basic T2'!AV32</f>
        <v>0.24036778627544578</v>
      </c>
      <c r="G32" s="69">
        <f>'Basic T2'!BG32</f>
        <v>1.1432327594319696</v>
      </c>
      <c r="H32" s="69">
        <f>'Basic T2'!BR32</f>
        <v>2.0691974214400166</v>
      </c>
      <c r="I32" s="69">
        <f>'Basic T2'!CC32</f>
        <v>2.6808622868053251</v>
      </c>
      <c r="J32" s="69">
        <f>'Basic T2'!CN32</f>
        <v>1.9276439381035202</v>
      </c>
      <c r="K32" s="309">
        <f t="shared" si="12"/>
        <v>8.6428835980951533</v>
      </c>
      <c r="L32" s="97"/>
      <c r="M32" s="97">
        <f t="shared" si="0"/>
        <v>4.0741524865219028E-3</v>
      </c>
      <c r="N32" s="97">
        <f t="shared" si="1"/>
        <v>0.17317592193553843</v>
      </c>
      <c r="O32" s="97">
        <f t="shared" si="2"/>
        <v>0.32119548791632585</v>
      </c>
      <c r="P32" s="97">
        <f t="shared" si="3"/>
        <v>0.73998026473871037</v>
      </c>
      <c r="Q32" s="97">
        <f t="shared" si="4"/>
        <v>0.89156331065966765</v>
      </c>
      <c r="R32" s="97">
        <f t="shared" si="5"/>
        <v>1.094485858971906</v>
      </c>
      <c r="S32" s="97">
        <f t="shared" si="6"/>
        <v>2.0880365883697007</v>
      </c>
      <c r="T32" s="97">
        <f t="shared" si="7"/>
        <v>4.4662306657719117</v>
      </c>
      <c r="U32" s="97">
        <f t="shared" si="8"/>
        <v>6.0636921326683595</v>
      </c>
      <c r="V32" s="97">
        <f t="shared" si="9"/>
        <v>1.7418355719930414</v>
      </c>
      <c r="W32" s="97"/>
      <c r="X32" s="97">
        <f t="shared" si="10"/>
        <v>3.3427584847463545E-3</v>
      </c>
      <c r="Y32" s="97">
        <f t="shared" si="13"/>
        <v>0.96004944829188521</v>
      </c>
      <c r="Z32" s="97">
        <f t="shared" si="13"/>
        <v>3.3830985625603258</v>
      </c>
      <c r="AA32" s="97">
        <f t="shared" si="13"/>
        <v>2.3825065547396123</v>
      </c>
      <c r="AB32" s="97">
        <f t="shared" si="13"/>
        <v>2.7811063697354621</v>
      </c>
      <c r="AC32" s="97">
        <f t="shared" si="13"/>
        <v>13.227445984392663</v>
      </c>
      <c r="AD32" s="97">
        <f t="shared" si="13"/>
        <v>23.941053908166214</v>
      </c>
      <c r="AE32" s="97">
        <f t="shared" si="13"/>
        <v>31.018146390357188</v>
      </c>
      <c r="AF32" s="97">
        <f t="shared" si="13"/>
        <v>22.303250023271897</v>
      </c>
      <c r="AG32" s="97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69">
        <f>'Basic T2'!D33</f>
        <v>3.0298378528944785E-2</v>
      </c>
      <c r="C33" s="69">
        <f>'Basic T2'!O33</f>
        <v>0.73875913536767424</v>
      </c>
      <c r="D33" s="69">
        <f>'Basic T2'!Z33</f>
        <v>2.6484143934501088</v>
      </c>
      <c r="E33" s="69">
        <f>'Basic T2'!AK33</f>
        <v>1.25475634936867</v>
      </c>
      <c r="F33" s="69">
        <f>'Basic T2'!AV33</f>
        <v>1.1954639126222888</v>
      </c>
      <c r="G33" s="69">
        <f>'Basic T2'!BG33</f>
        <v>6.1980080672476934</v>
      </c>
      <c r="H33" s="69">
        <f>'Basic T2'!BR33</f>
        <v>10.808411135853499</v>
      </c>
      <c r="I33" s="69">
        <f>'Basic T2'!CC33</f>
        <v>9.2437525111327172</v>
      </c>
      <c r="J33" s="69">
        <f>'Basic T2'!CN33</f>
        <v>5.616006424550144</v>
      </c>
      <c r="K33" s="309">
        <f t="shared" ref="K33" si="14">SUM(B33:J33)</f>
        <v>37.733870308121737</v>
      </c>
      <c r="L33" s="97"/>
      <c r="M33" s="97">
        <f t="shared" si="0"/>
        <v>0.42726075435879735</v>
      </c>
      <c r="N33" s="97">
        <f t="shared" si="1"/>
        <v>1.5418357324260661</v>
      </c>
      <c r="O33" s="97">
        <f t="shared" si="2"/>
        <v>2.9092568171584698</v>
      </c>
      <c r="P33" s="97">
        <f t="shared" si="3"/>
        <v>4.5090678577384198</v>
      </c>
      <c r="Q33" s="97">
        <f t="shared" si="4"/>
        <v>4.434170569305464</v>
      </c>
      <c r="R33" s="97">
        <f t="shared" si="5"/>
        <v>5.9337279547228272</v>
      </c>
      <c r="S33" s="97">
        <f t="shared" si="6"/>
        <v>10.906817145605482</v>
      </c>
      <c r="T33" s="97">
        <f t="shared" si="7"/>
        <v>15.399795481932193</v>
      </c>
      <c r="U33" s="97">
        <f t="shared" si="8"/>
        <v>17.665987634138936</v>
      </c>
      <c r="V33" s="97">
        <f t="shared" si="9"/>
        <v>7.6046607391709156</v>
      </c>
      <c r="W33" s="97"/>
      <c r="X33" s="97">
        <f t="shared" ref="X33" si="15">IF($K33&gt;0,B33/$K33*100,0)</f>
        <v>8.0294913512816743E-2</v>
      </c>
      <c r="Y33" s="97">
        <f t="shared" ref="Y33" si="16">IF($K33&gt;0,C33/$K33*100,0)</f>
        <v>1.9578143703129909</v>
      </c>
      <c r="Z33" s="97">
        <f t="shared" ref="Z33" si="17">IF($K33&gt;0,D33/$K33*100,0)</f>
        <v>7.0186661792815643</v>
      </c>
      <c r="AA33" s="97">
        <f t="shared" ref="AA33" si="18">IF($K33&gt;0,E33/$K33*100,0)</f>
        <v>3.3252786929163731</v>
      </c>
      <c r="AB33" s="97">
        <f t="shared" ref="AB33" si="19">IF($K33&gt;0,F33/$K33*100,0)</f>
        <v>3.1681454959709776</v>
      </c>
      <c r="AC33" s="97">
        <f t="shared" ref="AC33" si="20">IF($K33&gt;0,G33/$K33*100,0)</f>
        <v>16.425582683771641</v>
      </c>
      <c r="AD33" s="97">
        <f t="shared" ref="AD33" si="21">IF($K33&gt;0,H33/$K33*100,0)</f>
        <v>28.643791499773947</v>
      </c>
      <c r="AE33" s="97">
        <f t="shared" ref="AE33" si="22">IF($K33&gt;0,I33/$K33*100,0)</f>
        <v>24.497228711636073</v>
      </c>
      <c r="AF33" s="97">
        <f>IF($K33&gt;0,J33/$K33*100,0)</f>
        <v>14.883197452823623</v>
      </c>
      <c r="AG33" s="97">
        <f t="shared" ref="AG33" si="23">IF($K33&gt;0,K33/$K33*100,0)</f>
        <v>100</v>
      </c>
    </row>
    <row r="34" spans="1:33" x14ac:dyDescent="0.25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5">
      <c r="A35" s="108" t="str">
        <f>name!D3</f>
        <v>All occupations</v>
      </c>
      <c r="B35" s="310">
        <f>SUM(B8:B33)</f>
        <v>7.0913085790934494</v>
      </c>
      <c r="C35" s="310">
        <f t="shared" ref="C35:K35" si="24">SUM(C8:C33)</f>
        <v>47.914257000986915</v>
      </c>
      <c r="D35" s="310">
        <f t="shared" si="24"/>
        <v>91.034053021034737</v>
      </c>
      <c r="E35" s="310">
        <f t="shared" si="24"/>
        <v>27.827400007193702</v>
      </c>
      <c r="F35" s="310">
        <f t="shared" si="24"/>
        <v>26.960259961527317</v>
      </c>
      <c r="G35" s="310">
        <f t="shared" si="24"/>
        <v>104.45386297689159</v>
      </c>
      <c r="H35" s="310">
        <f t="shared" si="24"/>
        <v>99.097756857584869</v>
      </c>
      <c r="I35" s="310">
        <f t="shared" si="24"/>
        <v>60.025164113237395</v>
      </c>
      <c r="J35" s="310">
        <f t="shared" si="24"/>
        <v>31.78993748245016</v>
      </c>
      <c r="K35" s="310">
        <f t="shared" si="24"/>
        <v>496.19400000000007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1.4291403320260723</v>
      </c>
      <c r="Y35" s="98">
        <f t="shared" ref="Y35:AG35" si="26">IF($K35&gt;0,C35/$K35*100,0)</f>
        <v>9.6563555788636908</v>
      </c>
      <c r="Z35" s="98">
        <f t="shared" si="26"/>
        <v>18.346463887317203</v>
      </c>
      <c r="AA35" s="98">
        <f t="shared" si="26"/>
        <v>5.608169386811146</v>
      </c>
      <c r="AB35" s="98">
        <f t="shared" si="26"/>
        <v>5.4334111177336508</v>
      </c>
      <c r="AC35" s="98">
        <f t="shared" si="26"/>
        <v>21.051012905615863</v>
      </c>
      <c r="AD35" s="98">
        <f t="shared" si="26"/>
        <v>19.97157500042017</v>
      </c>
      <c r="AE35" s="98">
        <f t="shared" si="26"/>
        <v>12.097116070173639</v>
      </c>
      <c r="AF35" s="98">
        <f t="shared" si="26"/>
        <v>6.4067557210385759</v>
      </c>
      <c r="AG35" s="98">
        <f t="shared" si="26"/>
        <v>100</v>
      </c>
    </row>
    <row r="37" spans="1:33" x14ac:dyDescent="0.25">
      <c r="A37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91" customWidth="1"/>
    <col min="2" max="2" width="5.7265625" style="91" customWidth="1"/>
    <col min="3" max="3" width="11.7265625" style="91" customWidth="1"/>
    <col min="4" max="4" width="7.81640625" style="91" customWidth="1"/>
    <col min="5" max="5" width="9.81640625" style="91" customWidth="1"/>
    <col min="6" max="6" width="10" style="91" customWidth="1"/>
    <col min="7" max="7" width="2.7265625" style="91" customWidth="1"/>
    <col min="8" max="8" width="5.7265625" style="91" customWidth="1"/>
    <col min="9" max="9" width="10.7265625" style="91" customWidth="1"/>
    <col min="10" max="12" width="8.7265625" style="91" customWidth="1"/>
    <col min="13" max="13" width="2.7265625" style="91" customWidth="1"/>
    <col min="14" max="14" width="5.7265625" style="91" customWidth="1"/>
    <col min="15" max="15" width="10.7265625" style="91" customWidth="1"/>
    <col min="16" max="18" width="8.7265625" style="91" customWidth="1"/>
    <col min="19" max="19" width="2.7265625" style="91" customWidth="1"/>
    <col min="20" max="20" width="5.7265625" style="91" customWidth="1"/>
    <col min="21" max="21" width="10.7265625" style="91" customWidth="1"/>
    <col min="22" max="24" width="8.7265625" style="91" customWidth="1"/>
    <col min="25" max="25" width="33.7265625" style="91" customWidth="1"/>
    <col min="26" max="26" width="5.7265625" style="91" customWidth="1"/>
    <col min="27" max="27" width="11.7265625" style="91" customWidth="1"/>
    <col min="28" max="28" width="7.453125" style="91" customWidth="1"/>
    <col min="29" max="30" width="8.7265625" style="91" customWidth="1"/>
    <col min="31" max="31" width="2.7265625" style="91" customWidth="1"/>
    <col min="32" max="32" width="5.7265625" style="91" customWidth="1"/>
    <col min="33" max="33" width="10.7265625" style="91" customWidth="1"/>
    <col min="34" max="36" width="8.7265625" style="91" customWidth="1"/>
    <col min="37" max="37" width="2.7265625" style="91" customWidth="1"/>
    <col min="38" max="38" width="5.7265625" style="91" customWidth="1"/>
    <col min="39" max="39" width="10.7265625" style="91" customWidth="1"/>
    <col min="40" max="42" width="8.7265625" style="91" customWidth="1"/>
    <col min="43" max="43" width="2.7265625" style="91" customWidth="1"/>
    <col min="44" max="44" width="5.7265625" style="91" customWidth="1"/>
    <col min="45" max="45" width="10.7265625" style="91" customWidth="1"/>
    <col min="46" max="48" width="8.7265625" style="91" customWidth="1"/>
    <col min="49" max="49" width="33.7265625" style="91" customWidth="1"/>
    <col min="50" max="50" width="5.7265625" style="91" customWidth="1"/>
    <col min="51" max="51" width="11.7265625" style="91" customWidth="1"/>
    <col min="52" max="52" width="7.453125" style="91" customWidth="1"/>
    <col min="53" max="54" width="8.7265625" style="91" customWidth="1"/>
    <col min="55" max="55" width="2.7265625" style="91" customWidth="1"/>
    <col min="56" max="56" width="5.7265625" style="91" customWidth="1"/>
    <col min="57" max="57" width="10.7265625" style="91" customWidth="1"/>
    <col min="58" max="60" width="8.7265625" style="91" customWidth="1"/>
    <col min="61" max="61" width="2.7265625" style="91" customWidth="1"/>
    <col min="62" max="62" width="5.7265625" style="91" customWidth="1"/>
    <col min="63" max="63" width="10.7265625" style="91" customWidth="1"/>
    <col min="64" max="66" width="8.7265625" style="91" customWidth="1"/>
    <col min="67" max="67" width="2.7265625" style="91" customWidth="1"/>
    <col min="68" max="68" width="5.7265625" style="91" customWidth="1"/>
    <col min="69" max="69" width="10.7265625" style="91" customWidth="1"/>
    <col min="70" max="72" width="8.7265625" style="91" customWidth="1"/>
    <col min="73" max="73" width="33.7265625" style="91" customWidth="1"/>
    <col min="74" max="74" width="5.7265625" style="91" customWidth="1"/>
    <col min="75" max="75" width="11.7265625" style="91" customWidth="1"/>
    <col min="76" max="76" width="7.453125" style="91" customWidth="1"/>
    <col min="77" max="78" width="8.7265625" style="91" customWidth="1"/>
    <col min="79" max="79" width="2.7265625" style="91" customWidth="1"/>
    <col min="80" max="80" width="5.7265625" style="91" customWidth="1"/>
    <col min="81" max="81" width="10.7265625" style="91" customWidth="1"/>
    <col min="82" max="84" width="8.7265625" style="91" customWidth="1"/>
    <col min="85" max="85" width="2.7265625" style="91" customWidth="1"/>
    <col min="86" max="86" width="5.7265625" style="91" customWidth="1"/>
    <col min="87" max="87" width="10.7265625" style="91" customWidth="1"/>
    <col min="88" max="90" width="8.7265625" style="91" customWidth="1"/>
    <col min="91" max="91" width="2.7265625" style="91" customWidth="1"/>
    <col min="92" max="92" width="5.7265625" style="91" customWidth="1"/>
    <col min="93" max="93" width="10.7265625" style="91" customWidth="1"/>
    <col min="94" max="96" width="8.7265625" style="91" customWidth="1"/>
    <col min="97" max="97" width="33.7265625" style="91" customWidth="1"/>
    <col min="98" max="98" width="5.7265625" style="91" customWidth="1"/>
    <col min="99" max="99" width="11.7265625" style="91" customWidth="1"/>
    <col min="100" max="100" width="7.453125" style="91" customWidth="1"/>
    <col min="101" max="102" width="8.7265625" style="91" customWidth="1"/>
    <col min="103" max="103" width="2.7265625" style="91" customWidth="1"/>
    <col min="104" max="104" width="5.7265625" style="91" customWidth="1"/>
    <col min="105" max="105" width="10.7265625" style="91" customWidth="1"/>
    <col min="106" max="108" width="8.7265625" style="91" customWidth="1"/>
    <col min="109" max="109" width="2.7265625" style="91" customWidth="1"/>
    <col min="110" max="110" width="5.7265625" style="91" customWidth="1"/>
    <col min="111" max="111" width="10.7265625" style="91" customWidth="1"/>
    <col min="112" max="114" width="8.7265625" style="91" customWidth="1"/>
    <col min="115" max="115" width="2.7265625" style="91" customWidth="1"/>
    <col min="116" max="116" width="5.7265625" style="91" customWidth="1"/>
    <col min="117" max="117" width="10.7265625" style="91" customWidth="1"/>
    <col min="118" max="120" width="8.7265625" style="91" customWidth="1"/>
    <col min="121" max="16384" width="9.1796875" style="91"/>
  </cols>
  <sheetData>
    <row r="1" spans="1:120" ht="15.5" x14ac:dyDescent="0.3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9"/>
      <c r="Y2" s="19"/>
      <c r="AW2" s="19"/>
      <c r="BU2" s="19"/>
      <c r="CS2" s="19"/>
    </row>
    <row r="3" spans="1:120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ht="13" x14ac:dyDescent="0.3">
      <c r="A4" s="96"/>
      <c r="B4" s="384" t="str">
        <f>name!F3</f>
        <v>All qualifications</v>
      </c>
      <c r="C4" s="384"/>
      <c r="D4" s="384"/>
      <c r="E4" s="384"/>
      <c r="F4" s="384"/>
      <c r="G4" s="103"/>
      <c r="H4" s="384" t="str">
        <f>name!F4</f>
        <v>RQF8 Doctorate</v>
      </c>
      <c r="I4" s="384"/>
      <c r="J4" s="384"/>
      <c r="K4" s="384"/>
      <c r="L4" s="384"/>
      <c r="N4" s="385" t="str">
        <f>name!F5</f>
        <v>RQF7 Other higher degree</v>
      </c>
      <c r="O4" s="385"/>
      <c r="P4" s="385"/>
      <c r="Q4" s="385"/>
      <c r="R4" s="385"/>
      <c r="S4" s="111"/>
      <c r="T4" s="385" t="str">
        <f>name!F6</f>
        <v>RQF6 First degree</v>
      </c>
      <c r="U4" s="385"/>
      <c r="V4" s="385"/>
      <c r="W4" s="385"/>
      <c r="X4" s="385"/>
      <c r="Y4" s="96"/>
      <c r="Z4" s="384" t="str">
        <f>$B$4</f>
        <v>All qualifications</v>
      </c>
      <c r="AA4" s="384"/>
      <c r="AB4" s="384"/>
      <c r="AC4" s="384"/>
      <c r="AD4" s="384"/>
      <c r="AE4" s="103"/>
      <c r="AF4" s="384" t="str">
        <f>$H$4</f>
        <v>RQF8 Doctorate</v>
      </c>
      <c r="AG4" s="384"/>
      <c r="AH4" s="384"/>
      <c r="AI4" s="384"/>
      <c r="AJ4" s="384"/>
      <c r="AL4" s="385" t="str">
        <f>$N$4</f>
        <v>RQF7 Other higher degree</v>
      </c>
      <c r="AM4" s="385"/>
      <c r="AN4" s="385"/>
      <c r="AO4" s="385"/>
      <c r="AP4" s="385"/>
      <c r="AQ4" s="111"/>
      <c r="AR4" s="385" t="str">
        <f>$T$4</f>
        <v>RQF6 First degree</v>
      </c>
      <c r="AS4" s="385"/>
      <c r="AT4" s="385"/>
      <c r="AU4" s="385"/>
      <c r="AV4" s="385"/>
      <c r="AW4" s="96"/>
      <c r="AX4" s="384" t="str">
        <f>$B$4</f>
        <v>All qualifications</v>
      </c>
      <c r="AY4" s="384"/>
      <c r="AZ4" s="384"/>
      <c r="BA4" s="384"/>
      <c r="BB4" s="384"/>
      <c r="BC4" s="103"/>
      <c r="BD4" s="384" t="str">
        <f>$H$4</f>
        <v>RQF8 Doctorate</v>
      </c>
      <c r="BE4" s="384"/>
      <c r="BF4" s="384"/>
      <c r="BG4" s="384"/>
      <c r="BH4" s="384"/>
      <c r="BJ4" s="385" t="str">
        <f>$N$4</f>
        <v>RQF7 Other higher degree</v>
      </c>
      <c r="BK4" s="385"/>
      <c r="BL4" s="385"/>
      <c r="BM4" s="385"/>
      <c r="BN4" s="385"/>
      <c r="BO4" s="111"/>
      <c r="BP4" s="385" t="str">
        <f>$T$4</f>
        <v>RQF6 First degree</v>
      </c>
      <c r="BQ4" s="385"/>
      <c r="BR4" s="385"/>
      <c r="BS4" s="385"/>
      <c r="BT4" s="385"/>
      <c r="BU4" s="96"/>
      <c r="BV4" s="384" t="str">
        <f>$B$4</f>
        <v>All qualifications</v>
      </c>
      <c r="BW4" s="384"/>
      <c r="BX4" s="384"/>
      <c r="BY4" s="384"/>
      <c r="BZ4" s="384"/>
      <c r="CA4" s="103"/>
      <c r="CB4" s="384" t="str">
        <f>$H$4</f>
        <v>RQF8 Doctorate</v>
      </c>
      <c r="CC4" s="384"/>
      <c r="CD4" s="384"/>
      <c r="CE4" s="384"/>
      <c r="CF4" s="384"/>
      <c r="CH4" s="385" t="str">
        <f>$N$4</f>
        <v>RQF7 Other higher degree</v>
      </c>
      <c r="CI4" s="385"/>
      <c r="CJ4" s="385"/>
      <c r="CK4" s="385"/>
      <c r="CL4" s="385"/>
      <c r="CM4" s="111"/>
      <c r="CN4" s="385" t="str">
        <f>$T$4</f>
        <v>RQF6 First degree</v>
      </c>
      <c r="CO4" s="385"/>
      <c r="CP4" s="385"/>
      <c r="CQ4" s="385"/>
      <c r="CR4" s="385"/>
      <c r="CS4" s="96"/>
      <c r="CT4" s="384" t="str">
        <f>$B$4</f>
        <v>All qualifications</v>
      </c>
      <c r="CU4" s="384"/>
      <c r="CV4" s="384"/>
      <c r="CW4" s="384"/>
      <c r="CX4" s="384"/>
      <c r="CY4" s="103"/>
      <c r="CZ4" s="384" t="str">
        <f>$H$4</f>
        <v>RQF8 Doctorate</v>
      </c>
      <c r="DA4" s="384"/>
      <c r="DB4" s="384"/>
      <c r="DC4" s="384"/>
      <c r="DD4" s="384"/>
      <c r="DF4" s="385" t="str">
        <f>$N$4</f>
        <v>RQF7 Other higher degree</v>
      </c>
      <c r="DG4" s="385"/>
      <c r="DH4" s="385"/>
      <c r="DI4" s="385"/>
      <c r="DJ4" s="385"/>
      <c r="DK4" s="111"/>
      <c r="DL4" s="385" t="str">
        <f>$T$4</f>
        <v>RQF6 First degree</v>
      </c>
      <c r="DM4" s="385"/>
      <c r="DN4" s="385"/>
      <c r="DO4" s="385"/>
      <c r="DP4" s="385"/>
    </row>
    <row r="6" spans="1:120" s="102" customFormat="1" ht="38" x14ac:dyDescent="0.3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5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5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5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5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5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5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5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5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5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5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5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5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5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5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5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5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5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5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5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5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5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5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5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5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5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5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5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5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5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5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5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5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5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5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5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5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5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5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5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5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5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5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5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5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5">
      <c r="A52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B52" s="94"/>
      <c r="C52" s="94"/>
      <c r="D52" s="94"/>
      <c r="E52" s="94"/>
      <c r="F52" s="94"/>
      <c r="G52" s="94"/>
      <c r="Y52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Z52" s="94"/>
      <c r="AA52" s="94"/>
      <c r="AB52" s="94"/>
      <c r="AC52" s="94"/>
      <c r="AD52" s="94"/>
      <c r="AE52" s="94"/>
      <c r="AW52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AX52" s="94"/>
      <c r="AY52" s="94"/>
      <c r="AZ52" s="94"/>
      <c r="BA52" s="94"/>
      <c r="BB52" s="94"/>
      <c r="BC52" s="94"/>
      <c r="BU52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BV52" s="94"/>
      <c r="BW52" s="94"/>
      <c r="BX52" s="94"/>
      <c r="BY52" s="94"/>
      <c r="BZ52" s="94"/>
      <c r="CA52" s="94"/>
      <c r="CS52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CT52" s="94"/>
      <c r="CU52" s="94"/>
      <c r="CV52" s="94"/>
      <c r="CW52" s="94"/>
      <c r="CX52" s="94"/>
      <c r="CY52" s="94"/>
    </row>
    <row r="53" spans="1:120" ht="15.5" x14ac:dyDescent="0.3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ht="13" x14ac:dyDescent="0.3">
      <c r="B56" s="384" t="str">
        <f>B4</f>
        <v>All qualifications</v>
      </c>
      <c r="C56" s="384"/>
      <c r="D56" s="384"/>
      <c r="E56" s="384"/>
      <c r="F56" s="384"/>
      <c r="G56" s="114"/>
      <c r="H56" s="384" t="str">
        <f>H4</f>
        <v>RQF8 Doctorate</v>
      </c>
      <c r="I56" s="384"/>
      <c r="J56" s="384"/>
      <c r="K56" s="384"/>
      <c r="L56" s="384"/>
      <c r="M56" s="114"/>
      <c r="N56" s="385" t="str">
        <f>N4</f>
        <v>RQF7 Other higher degree</v>
      </c>
      <c r="O56" s="385"/>
      <c r="P56" s="385"/>
      <c r="Q56" s="385"/>
      <c r="R56" s="385"/>
      <c r="S56" s="111"/>
      <c r="T56" s="385" t="str">
        <f>T4</f>
        <v>RQF6 First degree</v>
      </c>
      <c r="U56" s="385"/>
      <c r="V56" s="385"/>
      <c r="W56" s="385"/>
      <c r="X56" s="385"/>
      <c r="Z56" s="384" t="str">
        <f>Z4</f>
        <v>All qualifications</v>
      </c>
      <c r="AA56" s="384"/>
      <c r="AB56" s="384"/>
      <c r="AC56" s="384"/>
      <c r="AD56" s="384"/>
      <c r="AE56" s="114"/>
      <c r="AF56" s="384" t="str">
        <f>AF4</f>
        <v>RQF8 Doctorate</v>
      </c>
      <c r="AG56" s="384"/>
      <c r="AH56" s="384"/>
      <c r="AI56" s="384"/>
      <c r="AJ56" s="384"/>
      <c r="AK56" s="114"/>
      <c r="AL56" s="385" t="str">
        <f>AL4</f>
        <v>RQF7 Other higher degree</v>
      </c>
      <c r="AM56" s="385"/>
      <c r="AN56" s="385"/>
      <c r="AO56" s="385"/>
      <c r="AP56" s="385"/>
      <c r="AQ56" s="111"/>
      <c r="AR56" s="385" t="str">
        <f>AR4</f>
        <v>RQF6 First degree</v>
      </c>
      <c r="AS56" s="385"/>
      <c r="AT56" s="385"/>
      <c r="AU56" s="385"/>
      <c r="AV56" s="385"/>
      <c r="AX56" s="384" t="str">
        <f>AX4</f>
        <v>All qualifications</v>
      </c>
      <c r="AY56" s="384"/>
      <c r="AZ56" s="384"/>
      <c r="BA56" s="384"/>
      <c r="BB56" s="384"/>
      <c r="BC56" s="114"/>
      <c r="BD56" s="384" t="str">
        <f>BD4</f>
        <v>RQF8 Doctorate</v>
      </c>
      <c r="BE56" s="384"/>
      <c r="BF56" s="384"/>
      <c r="BG56" s="384"/>
      <c r="BH56" s="384"/>
      <c r="BI56" s="114"/>
      <c r="BJ56" s="385" t="str">
        <f>BJ4</f>
        <v>RQF7 Other higher degree</v>
      </c>
      <c r="BK56" s="385"/>
      <c r="BL56" s="385"/>
      <c r="BM56" s="385"/>
      <c r="BN56" s="385"/>
      <c r="BO56" s="111"/>
      <c r="BP56" s="385" t="str">
        <f>BP4</f>
        <v>RQF6 First degree</v>
      </c>
      <c r="BQ56" s="385"/>
      <c r="BR56" s="385"/>
      <c r="BS56" s="385"/>
      <c r="BT56" s="385"/>
      <c r="BV56" s="384" t="str">
        <f>BV4</f>
        <v>All qualifications</v>
      </c>
      <c r="BW56" s="384"/>
      <c r="BX56" s="384"/>
      <c r="BY56" s="384"/>
      <c r="BZ56" s="384"/>
      <c r="CA56" s="114"/>
      <c r="CB56" s="384" t="str">
        <f>CB4</f>
        <v>RQF8 Doctorate</v>
      </c>
      <c r="CC56" s="384"/>
      <c r="CD56" s="384"/>
      <c r="CE56" s="384"/>
      <c r="CF56" s="384"/>
      <c r="CG56" s="114"/>
      <c r="CH56" s="385" t="str">
        <f>CH4</f>
        <v>RQF7 Other higher degree</v>
      </c>
      <c r="CI56" s="385"/>
      <c r="CJ56" s="385"/>
      <c r="CK56" s="385"/>
      <c r="CL56" s="385"/>
      <c r="CM56" s="111"/>
      <c r="CN56" s="385" t="str">
        <f>CN4</f>
        <v>RQF6 First degree</v>
      </c>
      <c r="CO56" s="385"/>
      <c r="CP56" s="385"/>
      <c r="CQ56" s="385"/>
      <c r="CR56" s="385"/>
      <c r="CT56" s="384" t="str">
        <f>CT4</f>
        <v>All qualifications</v>
      </c>
      <c r="CU56" s="384"/>
      <c r="CV56" s="384"/>
      <c r="CW56" s="384"/>
      <c r="CX56" s="384"/>
      <c r="CY56" s="114"/>
      <c r="CZ56" s="384" t="str">
        <f>CZ4</f>
        <v>RQF8 Doctorate</v>
      </c>
      <c r="DA56" s="384"/>
      <c r="DB56" s="384"/>
      <c r="DC56" s="384"/>
      <c r="DD56" s="384"/>
      <c r="DE56" s="114"/>
      <c r="DF56" s="385" t="str">
        <f>DF4</f>
        <v>RQF7 Other higher degree</v>
      </c>
      <c r="DG56" s="385"/>
      <c r="DH56" s="385"/>
      <c r="DI56" s="385"/>
      <c r="DJ56" s="385"/>
      <c r="DK56" s="111"/>
      <c r="DL56" s="385" t="str">
        <f>DL4</f>
        <v>RQF6 First degree</v>
      </c>
      <c r="DM56" s="385"/>
      <c r="DN56" s="385"/>
      <c r="DO56" s="385"/>
      <c r="DP56" s="385"/>
    </row>
    <row r="58" spans="1:120" ht="38" x14ac:dyDescent="0.3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5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5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5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5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5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5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5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5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5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5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5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5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5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5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5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5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5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5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5">
      <c r="A79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Y79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AW79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BU79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CS79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</row>
    <row r="80" spans="1:120" ht="15.5" x14ac:dyDescent="0.3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ht="13" x14ac:dyDescent="0.3">
      <c r="B83" s="384" t="str">
        <f>B4</f>
        <v>All qualifications</v>
      </c>
      <c r="C83" s="384"/>
      <c r="D83" s="384"/>
      <c r="E83" s="384"/>
      <c r="F83" s="384"/>
      <c r="G83" s="114"/>
      <c r="H83" s="384" t="str">
        <f>H4</f>
        <v>RQF8 Doctorate</v>
      </c>
      <c r="I83" s="384"/>
      <c r="J83" s="384"/>
      <c r="K83" s="384"/>
      <c r="L83" s="384"/>
      <c r="M83" s="114"/>
      <c r="N83" s="385" t="str">
        <f>N4</f>
        <v>RQF7 Other higher degree</v>
      </c>
      <c r="O83" s="385"/>
      <c r="P83" s="385"/>
      <c r="Q83" s="385"/>
      <c r="R83" s="385"/>
      <c r="S83" s="111"/>
      <c r="T83" s="385" t="str">
        <f>T4</f>
        <v>RQF6 First degree</v>
      </c>
      <c r="U83" s="385"/>
      <c r="V83" s="385"/>
      <c r="W83" s="385"/>
      <c r="X83" s="385"/>
      <c r="Z83" s="384" t="str">
        <f>Z4</f>
        <v>All qualifications</v>
      </c>
      <c r="AA83" s="384"/>
      <c r="AB83" s="384"/>
      <c r="AC83" s="384"/>
      <c r="AD83" s="384"/>
      <c r="AE83" s="114"/>
      <c r="AF83" s="384" t="str">
        <f>AF4</f>
        <v>RQF8 Doctorate</v>
      </c>
      <c r="AG83" s="384"/>
      <c r="AH83" s="384"/>
      <c r="AI83" s="384"/>
      <c r="AJ83" s="384"/>
      <c r="AK83" s="114"/>
      <c r="AL83" s="385" t="str">
        <f>AL4</f>
        <v>RQF7 Other higher degree</v>
      </c>
      <c r="AM83" s="385"/>
      <c r="AN83" s="385"/>
      <c r="AO83" s="385"/>
      <c r="AP83" s="385"/>
      <c r="AQ83" s="111"/>
      <c r="AR83" s="385" t="str">
        <f>AR4</f>
        <v>RQF6 First degree</v>
      </c>
      <c r="AS83" s="385"/>
      <c r="AT83" s="385"/>
      <c r="AU83" s="385"/>
      <c r="AV83" s="385"/>
      <c r="AX83" s="384" t="str">
        <f>AX4</f>
        <v>All qualifications</v>
      </c>
      <c r="AY83" s="384"/>
      <c r="AZ83" s="384"/>
      <c r="BA83" s="384"/>
      <c r="BB83" s="384"/>
      <c r="BC83" s="114"/>
      <c r="BD83" s="384" t="str">
        <f>BD4</f>
        <v>RQF8 Doctorate</v>
      </c>
      <c r="BE83" s="384"/>
      <c r="BF83" s="384"/>
      <c r="BG83" s="384"/>
      <c r="BH83" s="384"/>
      <c r="BI83" s="114"/>
      <c r="BJ83" s="385" t="str">
        <f>BJ4</f>
        <v>RQF7 Other higher degree</v>
      </c>
      <c r="BK83" s="385"/>
      <c r="BL83" s="385"/>
      <c r="BM83" s="385"/>
      <c r="BN83" s="385"/>
      <c r="BO83" s="111"/>
      <c r="BP83" s="385" t="str">
        <f>BP4</f>
        <v>RQF6 First degree</v>
      </c>
      <c r="BQ83" s="385"/>
      <c r="BR83" s="385"/>
      <c r="BS83" s="385"/>
      <c r="BT83" s="385"/>
      <c r="BV83" s="384" t="str">
        <f>BV4</f>
        <v>All qualifications</v>
      </c>
      <c r="BW83" s="384"/>
      <c r="BX83" s="384"/>
      <c r="BY83" s="384"/>
      <c r="BZ83" s="384"/>
      <c r="CA83" s="114"/>
      <c r="CB83" s="384" t="str">
        <f>CB4</f>
        <v>RQF8 Doctorate</v>
      </c>
      <c r="CC83" s="384"/>
      <c r="CD83" s="384"/>
      <c r="CE83" s="384"/>
      <c r="CF83" s="384"/>
      <c r="CG83" s="114"/>
      <c r="CH83" s="385" t="str">
        <f>CH4</f>
        <v>RQF7 Other higher degree</v>
      </c>
      <c r="CI83" s="385"/>
      <c r="CJ83" s="385"/>
      <c r="CK83" s="385"/>
      <c r="CL83" s="385"/>
      <c r="CM83" s="111"/>
      <c r="CN83" s="385" t="str">
        <f>CN4</f>
        <v>RQF6 First degree</v>
      </c>
      <c r="CO83" s="385"/>
      <c r="CP83" s="385"/>
      <c r="CQ83" s="385"/>
      <c r="CR83" s="385"/>
      <c r="CT83" s="384" t="str">
        <f>CT4</f>
        <v>All qualifications</v>
      </c>
      <c r="CU83" s="384"/>
      <c r="CV83" s="384"/>
      <c r="CW83" s="384"/>
      <c r="CX83" s="384"/>
      <c r="CY83" s="114"/>
      <c r="CZ83" s="384" t="str">
        <f>CZ4</f>
        <v>RQF8 Doctorate</v>
      </c>
      <c r="DA83" s="384"/>
      <c r="DB83" s="384"/>
      <c r="DC83" s="384"/>
      <c r="DD83" s="384"/>
      <c r="DE83" s="114"/>
      <c r="DF83" s="385" t="str">
        <f>DF4</f>
        <v>RQF7 Other higher degree</v>
      </c>
      <c r="DG83" s="385"/>
      <c r="DH83" s="385"/>
      <c r="DI83" s="385"/>
      <c r="DJ83" s="385"/>
      <c r="DK83" s="111"/>
      <c r="DL83" s="385" t="str">
        <f>DL4</f>
        <v>RQF6 First degree</v>
      </c>
      <c r="DM83" s="385"/>
      <c r="DN83" s="385"/>
      <c r="DO83" s="385"/>
      <c r="DP83" s="385"/>
    </row>
    <row r="85" spans="1:120" ht="38" x14ac:dyDescent="0.3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5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5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5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5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5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5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5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5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5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5">
      <c r="A96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Y96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AW96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BU96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  <c r="CS96" s="91" t="str">
        <f ca="1">CELL("filename")</f>
        <v>https://educationgovuk.sharepoint.com/sites/UnitforFutureSkills/Shared Documents/Research Projects/R007 Skills Imperative 2035 revised projections/Projections/Sub-regional/Main tables/LEPs/[BC_LEP_MainTables.Main.xlsm]Ind T1</v>
      </c>
    </row>
    <row r="99" spans="1:1" x14ac:dyDescent="0.25">
      <c r="A99" s="91" t="s">
        <v>51</v>
      </c>
    </row>
    <row r="100" spans="1:1" x14ac:dyDescent="0.25">
      <c r="A100" s="91">
        <v>2015</v>
      </c>
    </row>
    <row r="101" spans="1:1" x14ac:dyDescent="0.25">
      <c r="A101" s="91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9.7265625" style="130" customWidth="1"/>
    <col min="4" max="4" width="10.1796875" style="130" customWidth="1"/>
    <col min="5" max="5" width="13" style="130" customWidth="1"/>
    <col min="6" max="6" width="9.726562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4" width="11.453125" style="130" customWidth="1"/>
    <col min="15" max="15" width="10.1796875" style="130" customWidth="1"/>
    <col min="16" max="16" width="3.7265625" style="130" customWidth="1"/>
    <col min="17" max="18" width="10.1796875" style="130" customWidth="1"/>
    <col min="19" max="19" width="2.453125" style="130" customWidth="1"/>
    <col min="20" max="22" width="13" style="130" customWidth="1"/>
    <col min="23" max="23" width="23.26953125" style="130" customWidth="1"/>
    <col min="24" max="24" width="9.1796875" style="130"/>
    <col min="25" max="25" width="12.26953125" style="130" customWidth="1"/>
    <col min="26" max="26" width="10.81640625" style="130" customWidth="1"/>
    <col min="27" max="27" width="8.1796875" style="130" customWidth="1"/>
    <col min="28" max="28" width="8" style="130" customWidth="1"/>
    <col min="29" max="16384" width="9.1796875" style="130"/>
  </cols>
  <sheetData>
    <row r="1" spans="1:32" ht="12.75" customHeight="1" x14ac:dyDescent="0.3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7" t="s">
        <v>59</v>
      </c>
      <c r="L2" s="387"/>
      <c r="M2" s="387"/>
      <c r="N2" s="387"/>
      <c r="O2" s="387"/>
      <c r="P2" s="387"/>
      <c r="Q2" s="387"/>
      <c r="R2" s="387"/>
      <c r="S2" s="192"/>
      <c r="T2" s="192"/>
      <c r="U2" s="129"/>
    </row>
    <row r="3" spans="1:32" ht="12.75" customHeight="1" x14ac:dyDescent="0.3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8" t="s">
        <v>62</v>
      </c>
      <c r="L3" s="388"/>
      <c r="M3" s="128"/>
      <c r="N3" s="389" t="s">
        <v>75</v>
      </c>
      <c r="O3" s="389"/>
      <c r="P3" s="128"/>
      <c r="Q3" s="389" t="s">
        <v>74</v>
      </c>
      <c r="R3" s="389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3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3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5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ht="13" x14ac:dyDescent="0.3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5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ht="13" x14ac:dyDescent="0.3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5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ht="13" x14ac:dyDescent="0.3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5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5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5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5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5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5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5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5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5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5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5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5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5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5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5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5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5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5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5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5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5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5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5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5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5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5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5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5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5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5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5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5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5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5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5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5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5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5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5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5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5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5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5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5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5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5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5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5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5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5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5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5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5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5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5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5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5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5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5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5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5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5">
      <c r="A75" s="170" t="s">
        <v>79</v>
      </c>
      <c r="B75" s="171"/>
      <c r="C75" s="171"/>
      <c r="D75" s="171"/>
      <c r="E75" s="171"/>
    </row>
    <row r="76" spans="1:21" x14ac:dyDescent="0.25">
      <c r="A76" s="386" t="s">
        <v>80</v>
      </c>
      <c r="B76" s="386"/>
      <c r="C76" s="386"/>
      <c r="D76" s="386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</row>
    <row r="77" spans="1:21" x14ac:dyDescent="0.25">
      <c r="A77" s="386" t="s">
        <v>81</v>
      </c>
      <c r="B77" s="386"/>
      <c r="C77" s="386"/>
      <c r="D77" s="386"/>
      <c r="E77" s="386"/>
      <c r="F77" s="386"/>
      <c r="G77" s="386"/>
      <c r="H77" s="386"/>
      <c r="I77" s="386"/>
      <c r="J77" s="386"/>
      <c r="K77" s="386"/>
      <c r="L77" s="386"/>
      <c r="M77" s="386"/>
      <c r="N77" s="386"/>
      <c r="O77" s="386"/>
      <c r="P77" s="386"/>
      <c r="Q77" s="386"/>
      <c r="R77" s="386"/>
    </row>
    <row r="78" spans="1:21" x14ac:dyDescent="0.25">
      <c r="A78" s="386" t="s">
        <v>82</v>
      </c>
      <c r="B78" s="386"/>
      <c r="C78" s="386"/>
      <c r="D78" s="386"/>
      <c r="E78" s="386"/>
      <c r="F78" s="386"/>
      <c r="G78" s="386"/>
      <c r="H78" s="386"/>
      <c r="I78" s="386"/>
      <c r="J78" s="386"/>
      <c r="K78" s="386"/>
      <c r="L78" s="386"/>
      <c r="M78" s="386"/>
      <c r="N78" s="386"/>
      <c r="O78" s="386"/>
      <c r="P78" s="386"/>
      <c r="Q78" s="386"/>
      <c r="R78" s="386"/>
    </row>
    <row r="79" spans="1:21" x14ac:dyDescent="0.25">
      <c r="A79" s="386" t="s">
        <v>83</v>
      </c>
      <c r="B79" s="386"/>
      <c r="C79" s="386"/>
      <c r="D79" s="386"/>
      <c r="E79" s="386"/>
      <c r="F79" s="386"/>
      <c r="G79" s="386"/>
      <c r="H79" s="386"/>
      <c r="I79" s="386"/>
      <c r="J79" s="386"/>
      <c r="K79" s="386"/>
      <c r="L79" s="386"/>
      <c r="M79" s="386"/>
      <c r="N79" s="386"/>
      <c r="O79" s="386"/>
      <c r="P79" s="386"/>
      <c r="Q79" s="386"/>
      <c r="R79" s="386"/>
    </row>
    <row r="80" spans="1:21" x14ac:dyDescent="0.25">
      <c r="A80" s="386" t="s">
        <v>84</v>
      </c>
      <c r="B80" s="386"/>
      <c r="C80" s="386"/>
      <c r="D80" s="386"/>
      <c r="E80" s="386"/>
      <c r="F80" s="386"/>
      <c r="G80" s="386"/>
      <c r="H80" s="386"/>
      <c r="I80" s="386"/>
      <c r="J80" s="386"/>
      <c r="K80" s="386"/>
      <c r="L80" s="386"/>
      <c r="M80" s="386"/>
      <c r="N80" s="386"/>
      <c r="O80" s="386"/>
      <c r="P80" s="386"/>
      <c r="Q80" s="386"/>
      <c r="R80" s="386"/>
    </row>
    <row r="81" spans="1:18" x14ac:dyDescent="0.25">
      <c r="A81" s="386" t="s">
        <v>85</v>
      </c>
      <c r="B81" s="386"/>
      <c r="C81" s="386"/>
      <c r="D81" s="386"/>
      <c r="E81" s="386"/>
      <c r="F81" s="386"/>
      <c r="G81" s="386"/>
      <c r="H81" s="386"/>
      <c r="I81" s="386"/>
      <c r="J81" s="386"/>
      <c r="K81" s="386"/>
      <c r="L81" s="386"/>
      <c r="M81" s="386"/>
      <c r="N81" s="386"/>
      <c r="O81" s="386"/>
      <c r="P81" s="386"/>
      <c r="Q81" s="386"/>
      <c r="R81" s="386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91" customWidth="1"/>
    <col min="2" max="6" width="7.7265625" style="91" customWidth="1"/>
    <col min="7" max="7" width="3.54296875" style="91" customWidth="1"/>
    <col min="8" max="12" width="7.7265625" style="91" customWidth="1"/>
    <col min="13" max="13" width="3.54296875" style="91" customWidth="1"/>
    <col min="14" max="18" width="7.7265625" style="91" customWidth="1"/>
    <col min="19" max="19" width="3.54296875" style="91" customWidth="1"/>
    <col min="20" max="24" width="7.7265625" style="91" customWidth="1"/>
    <col min="25" max="16384" width="9.1796875" style="91"/>
  </cols>
  <sheetData>
    <row r="1" spans="1:60" ht="15.5" x14ac:dyDescent="0.3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4" t="s">
        <v>13</v>
      </c>
      <c r="X2" s="384"/>
      <c r="AP2" s="121" t="s">
        <v>13</v>
      </c>
      <c r="BH2" s="121" t="s">
        <v>13</v>
      </c>
    </row>
    <row r="3" spans="1:60" ht="13" x14ac:dyDescent="0.3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ht="13" x14ac:dyDescent="0.3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ht="13" x14ac:dyDescent="0.3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ht="13" x14ac:dyDescent="0.3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5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5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5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5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5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5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5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5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5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5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5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5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5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ht="13" x14ac:dyDescent="0.3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5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5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5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5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5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5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5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5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5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5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5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5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5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ht="13" x14ac:dyDescent="0.3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5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5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5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5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5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5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5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5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5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5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5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5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5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5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5" x14ac:dyDescent="0.3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4" t="s">
        <v>13</v>
      </c>
      <c r="X50" s="384"/>
      <c r="AP50" s="183" t="str">
        <f>AP2</f>
        <v>Levels (000s)</v>
      </c>
      <c r="BH50" s="183" t="str">
        <f>BH2</f>
        <v>Levels (000s)</v>
      </c>
    </row>
    <row r="51" spans="1:60" ht="13" x14ac:dyDescent="0.3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ht="13" x14ac:dyDescent="0.3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ht="13" x14ac:dyDescent="0.3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ht="13" x14ac:dyDescent="0.3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5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5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5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5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5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5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5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5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5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5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5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5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5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ht="13" x14ac:dyDescent="0.3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5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5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5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5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5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5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5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5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5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5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5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5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5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ht="13" x14ac:dyDescent="0.3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5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5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5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5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5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5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5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5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5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5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5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5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5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5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topLeftCell="D1" zoomScale="85" zoomScaleNormal="85" workbookViewId="0">
      <pane ySplit="2" topLeftCell="A3" activePane="bottomLeft" state="frozen"/>
      <selection pane="bottomLeft" activeCell="G22" sqref="G22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5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5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5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5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5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5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5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5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5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5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5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5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5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5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5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5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5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5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5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5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5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5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5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5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5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5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5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5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5">
      <c r="A30" s="10" t="s">
        <v>274</v>
      </c>
      <c r="C30" t="s">
        <v>11</v>
      </c>
      <c r="E30" t="s">
        <v>11</v>
      </c>
    </row>
    <row r="31" spans="1:9" x14ac:dyDescent="0.25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5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5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5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5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5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5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5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5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5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5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5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5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5">
      <c r="A44" s="10" t="s">
        <v>140</v>
      </c>
      <c r="D44" t="s">
        <v>11</v>
      </c>
      <c r="E44" t="s">
        <v>11</v>
      </c>
    </row>
    <row r="45" spans="1:9" x14ac:dyDescent="0.25">
      <c r="A45" s="10" t="s">
        <v>283</v>
      </c>
    </row>
    <row r="46" spans="1:9" x14ac:dyDescent="0.25">
      <c r="A46" s="10" t="s">
        <v>284</v>
      </c>
      <c r="I46" s="83"/>
    </row>
    <row r="47" spans="1:9" x14ac:dyDescent="0.25">
      <c r="A47" s="10" t="s">
        <v>91</v>
      </c>
    </row>
    <row r="48" spans="1:9" x14ac:dyDescent="0.25">
      <c r="A48" s="10" t="s">
        <v>285</v>
      </c>
    </row>
    <row r="49" spans="1:9" x14ac:dyDescent="0.25">
      <c r="A49" s="10" t="s">
        <v>286</v>
      </c>
    </row>
    <row r="50" spans="1:9" x14ac:dyDescent="0.25">
      <c r="A50" s="10" t="s">
        <v>287</v>
      </c>
    </row>
    <row r="51" spans="1:9" x14ac:dyDescent="0.25">
      <c r="A51" s="10" t="s">
        <v>288</v>
      </c>
      <c r="I51" s="83"/>
    </row>
    <row r="52" spans="1:9" x14ac:dyDescent="0.25">
      <c r="A52" s="10" t="s">
        <v>289</v>
      </c>
    </row>
    <row r="53" spans="1:9" x14ac:dyDescent="0.25">
      <c r="A53" s="10" t="s">
        <v>290</v>
      </c>
    </row>
    <row r="54" spans="1:9" x14ac:dyDescent="0.25">
      <c r="A54" s="10" t="s">
        <v>291</v>
      </c>
    </row>
    <row r="55" spans="1:9" x14ac:dyDescent="0.25">
      <c r="A55" s="10" t="s">
        <v>292</v>
      </c>
    </row>
    <row r="56" spans="1:9" x14ac:dyDescent="0.25">
      <c r="A56" s="10" t="s">
        <v>293</v>
      </c>
      <c r="I56" s="83"/>
    </row>
    <row r="57" spans="1:9" x14ac:dyDescent="0.25">
      <c r="A57" s="10" t="s">
        <v>141</v>
      </c>
    </row>
    <row r="58" spans="1:9" x14ac:dyDescent="0.25">
      <c r="A58" s="10" t="s">
        <v>294</v>
      </c>
    </row>
    <row r="59" spans="1:9" x14ac:dyDescent="0.25">
      <c r="A59" s="10" t="s">
        <v>295</v>
      </c>
    </row>
    <row r="60" spans="1:9" x14ac:dyDescent="0.25">
      <c r="A60" s="10" t="s">
        <v>296</v>
      </c>
    </row>
    <row r="61" spans="1:9" x14ac:dyDescent="0.25">
      <c r="A61" s="10" t="s">
        <v>297</v>
      </c>
    </row>
    <row r="62" spans="1:9" x14ac:dyDescent="0.25">
      <c r="A62" s="10" t="s">
        <v>142</v>
      </c>
    </row>
    <row r="63" spans="1:9" x14ac:dyDescent="0.25">
      <c r="A63" s="10" t="s">
        <v>298</v>
      </c>
    </row>
    <row r="64" spans="1:9" x14ac:dyDescent="0.25">
      <c r="A64" s="10" t="s">
        <v>299</v>
      </c>
    </row>
    <row r="65" spans="1:9" x14ac:dyDescent="0.25">
      <c r="A65" s="10" t="s">
        <v>300</v>
      </c>
      <c r="I65" s="83"/>
    </row>
    <row r="66" spans="1:9" x14ac:dyDescent="0.25">
      <c r="A66" s="10" t="s">
        <v>301</v>
      </c>
    </row>
    <row r="67" spans="1:9" x14ac:dyDescent="0.25">
      <c r="A67" s="10" t="s">
        <v>302</v>
      </c>
    </row>
    <row r="68" spans="1:9" x14ac:dyDescent="0.25">
      <c r="A68" s="10" t="s">
        <v>303</v>
      </c>
    </row>
    <row r="69" spans="1:9" x14ac:dyDescent="0.25">
      <c r="A69" s="10" t="s">
        <v>92</v>
      </c>
    </row>
    <row r="70" spans="1:9" x14ac:dyDescent="0.25">
      <c r="A70" s="10" t="s">
        <v>304</v>
      </c>
    </row>
    <row r="71" spans="1:9" x14ac:dyDescent="0.25">
      <c r="A71" s="10" t="s">
        <v>305</v>
      </c>
      <c r="I71" s="83"/>
    </row>
    <row r="72" spans="1:9" x14ac:dyDescent="0.25">
      <c r="A72" s="10" t="s">
        <v>93</v>
      </c>
    </row>
    <row r="73" spans="1:9" x14ac:dyDescent="0.25">
      <c r="A73" s="10" t="s">
        <v>306</v>
      </c>
    </row>
    <row r="74" spans="1:9" x14ac:dyDescent="0.25">
      <c r="A74" s="10" t="s">
        <v>307</v>
      </c>
      <c r="I74" s="83"/>
    </row>
    <row r="75" spans="1:9" x14ac:dyDescent="0.25">
      <c r="A75" s="10" t="s">
        <v>308</v>
      </c>
    </row>
    <row r="76" spans="1:9" x14ac:dyDescent="0.25">
      <c r="A76" s="10" t="s">
        <v>309</v>
      </c>
    </row>
    <row r="77" spans="1:9" x14ac:dyDescent="0.25">
      <c r="A77" s="10" t="s">
        <v>310</v>
      </c>
    </row>
    <row r="78" spans="1:9" x14ac:dyDescent="0.25">
      <c r="A78" s="10" t="s">
        <v>311</v>
      </c>
    </row>
    <row r="81" spans="9:9" x14ac:dyDescent="0.25">
      <c r="I81" s="83"/>
    </row>
    <row r="85" spans="9:9" x14ac:dyDescent="0.25">
      <c r="I85" s="83"/>
    </row>
    <row r="91" spans="9:9" x14ac:dyDescent="0.25">
      <c r="I91" s="83"/>
    </row>
    <row r="96" spans="9:9" x14ac:dyDescent="0.25">
      <c r="I96" s="83"/>
    </row>
    <row r="101" spans="9:9" x14ac:dyDescent="0.25">
      <c r="I101" s="83"/>
    </row>
    <row r="106" spans="9:9" x14ac:dyDescent="0.25">
      <c r="I106" s="83"/>
    </row>
    <row r="111" spans="9:9" x14ac:dyDescent="0.25">
      <c r="I111" s="83"/>
    </row>
    <row r="119" spans="9:9" x14ac:dyDescent="0.25">
      <c r="I119" s="83"/>
    </row>
    <row r="129" spans="9:9" x14ac:dyDescent="0.25">
      <c r="I129" s="83"/>
    </row>
    <row r="134" spans="9:9" x14ac:dyDescent="0.25">
      <c r="I134" s="83"/>
    </row>
    <row r="141" spans="9:9" x14ac:dyDescent="0.25">
      <c r="I141" s="83"/>
    </row>
    <row r="143" spans="9:9" x14ac:dyDescent="0.25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5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166</v>
      </c>
    </row>
    <row r="3" spans="1:4" x14ac:dyDescent="0.25">
      <c r="A3" s="126"/>
      <c r="B3" s="126" t="s">
        <v>354</v>
      </c>
      <c r="C3" s="126"/>
      <c r="D3" s="126" t="s">
        <v>355</v>
      </c>
    </row>
    <row r="4" spans="1:4" x14ac:dyDescent="0.25">
      <c r="A4" s="126"/>
      <c r="B4" s="126"/>
      <c r="C4" s="126"/>
      <c r="D4" s="126"/>
    </row>
    <row r="5" spans="1:4" x14ac:dyDescent="0.25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5">
      <c r="A6" s="126"/>
      <c r="B6" s="126"/>
      <c r="C6" s="126"/>
      <c r="D6" s="126"/>
    </row>
    <row r="7" spans="1:4" x14ac:dyDescent="0.25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5">
      <c r="A8" s="126"/>
      <c r="B8" s="126"/>
      <c r="C8" s="126"/>
      <c r="D8" s="126"/>
    </row>
    <row r="9" spans="1:4" x14ac:dyDescent="0.25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5">
      <c r="A10" s="126"/>
      <c r="B10" s="126"/>
      <c r="C10" s="126">
        <v>4</v>
      </c>
      <c r="D10" s="126" t="s">
        <v>172</v>
      </c>
    </row>
    <row r="11" spans="1:4" x14ac:dyDescent="0.25">
      <c r="A11" s="126"/>
      <c r="B11" s="126"/>
      <c r="C11" s="126"/>
      <c r="D11" s="126"/>
    </row>
    <row r="12" spans="1:4" x14ac:dyDescent="0.25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5">
      <c r="A13" s="126"/>
      <c r="B13" s="126"/>
      <c r="C13" s="126">
        <v>17</v>
      </c>
      <c r="D13" s="126" t="s">
        <v>95</v>
      </c>
    </row>
    <row r="14" spans="1:4" x14ac:dyDescent="0.25">
      <c r="A14" s="126"/>
      <c r="B14" s="126"/>
      <c r="C14" s="126">
        <v>18</v>
      </c>
      <c r="D14" s="126" t="s">
        <v>174</v>
      </c>
    </row>
    <row r="15" spans="1:4" x14ac:dyDescent="0.25">
      <c r="A15" s="126"/>
      <c r="B15" s="126"/>
      <c r="C15" s="126"/>
      <c r="D15" s="126"/>
    </row>
    <row r="16" spans="1:4" x14ac:dyDescent="0.25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5">
      <c r="A17" s="126"/>
      <c r="B17" s="126"/>
      <c r="C17" s="126">
        <v>6</v>
      </c>
      <c r="D17" s="126" t="s">
        <v>176</v>
      </c>
    </row>
    <row r="18" spans="1:4" x14ac:dyDescent="0.25">
      <c r="A18" s="126"/>
      <c r="B18" s="126"/>
      <c r="C18" s="126">
        <v>7</v>
      </c>
      <c r="D18" s="126" t="s">
        <v>177</v>
      </c>
    </row>
    <row r="19" spans="1:4" x14ac:dyDescent="0.25">
      <c r="A19" s="126"/>
      <c r="B19" s="126"/>
      <c r="C19" s="126">
        <v>8</v>
      </c>
      <c r="D19" s="126" t="s">
        <v>178</v>
      </c>
    </row>
    <row r="20" spans="1:4" x14ac:dyDescent="0.25">
      <c r="A20" s="126"/>
      <c r="B20" s="126"/>
      <c r="C20" s="126">
        <v>9</v>
      </c>
      <c r="D20" s="126" t="s">
        <v>179</v>
      </c>
    </row>
    <row r="21" spans="1:4" x14ac:dyDescent="0.25">
      <c r="A21" s="126"/>
      <c r="B21" s="126"/>
      <c r="C21" s="126">
        <v>10</v>
      </c>
      <c r="D21" s="126" t="s">
        <v>180</v>
      </c>
    </row>
    <row r="22" spans="1:4" x14ac:dyDescent="0.25">
      <c r="A22" s="126"/>
      <c r="B22" s="126"/>
      <c r="C22" s="126">
        <v>11</v>
      </c>
      <c r="D22" s="126" t="s">
        <v>70</v>
      </c>
    </row>
    <row r="23" spans="1:4" x14ac:dyDescent="0.25">
      <c r="A23" s="126"/>
      <c r="B23" s="126"/>
      <c r="C23" s="126">
        <v>12</v>
      </c>
      <c r="D23" s="126" t="s">
        <v>181</v>
      </c>
    </row>
    <row r="24" spans="1:4" x14ac:dyDescent="0.25">
      <c r="A24" s="126"/>
      <c r="B24" s="126"/>
      <c r="C24" s="126">
        <v>13</v>
      </c>
      <c r="D24" s="126" t="s">
        <v>182</v>
      </c>
    </row>
    <row r="25" spans="1:4" x14ac:dyDescent="0.25">
      <c r="A25" s="126"/>
      <c r="B25" s="126"/>
      <c r="C25" s="126">
        <v>14</v>
      </c>
      <c r="D25" s="126" t="s">
        <v>128</v>
      </c>
    </row>
    <row r="26" spans="1:4" x14ac:dyDescent="0.25">
      <c r="A26" s="126"/>
      <c r="B26" s="126"/>
      <c r="C26" s="126">
        <v>15</v>
      </c>
      <c r="D26" s="126" t="s">
        <v>129</v>
      </c>
    </row>
    <row r="27" spans="1:4" x14ac:dyDescent="0.25">
      <c r="A27" s="126"/>
      <c r="B27" s="126"/>
      <c r="C27" s="126">
        <v>19</v>
      </c>
      <c r="D27" s="126" t="s">
        <v>183</v>
      </c>
    </row>
    <row r="28" spans="1:4" x14ac:dyDescent="0.25">
      <c r="A28" s="126"/>
      <c r="B28" s="126"/>
      <c r="C28" s="126">
        <v>20</v>
      </c>
      <c r="D28" s="126" t="s">
        <v>184</v>
      </c>
    </row>
    <row r="29" spans="1:4" x14ac:dyDescent="0.25">
      <c r="A29" s="126"/>
      <c r="B29" s="126"/>
      <c r="C29" s="126">
        <v>21</v>
      </c>
      <c r="D29" s="126" t="s">
        <v>185</v>
      </c>
    </row>
    <row r="30" spans="1:4" x14ac:dyDescent="0.25">
      <c r="A30" s="126"/>
      <c r="B30" s="126"/>
      <c r="C30" s="126">
        <v>22</v>
      </c>
      <c r="D30" s="126" t="s">
        <v>186</v>
      </c>
    </row>
    <row r="31" spans="1:4" x14ac:dyDescent="0.25">
      <c r="A31" s="126"/>
      <c r="B31" s="126"/>
      <c r="C31" s="126">
        <v>23</v>
      </c>
      <c r="D31" s="126" t="s">
        <v>187</v>
      </c>
    </row>
    <row r="32" spans="1:4" x14ac:dyDescent="0.25">
      <c r="A32" s="126"/>
      <c r="B32" s="126"/>
      <c r="C32" s="126"/>
      <c r="D32" s="126"/>
    </row>
    <row r="33" spans="1:4" x14ac:dyDescent="0.25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5">
      <c r="A34" s="126"/>
      <c r="B34" s="126"/>
      <c r="C34" s="126"/>
      <c r="D34" s="126"/>
    </row>
    <row r="35" spans="1:4" x14ac:dyDescent="0.25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5">
      <c r="A36" s="126"/>
      <c r="B36" s="126"/>
      <c r="C36" s="126">
        <v>26</v>
      </c>
      <c r="D36" s="126" t="s">
        <v>192</v>
      </c>
    </row>
    <row r="37" spans="1:4" x14ac:dyDescent="0.25">
      <c r="A37" s="126"/>
      <c r="B37" s="126"/>
      <c r="C37" s="126">
        <v>27</v>
      </c>
      <c r="D37" s="126" t="s">
        <v>193</v>
      </c>
    </row>
    <row r="38" spans="1:4" x14ac:dyDescent="0.25">
      <c r="A38" s="126"/>
      <c r="B38" s="126"/>
      <c r="C38" s="126"/>
      <c r="D38" s="126"/>
    </row>
    <row r="39" spans="1:4" x14ac:dyDescent="0.25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5">
      <c r="A40" s="126"/>
      <c r="B40" s="126"/>
      <c r="C40" s="126">
        <v>29</v>
      </c>
      <c r="D40" s="126" t="s">
        <v>195</v>
      </c>
    </row>
    <row r="41" spans="1:4" x14ac:dyDescent="0.25">
      <c r="A41" s="126"/>
      <c r="B41" s="126"/>
      <c r="C41" s="126">
        <v>30</v>
      </c>
      <c r="D41" s="126" t="s">
        <v>196</v>
      </c>
    </row>
    <row r="42" spans="1:4" x14ac:dyDescent="0.25">
      <c r="A42" s="126"/>
      <c r="B42" s="126"/>
      <c r="C42" s="126"/>
      <c r="D42" s="126"/>
    </row>
    <row r="43" spans="1:4" x14ac:dyDescent="0.25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5">
      <c r="A44" s="126"/>
      <c r="B44" s="126"/>
      <c r="C44" s="126">
        <v>32</v>
      </c>
      <c r="D44" s="126" t="s">
        <v>198</v>
      </c>
    </row>
    <row r="45" spans="1:4" x14ac:dyDescent="0.25">
      <c r="A45" s="126"/>
      <c r="B45" s="126"/>
      <c r="C45" s="126">
        <v>33</v>
      </c>
      <c r="D45" s="126" t="s">
        <v>199</v>
      </c>
    </row>
    <row r="46" spans="1:4" x14ac:dyDescent="0.25">
      <c r="A46" s="126"/>
      <c r="B46" s="126"/>
      <c r="C46" s="126"/>
      <c r="D46" s="126"/>
    </row>
    <row r="47" spans="1:4" x14ac:dyDescent="0.25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5">
      <c r="A48" s="126"/>
      <c r="B48" s="126"/>
      <c r="C48" s="126">
        <v>35</v>
      </c>
      <c r="D48" s="126" t="s">
        <v>202</v>
      </c>
    </row>
    <row r="49" spans="1:4" x14ac:dyDescent="0.25">
      <c r="A49" s="126"/>
      <c r="B49" s="126"/>
      <c r="C49" s="126">
        <v>36</v>
      </c>
      <c r="D49" s="126" t="s">
        <v>203</v>
      </c>
    </row>
    <row r="50" spans="1:4" x14ac:dyDescent="0.25">
      <c r="A50" s="126"/>
      <c r="B50" s="126"/>
      <c r="C50" s="126">
        <v>37</v>
      </c>
      <c r="D50" s="126" t="s">
        <v>204</v>
      </c>
    </row>
    <row r="51" spans="1:4" x14ac:dyDescent="0.25">
      <c r="A51" s="126"/>
      <c r="B51" s="126"/>
      <c r="C51" s="126">
        <v>38</v>
      </c>
      <c r="D51" s="126" t="s">
        <v>205</v>
      </c>
    </row>
    <row r="52" spans="1:4" x14ac:dyDescent="0.25">
      <c r="A52" s="126"/>
      <c r="B52" s="126"/>
      <c r="C52" s="126"/>
      <c r="D52" s="126"/>
    </row>
    <row r="53" spans="1:4" x14ac:dyDescent="0.25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5">
      <c r="A54" s="126"/>
      <c r="B54" s="126"/>
      <c r="C54" s="126">
        <v>40</v>
      </c>
      <c r="D54" s="126" t="s">
        <v>208</v>
      </c>
    </row>
    <row r="55" spans="1:4" x14ac:dyDescent="0.25">
      <c r="A55" s="126"/>
      <c r="B55" s="126"/>
      <c r="C55" s="126"/>
      <c r="D55" s="126"/>
    </row>
    <row r="56" spans="1:4" x14ac:dyDescent="0.25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5">
      <c r="A57" s="126"/>
      <c r="B57" s="126"/>
      <c r="C57" s="126">
        <v>42</v>
      </c>
      <c r="D57" s="126" t="s">
        <v>209</v>
      </c>
    </row>
    <row r="58" spans="1:4" x14ac:dyDescent="0.25">
      <c r="A58" s="126"/>
      <c r="B58" s="126"/>
      <c r="C58" s="126">
        <v>43</v>
      </c>
      <c r="D58" s="126" t="s">
        <v>210</v>
      </c>
    </row>
    <row r="59" spans="1:4" x14ac:dyDescent="0.25">
      <c r="A59" s="126"/>
      <c r="B59" s="126"/>
      <c r="C59" s="126"/>
      <c r="D59" s="126"/>
    </row>
    <row r="60" spans="1:4" x14ac:dyDescent="0.25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5">
      <c r="A61" s="126"/>
      <c r="B61" s="126"/>
      <c r="C61" s="126">
        <v>45</v>
      </c>
      <c r="D61" s="126" t="s">
        <v>212</v>
      </c>
    </row>
    <row r="62" spans="1:4" x14ac:dyDescent="0.25">
      <c r="A62" s="126"/>
      <c r="B62" s="126"/>
      <c r="C62" s="126">
        <v>46</v>
      </c>
      <c r="D62" s="126" t="s">
        <v>213</v>
      </c>
    </row>
    <row r="63" spans="1:4" x14ac:dyDescent="0.25">
      <c r="A63" s="126"/>
      <c r="B63" s="126"/>
      <c r="C63" s="126"/>
      <c r="D63" s="126"/>
    </row>
    <row r="64" spans="1:4" x14ac:dyDescent="0.25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5">
      <c r="A65" s="126"/>
      <c r="B65" s="126"/>
      <c r="C65" s="126">
        <v>48</v>
      </c>
      <c r="D65" s="126" t="s">
        <v>215</v>
      </c>
    </row>
    <row r="66" spans="1:4" x14ac:dyDescent="0.25">
      <c r="A66" s="126"/>
      <c r="B66" s="126"/>
      <c r="C66" s="126">
        <v>49</v>
      </c>
      <c r="D66" s="126" t="s">
        <v>216</v>
      </c>
    </row>
    <row r="67" spans="1:4" x14ac:dyDescent="0.25">
      <c r="A67" s="126"/>
      <c r="B67" s="126"/>
      <c r="C67" s="126"/>
      <c r="D67" s="126"/>
    </row>
    <row r="68" spans="1:4" x14ac:dyDescent="0.25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5">
      <c r="A69" s="126"/>
      <c r="B69" s="126"/>
      <c r="C69" s="126"/>
      <c r="D69" s="126"/>
    </row>
    <row r="70" spans="1:4" x14ac:dyDescent="0.25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5">
      <c r="A71" s="126"/>
      <c r="B71" s="126"/>
      <c r="C71" s="126">
        <v>52</v>
      </c>
      <c r="D71" s="126" t="s">
        <v>220</v>
      </c>
    </row>
    <row r="72" spans="1:4" x14ac:dyDescent="0.25">
      <c r="A72" s="126"/>
      <c r="B72" s="126"/>
      <c r="C72" s="126">
        <v>53</v>
      </c>
      <c r="D72" s="126" t="s">
        <v>221</v>
      </c>
    </row>
    <row r="73" spans="1:4" x14ac:dyDescent="0.25">
      <c r="A73" s="126"/>
      <c r="B73" s="126"/>
      <c r="C73" s="126">
        <v>54</v>
      </c>
      <c r="D73" s="126" t="s">
        <v>222</v>
      </c>
    </row>
    <row r="74" spans="1:4" x14ac:dyDescent="0.25">
      <c r="A74" s="126"/>
      <c r="B74" s="126"/>
      <c r="C74" s="126">
        <v>55</v>
      </c>
      <c r="D74" s="126" t="s">
        <v>223</v>
      </c>
    </row>
    <row r="75" spans="1:4" x14ac:dyDescent="0.25">
      <c r="A75" s="126"/>
      <c r="B75" s="126"/>
      <c r="C75" s="126">
        <v>56</v>
      </c>
      <c r="D75" s="126" t="s">
        <v>224</v>
      </c>
    </row>
    <row r="76" spans="1:4" x14ac:dyDescent="0.25">
      <c r="A76" s="126"/>
      <c r="B76" s="126"/>
      <c r="C76" s="126">
        <v>57</v>
      </c>
      <c r="D76" s="126" t="s">
        <v>225</v>
      </c>
    </row>
    <row r="77" spans="1:4" x14ac:dyDescent="0.25">
      <c r="A77" s="126"/>
      <c r="B77" s="126"/>
      <c r="C77" s="126"/>
      <c r="D77" s="126"/>
    </row>
    <row r="78" spans="1:4" x14ac:dyDescent="0.25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5">
      <c r="A79" s="126"/>
      <c r="B79" s="126"/>
      <c r="C79" s="126">
        <v>59</v>
      </c>
      <c r="D79" s="126" t="s">
        <v>132</v>
      </c>
    </row>
    <row r="80" spans="1:4" x14ac:dyDescent="0.25">
      <c r="A80" s="126"/>
      <c r="B80" s="126"/>
      <c r="C80" s="126">
        <v>60</v>
      </c>
      <c r="D80" s="126" t="s">
        <v>228</v>
      </c>
    </row>
    <row r="81" spans="1:4" x14ac:dyDescent="0.25">
      <c r="A81" s="126"/>
      <c r="B81" s="126"/>
      <c r="C81" s="126">
        <v>61</v>
      </c>
      <c r="D81" s="126" t="s">
        <v>229</v>
      </c>
    </row>
    <row r="82" spans="1:4" x14ac:dyDescent="0.25">
      <c r="A82" s="126"/>
      <c r="B82" s="126"/>
      <c r="C82" s="126">
        <v>62</v>
      </c>
      <c r="D82" s="126" t="s">
        <v>230</v>
      </c>
    </row>
    <row r="83" spans="1:4" x14ac:dyDescent="0.25">
      <c r="A83" s="126"/>
      <c r="B83" s="126"/>
      <c r="C83" s="126">
        <v>63</v>
      </c>
      <c r="D83" s="126" t="s">
        <v>231</v>
      </c>
    </row>
    <row r="84" spans="1:4" x14ac:dyDescent="0.25">
      <c r="A84" s="126"/>
      <c r="B84" s="126"/>
      <c r="C84" s="126"/>
      <c r="D84" s="126"/>
    </row>
    <row r="85" spans="1:4" x14ac:dyDescent="0.25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5">
      <c r="A86" s="126"/>
      <c r="B86" s="126"/>
      <c r="C86" s="126"/>
      <c r="D86" s="126"/>
    </row>
    <row r="87" spans="1:4" x14ac:dyDescent="0.25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5">
      <c r="A88" s="126"/>
      <c r="B88" s="126"/>
      <c r="C88" s="126"/>
      <c r="D88" s="126"/>
    </row>
    <row r="89" spans="1:4" x14ac:dyDescent="0.25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5">
      <c r="A90" s="126"/>
      <c r="B90" s="126"/>
      <c r="C90" s="126">
        <v>67</v>
      </c>
      <c r="D90" s="126" t="s">
        <v>235</v>
      </c>
    </row>
    <row r="91" spans="1:4" x14ac:dyDescent="0.25">
      <c r="A91" s="126"/>
      <c r="B91" s="126"/>
      <c r="C91" s="126">
        <v>68</v>
      </c>
      <c r="D91" s="126" t="s">
        <v>236</v>
      </c>
    </row>
    <row r="92" spans="1:4" x14ac:dyDescent="0.25">
      <c r="A92" s="126"/>
      <c r="B92" s="126"/>
      <c r="C92" s="126"/>
      <c r="D92" s="126"/>
    </row>
    <row r="93" spans="1:4" x14ac:dyDescent="0.25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5">
      <c r="A94" s="126"/>
      <c r="B94" s="126"/>
      <c r="C94" s="126">
        <v>70</v>
      </c>
      <c r="D94" s="126" t="s">
        <v>238</v>
      </c>
    </row>
    <row r="95" spans="1:4" x14ac:dyDescent="0.25">
      <c r="A95" s="126"/>
      <c r="B95" s="126"/>
      <c r="C95" s="126">
        <v>71</v>
      </c>
      <c r="D95" s="126" t="s">
        <v>239</v>
      </c>
    </row>
    <row r="96" spans="1:4" x14ac:dyDescent="0.25">
      <c r="A96" s="126"/>
      <c r="B96" s="126"/>
      <c r="C96" s="126">
        <v>72</v>
      </c>
      <c r="D96" s="126" t="s">
        <v>240</v>
      </c>
    </row>
    <row r="97" spans="1:4" x14ac:dyDescent="0.25">
      <c r="A97" s="126"/>
      <c r="B97" s="126"/>
      <c r="C97" s="126"/>
      <c r="D97" s="126"/>
    </row>
    <row r="98" spans="1:4" x14ac:dyDescent="0.25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5">
      <c r="A99" s="126"/>
      <c r="B99" s="126"/>
      <c r="C99" s="126">
        <v>74</v>
      </c>
      <c r="D99" s="126" t="s">
        <v>242</v>
      </c>
    </row>
    <row r="100" spans="1:4" x14ac:dyDescent="0.25">
      <c r="A100" s="126"/>
      <c r="B100" s="126"/>
      <c r="C100" s="126">
        <v>75</v>
      </c>
      <c r="D100" s="126" t="s">
        <v>243</v>
      </c>
    </row>
    <row r="101" spans="1:4" x14ac:dyDescent="0.25">
      <c r="A101"/>
      <c r="B101"/>
      <c r="C101" s="89"/>
      <c r="D101"/>
    </row>
    <row r="102" spans="1:4" ht="13" x14ac:dyDescent="0.3">
      <c r="A102" s="17" t="s">
        <v>244</v>
      </c>
      <c r="B102" s="89"/>
      <c r="C102" s="89"/>
      <c r="D102"/>
    </row>
    <row r="103" spans="1:4" x14ac:dyDescent="0.25">
      <c r="A103" s="89"/>
      <c r="B103" s="89"/>
      <c r="C103" s="89"/>
      <c r="D103"/>
    </row>
    <row r="104" spans="1:4" x14ac:dyDescent="0.25">
      <c r="A104" s="10"/>
      <c r="B104" s="126" t="s">
        <v>356</v>
      </c>
      <c r="C104" s="10"/>
      <c r="D104" s="126" t="s">
        <v>355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5">
      <c r="A107" s="10"/>
      <c r="B107" s="10"/>
      <c r="C107" s="10">
        <v>2</v>
      </c>
      <c r="D107" s="10" t="s">
        <v>169</v>
      </c>
    </row>
    <row r="108" spans="1:4" x14ac:dyDescent="0.25">
      <c r="A108" s="10"/>
      <c r="B108" s="10"/>
      <c r="C108" s="10">
        <v>24</v>
      </c>
      <c r="D108" s="10" t="s">
        <v>189</v>
      </c>
    </row>
    <row r="109" spans="1:4" x14ac:dyDescent="0.25">
      <c r="A109" s="10"/>
      <c r="B109" s="10"/>
      <c r="C109" s="10">
        <v>25</v>
      </c>
      <c r="D109" s="10" t="s">
        <v>191</v>
      </c>
    </row>
    <row r="110" spans="1:4" x14ac:dyDescent="0.25">
      <c r="A110" s="10"/>
      <c r="B110" s="10"/>
      <c r="C110" s="10">
        <v>26</v>
      </c>
      <c r="D110" s="10" t="s">
        <v>192</v>
      </c>
    </row>
    <row r="111" spans="1:4" x14ac:dyDescent="0.25">
      <c r="A111" s="10"/>
      <c r="B111" s="10"/>
      <c r="C111" s="10">
        <v>27</v>
      </c>
      <c r="D111" s="10" t="s">
        <v>193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5">
      <c r="A114" s="10"/>
      <c r="B114" s="10"/>
      <c r="C114" s="10">
        <v>4</v>
      </c>
      <c r="D114" s="10" t="s">
        <v>172</v>
      </c>
    </row>
    <row r="115" spans="1:4" x14ac:dyDescent="0.25">
      <c r="A115" s="10"/>
      <c r="B115" s="10"/>
      <c r="C115" s="10">
        <v>5</v>
      </c>
      <c r="D115" s="10" t="s">
        <v>175</v>
      </c>
    </row>
    <row r="116" spans="1:4" x14ac:dyDescent="0.25">
      <c r="A116" s="10"/>
      <c r="B116" s="10"/>
      <c r="C116" s="10">
        <v>6</v>
      </c>
      <c r="D116" s="10" t="s">
        <v>176</v>
      </c>
    </row>
    <row r="117" spans="1:4" x14ac:dyDescent="0.25">
      <c r="A117" s="10"/>
      <c r="B117" s="10"/>
      <c r="C117" s="10">
        <v>7</v>
      </c>
      <c r="D117" s="10" t="s">
        <v>177</v>
      </c>
    </row>
    <row r="118" spans="1:4" x14ac:dyDescent="0.25">
      <c r="A118" s="10"/>
      <c r="B118" s="10"/>
      <c r="C118" s="10">
        <v>8</v>
      </c>
      <c r="D118" s="10" t="s">
        <v>178</v>
      </c>
    </row>
    <row r="119" spans="1:4" x14ac:dyDescent="0.25">
      <c r="A119" s="10"/>
      <c r="B119" s="10"/>
      <c r="C119" s="10">
        <v>9</v>
      </c>
      <c r="D119" s="10" t="s">
        <v>179</v>
      </c>
    </row>
    <row r="120" spans="1:4" x14ac:dyDescent="0.25">
      <c r="A120" s="10"/>
      <c r="B120" s="10"/>
      <c r="C120" s="10">
        <v>10</v>
      </c>
      <c r="D120" s="10" t="s">
        <v>180</v>
      </c>
    </row>
    <row r="121" spans="1:4" x14ac:dyDescent="0.25">
      <c r="A121" s="10"/>
      <c r="B121" s="10"/>
      <c r="C121" s="10">
        <v>11</v>
      </c>
      <c r="D121" s="10" t="s">
        <v>70</v>
      </c>
    </row>
    <row r="122" spans="1:4" x14ac:dyDescent="0.25">
      <c r="A122" s="10"/>
      <c r="B122" s="10"/>
      <c r="C122" s="10">
        <v>12</v>
      </c>
      <c r="D122" s="10" t="s">
        <v>181</v>
      </c>
    </row>
    <row r="123" spans="1:4" x14ac:dyDescent="0.25">
      <c r="A123" s="10"/>
      <c r="B123" s="10"/>
      <c r="C123" s="10">
        <v>13</v>
      </c>
      <c r="D123" s="10" t="s">
        <v>182</v>
      </c>
    </row>
    <row r="124" spans="1:4" x14ac:dyDescent="0.25">
      <c r="A124" s="10"/>
      <c r="B124" s="10"/>
      <c r="C124" s="10">
        <v>14</v>
      </c>
      <c r="D124" s="10" t="s">
        <v>128</v>
      </c>
    </row>
    <row r="125" spans="1:4" x14ac:dyDescent="0.25">
      <c r="A125" s="10"/>
      <c r="B125" s="10"/>
      <c r="C125" s="10">
        <v>15</v>
      </c>
      <c r="D125" s="10" t="s">
        <v>129</v>
      </c>
    </row>
    <row r="126" spans="1:4" x14ac:dyDescent="0.25">
      <c r="A126" s="10"/>
      <c r="B126" s="10"/>
      <c r="C126" s="10">
        <v>16</v>
      </c>
      <c r="D126" s="10" t="s">
        <v>173</v>
      </c>
    </row>
    <row r="127" spans="1:4" x14ac:dyDescent="0.25">
      <c r="A127" s="10"/>
      <c r="B127" s="10"/>
      <c r="C127" s="10">
        <v>17</v>
      </c>
      <c r="D127" s="10" t="s">
        <v>95</v>
      </c>
    </row>
    <row r="128" spans="1:4" x14ac:dyDescent="0.25">
      <c r="A128" s="10"/>
      <c r="B128" s="10"/>
      <c r="C128" s="10">
        <v>18</v>
      </c>
      <c r="D128" s="10" t="s">
        <v>174</v>
      </c>
    </row>
    <row r="129" spans="1:4" x14ac:dyDescent="0.25">
      <c r="A129" s="10"/>
      <c r="B129" s="10"/>
      <c r="C129" s="10">
        <v>19</v>
      </c>
      <c r="D129" s="10" t="s">
        <v>183</v>
      </c>
    </row>
    <row r="130" spans="1:4" x14ac:dyDescent="0.25">
      <c r="A130" s="10"/>
      <c r="B130" s="10"/>
      <c r="C130" s="10">
        <v>20</v>
      </c>
      <c r="D130" s="10" t="s">
        <v>184</v>
      </c>
    </row>
    <row r="131" spans="1:4" x14ac:dyDescent="0.25">
      <c r="A131" s="10"/>
      <c r="B131" s="10"/>
      <c r="C131" s="10">
        <v>21</v>
      </c>
      <c r="D131" s="10" t="s">
        <v>185</v>
      </c>
    </row>
    <row r="132" spans="1:4" x14ac:dyDescent="0.25">
      <c r="A132" s="10"/>
      <c r="B132" s="10"/>
      <c r="C132" s="10">
        <v>22</v>
      </c>
      <c r="D132" s="10" t="s">
        <v>186</v>
      </c>
    </row>
    <row r="133" spans="1:4" x14ac:dyDescent="0.25">
      <c r="A133" s="10"/>
      <c r="B133" s="10"/>
      <c r="C133" s="10">
        <v>23</v>
      </c>
      <c r="D133" s="10" t="s">
        <v>187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5">
      <c r="A136" s="10"/>
      <c r="B136" s="10"/>
      <c r="C136" s="10">
        <v>29</v>
      </c>
      <c r="D136" s="10" t="s">
        <v>195</v>
      </c>
    </row>
    <row r="137" spans="1:4" x14ac:dyDescent="0.25">
      <c r="A137" s="10"/>
      <c r="B137" s="10"/>
      <c r="C137" s="10">
        <v>30</v>
      </c>
      <c r="D137" s="10" t="s">
        <v>196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5">
      <c r="A140" s="10"/>
      <c r="B140" s="10"/>
      <c r="C140" s="10">
        <v>32</v>
      </c>
      <c r="D140" s="10" t="s">
        <v>198</v>
      </c>
    </row>
    <row r="141" spans="1:4" x14ac:dyDescent="0.25">
      <c r="A141" s="10"/>
      <c r="B141" s="10"/>
      <c r="C141" s="10">
        <v>33</v>
      </c>
      <c r="D141" s="10" t="s">
        <v>199</v>
      </c>
    </row>
    <row r="142" spans="1:4" x14ac:dyDescent="0.25">
      <c r="A142" s="10"/>
      <c r="B142" s="10"/>
      <c r="C142" s="10">
        <v>34</v>
      </c>
      <c r="D142" s="10" t="s">
        <v>201</v>
      </c>
    </row>
    <row r="143" spans="1:4" x14ac:dyDescent="0.25">
      <c r="A143" s="10"/>
      <c r="B143" s="10"/>
      <c r="C143" s="10">
        <v>35</v>
      </c>
      <c r="D143" s="10" t="s">
        <v>202</v>
      </c>
    </row>
    <row r="144" spans="1:4" x14ac:dyDescent="0.25">
      <c r="A144" s="10"/>
      <c r="B144" s="10"/>
      <c r="C144" s="10">
        <v>36</v>
      </c>
      <c r="D144" s="10" t="s">
        <v>203</v>
      </c>
    </row>
    <row r="145" spans="1:4" x14ac:dyDescent="0.25">
      <c r="A145" s="10"/>
      <c r="B145" s="10"/>
      <c r="C145" s="10">
        <v>37</v>
      </c>
      <c r="D145" s="10" t="s">
        <v>204</v>
      </c>
    </row>
    <row r="146" spans="1:4" x14ac:dyDescent="0.25">
      <c r="A146" s="10"/>
      <c r="B146" s="10"/>
      <c r="C146" s="10">
        <v>38</v>
      </c>
      <c r="D146" s="10" t="s">
        <v>205</v>
      </c>
    </row>
    <row r="147" spans="1:4" x14ac:dyDescent="0.25">
      <c r="A147" s="10"/>
      <c r="B147" s="10"/>
      <c r="C147" s="10">
        <v>39</v>
      </c>
      <c r="D147" s="10" t="s">
        <v>207</v>
      </c>
    </row>
    <row r="148" spans="1:4" x14ac:dyDescent="0.25">
      <c r="A148" s="10"/>
      <c r="B148" s="10"/>
      <c r="C148" s="10">
        <v>40</v>
      </c>
      <c r="D148" s="10" t="s">
        <v>208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5">
      <c r="A151" s="10"/>
      <c r="B151" s="10"/>
      <c r="C151" s="10">
        <v>42</v>
      </c>
      <c r="D151" s="10" t="s">
        <v>209</v>
      </c>
    </row>
    <row r="152" spans="1:4" x14ac:dyDescent="0.25">
      <c r="A152" s="10"/>
      <c r="B152" s="10"/>
      <c r="C152" s="10">
        <v>43</v>
      </c>
      <c r="D152" s="10" t="s">
        <v>210</v>
      </c>
    </row>
    <row r="153" spans="1:4" x14ac:dyDescent="0.25">
      <c r="A153" s="10"/>
      <c r="B153" s="10"/>
      <c r="C153" s="10">
        <v>44</v>
      </c>
      <c r="D153" s="10" t="s">
        <v>98</v>
      </c>
    </row>
    <row r="154" spans="1:4" x14ac:dyDescent="0.25">
      <c r="A154" s="10"/>
      <c r="B154" s="10"/>
      <c r="C154" s="10">
        <v>45</v>
      </c>
      <c r="D154" s="10" t="s">
        <v>212</v>
      </c>
    </row>
    <row r="155" spans="1:4" x14ac:dyDescent="0.25">
      <c r="A155" s="10"/>
      <c r="B155" s="10"/>
      <c r="C155" s="10">
        <v>46</v>
      </c>
      <c r="D155" s="10" t="s">
        <v>213</v>
      </c>
    </row>
    <row r="156" spans="1:4" x14ac:dyDescent="0.25">
      <c r="A156" s="10"/>
      <c r="B156" s="10"/>
      <c r="C156" s="10">
        <v>47</v>
      </c>
      <c r="D156" s="10" t="s">
        <v>131</v>
      </c>
    </row>
    <row r="157" spans="1:4" x14ac:dyDescent="0.25">
      <c r="A157" s="10"/>
      <c r="B157" s="10"/>
      <c r="C157" s="10">
        <v>48</v>
      </c>
      <c r="D157" s="10" t="s">
        <v>215</v>
      </c>
    </row>
    <row r="158" spans="1:4" x14ac:dyDescent="0.25">
      <c r="A158" s="10"/>
      <c r="B158" s="10"/>
      <c r="C158" s="10">
        <v>49</v>
      </c>
      <c r="D158" s="10" t="s">
        <v>216</v>
      </c>
    </row>
    <row r="159" spans="1:4" x14ac:dyDescent="0.25">
      <c r="A159" s="10"/>
      <c r="B159" s="10"/>
      <c r="C159" s="10">
        <v>50</v>
      </c>
      <c r="D159" s="10" t="s">
        <v>217</v>
      </c>
    </row>
    <row r="160" spans="1:4" x14ac:dyDescent="0.25">
      <c r="A160" s="10"/>
      <c r="B160" s="10"/>
      <c r="C160" s="10">
        <v>51</v>
      </c>
      <c r="D160" s="10" t="s">
        <v>219</v>
      </c>
    </row>
    <row r="161" spans="1:4" x14ac:dyDescent="0.25">
      <c r="A161" s="10"/>
      <c r="B161" s="10"/>
      <c r="C161" s="10">
        <v>52</v>
      </c>
      <c r="D161" s="10" t="s">
        <v>220</v>
      </c>
    </row>
    <row r="162" spans="1:4" x14ac:dyDescent="0.25">
      <c r="A162" s="10"/>
      <c r="B162" s="10"/>
      <c r="C162" s="10">
        <v>53</v>
      </c>
      <c r="D162" s="10" t="s">
        <v>221</v>
      </c>
    </row>
    <row r="163" spans="1:4" x14ac:dyDescent="0.25">
      <c r="A163" s="10"/>
      <c r="B163" s="10"/>
      <c r="C163" s="10">
        <v>54</v>
      </c>
      <c r="D163" s="10" t="s">
        <v>222</v>
      </c>
    </row>
    <row r="164" spans="1:4" x14ac:dyDescent="0.25">
      <c r="A164" s="10"/>
      <c r="B164" s="10"/>
      <c r="C164" s="10">
        <v>55</v>
      </c>
      <c r="D164" s="10" t="s">
        <v>223</v>
      </c>
    </row>
    <row r="165" spans="1:4" x14ac:dyDescent="0.25">
      <c r="A165" s="10"/>
      <c r="B165" s="10"/>
      <c r="C165" s="10">
        <v>56</v>
      </c>
      <c r="D165" s="10" t="s">
        <v>224</v>
      </c>
    </row>
    <row r="166" spans="1:4" x14ac:dyDescent="0.25">
      <c r="A166" s="10"/>
      <c r="B166" s="10"/>
      <c r="C166" s="10">
        <v>57</v>
      </c>
      <c r="D166" s="10" t="s">
        <v>225</v>
      </c>
    </row>
    <row r="167" spans="1:4" x14ac:dyDescent="0.25">
      <c r="A167" s="10"/>
      <c r="B167" s="10"/>
      <c r="C167" s="10">
        <v>58</v>
      </c>
      <c r="D167" s="10" t="s">
        <v>227</v>
      </c>
    </row>
    <row r="168" spans="1:4" x14ac:dyDescent="0.25">
      <c r="A168" s="10"/>
      <c r="B168" s="10"/>
      <c r="C168" s="10">
        <v>59</v>
      </c>
      <c r="D168" s="10" t="s">
        <v>132</v>
      </c>
    </row>
    <row r="169" spans="1:4" x14ac:dyDescent="0.25">
      <c r="A169" s="10"/>
      <c r="B169" s="10"/>
      <c r="C169" s="10">
        <v>60</v>
      </c>
      <c r="D169" s="10" t="s">
        <v>228</v>
      </c>
    </row>
    <row r="170" spans="1:4" x14ac:dyDescent="0.25">
      <c r="A170" s="10"/>
      <c r="B170" s="10"/>
      <c r="C170" s="10">
        <v>61</v>
      </c>
      <c r="D170" s="10" t="s">
        <v>229</v>
      </c>
    </row>
    <row r="171" spans="1:4" x14ac:dyDescent="0.25">
      <c r="A171" s="10"/>
      <c r="B171" s="10"/>
      <c r="C171" s="10">
        <v>62</v>
      </c>
      <c r="D171" s="10" t="s">
        <v>230</v>
      </c>
    </row>
    <row r="172" spans="1:4" x14ac:dyDescent="0.25">
      <c r="A172" s="10"/>
      <c r="B172" s="10"/>
      <c r="C172" s="10">
        <v>63</v>
      </c>
      <c r="D172" s="10" t="s">
        <v>231</v>
      </c>
    </row>
    <row r="173" spans="1:4" x14ac:dyDescent="0.25">
      <c r="A173" s="10"/>
      <c r="B173" s="10"/>
      <c r="C173" s="10">
        <v>69</v>
      </c>
      <c r="D173" s="10" t="s">
        <v>237</v>
      </c>
    </row>
    <row r="174" spans="1:4" x14ac:dyDescent="0.25">
      <c r="A174" s="10"/>
      <c r="B174" s="10"/>
      <c r="C174" s="10">
        <v>70</v>
      </c>
      <c r="D174" s="10" t="s">
        <v>238</v>
      </c>
    </row>
    <row r="175" spans="1:4" x14ac:dyDescent="0.25">
      <c r="A175" s="10"/>
      <c r="B175" s="10"/>
      <c r="C175" s="10">
        <v>71</v>
      </c>
      <c r="D175" s="10" t="s">
        <v>239</v>
      </c>
    </row>
    <row r="176" spans="1:4" x14ac:dyDescent="0.25">
      <c r="A176" s="10"/>
      <c r="B176" s="10"/>
      <c r="C176" s="10">
        <v>72</v>
      </c>
      <c r="D176" s="10" t="s">
        <v>240</v>
      </c>
    </row>
    <row r="177" spans="1:6" x14ac:dyDescent="0.25">
      <c r="A177" s="10"/>
      <c r="B177" s="10"/>
      <c r="C177" s="10">
        <v>73</v>
      </c>
      <c r="D177" s="10" t="s">
        <v>133</v>
      </c>
    </row>
    <row r="178" spans="1:6" x14ac:dyDescent="0.25">
      <c r="A178" s="10"/>
      <c r="B178" s="10"/>
      <c r="C178" s="10">
        <v>74</v>
      </c>
      <c r="D178" s="10" t="s">
        <v>242</v>
      </c>
    </row>
    <row r="179" spans="1:6" x14ac:dyDescent="0.25">
      <c r="A179" s="10"/>
      <c r="B179" s="10"/>
      <c r="C179" s="10">
        <v>75</v>
      </c>
      <c r="D179" s="10" t="s">
        <v>243</v>
      </c>
    </row>
    <row r="180" spans="1:6" x14ac:dyDescent="0.25">
      <c r="A180" s="10"/>
      <c r="B180" s="10"/>
      <c r="C180" s="10"/>
      <c r="D180" s="10"/>
    </row>
    <row r="181" spans="1:6" x14ac:dyDescent="0.25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5">
      <c r="A182" s="10"/>
      <c r="B182" s="10"/>
      <c r="C182" s="10">
        <v>65</v>
      </c>
      <c r="D182" s="10" t="s">
        <v>72</v>
      </c>
    </row>
    <row r="183" spans="1:6" x14ac:dyDescent="0.25">
      <c r="A183" s="10"/>
      <c r="B183" s="10"/>
      <c r="C183" s="10">
        <v>66</v>
      </c>
      <c r="D183" s="10" t="s">
        <v>234</v>
      </c>
    </row>
    <row r="184" spans="1:6" x14ac:dyDescent="0.25">
      <c r="A184" s="10"/>
      <c r="B184" s="10"/>
      <c r="C184" s="10">
        <v>67</v>
      </c>
      <c r="D184" s="10" t="s">
        <v>235</v>
      </c>
    </row>
    <row r="185" spans="1:6" x14ac:dyDescent="0.25">
      <c r="A185" s="10"/>
      <c r="B185" s="10"/>
      <c r="C185" s="10">
        <v>68</v>
      </c>
      <c r="D185" s="10" t="s">
        <v>236</v>
      </c>
    </row>
    <row r="186" spans="1:6" x14ac:dyDescent="0.25">
      <c r="A186"/>
      <c r="B186"/>
      <c r="C186" s="89"/>
      <c r="D186"/>
    </row>
    <row r="187" spans="1:6" ht="13" x14ac:dyDescent="0.3">
      <c r="A187" s="17" t="s">
        <v>429</v>
      </c>
      <c r="B187"/>
      <c r="C187" s="89"/>
      <c r="D187"/>
    </row>
    <row r="188" spans="1:6" x14ac:dyDescent="0.25">
      <c r="A188"/>
      <c r="B188"/>
    </row>
    <row r="189" spans="1:6" x14ac:dyDescent="0.25">
      <c r="A189"/>
      <c r="B189" s="126" t="s">
        <v>356</v>
      </c>
      <c r="C189" s="126"/>
      <c r="D189" s="126" t="s">
        <v>354</v>
      </c>
    </row>
    <row r="190" spans="1:6" x14ac:dyDescent="0.25">
      <c r="A190"/>
      <c r="B190"/>
      <c r="C190" s="126"/>
      <c r="D190" s="126"/>
      <c r="E190" s="126"/>
      <c r="F190" s="126"/>
    </row>
    <row r="191" spans="1:6" x14ac:dyDescent="0.25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5">
      <c r="A192"/>
      <c r="B192"/>
      <c r="C192" s="126">
        <v>2</v>
      </c>
      <c r="D192" s="126" t="s">
        <v>94</v>
      </c>
      <c r="E192" s="126"/>
      <c r="F192" s="126"/>
    </row>
    <row r="193" spans="1:6" x14ac:dyDescent="0.25">
      <c r="A193"/>
      <c r="B193"/>
      <c r="C193" s="126">
        <v>6</v>
      </c>
      <c r="D193" s="126" t="s">
        <v>188</v>
      </c>
    </row>
    <row r="194" spans="1:6" x14ac:dyDescent="0.25">
      <c r="A194"/>
      <c r="B194"/>
      <c r="C194" s="126">
        <v>7</v>
      </c>
      <c r="D194" s="126" t="s">
        <v>190</v>
      </c>
      <c r="E194" s="126"/>
      <c r="F194" s="126"/>
    </row>
    <row r="195" spans="1:6" x14ac:dyDescent="0.25">
      <c r="A195"/>
      <c r="B195"/>
      <c r="C195" s="89"/>
      <c r="D195"/>
      <c r="E195" s="126"/>
      <c r="F195" s="126"/>
    </row>
    <row r="196" spans="1:6" x14ac:dyDescent="0.25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5">
      <c r="A197"/>
      <c r="B197"/>
      <c r="C197" s="126">
        <v>4</v>
      </c>
      <c r="D197" s="126" t="s">
        <v>69</v>
      </c>
      <c r="E197" s="126"/>
      <c r="F197" s="126"/>
    </row>
    <row r="198" spans="1:6" x14ac:dyDescent="0.25">
      <c r="A198"/>
      <c r="B198"/>
      <c r="C198" s="126">
        <v>5</v>
      </c>
      <c r="D198" s="126" t="s">
        <v>96</v>
      </c>
      <c r="E198" s="126"/>
      <c r="F198" s="126"/>
    </row>
    <row r="199" spans="1:6" x14ac:dyDescent="0.25">
      <c r="A199"/>
      <c r="B199"/>
      <c r="C199" s="89"/>
      <c r="D199"/>
      <c r="E199" s="126"/>
      <c r="F199" s="126"/>
    </row>
    <row r="200" spans="1:6" x14ac:dyDescent="0.25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5">
      <c r="A201"/>
      <c r="B201"/>
      <c r="C201" s="89"/>
      <c r="D201"/>
      <c r="E201" s="126"/>
      <c r="F201" s="126"/>
    </row>
    <row r="202" spans="1:6" x14ac:dyDescent="0.25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5">
      <c r="A203"/>
      <c r="B203"/>
      <c r="C203" s="126">
        <v>10</v>
      </c>
      <c r="D203" s="126" t="s">
        <v>200</v>
      </c>
      <c r="E203" s="126"/>
      <c r="F203" s="126"/>
    </row>
    <row r="204" spans="1:6" x14ac:dyDescent="0.25">
      <c r="A204"/>
      <c r="B204"/>
      <c r="C204" s="126">
        <v>11</v>
      </c>
      <c r="D204" s="126" t="s">
        <v>206</v>
      </c>
      <c r="E204" s="126"/>
      <c r="F204" s="126"/>
    </row>
    <row r="205" spans="1:6" x14ac:dyDescent="0.25">
      <c r="A205"/>
      <c r="B205"/>
      <c r="C205" s="89"/>
      <c r="D205"/>
      <c r="E205" s="126"/>
      <c r="F205" s="126"/>
    </row>
    <row r="206" spans="1:6" x14ac:dyDescent="0.25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5">
      <c r="A207"/>
      <c r="B207"/>
      <c r="C207" s="126">
        <v>13</v>
      </c>
      <c r="D207" s="126" t="s">
        <v>211</v>
      </c>
      <c r="E207" s="126"/>
      <c r="F207" s="126"/>
    </row>
    <row r="208" spans="1:6" x14ac:dyDescent="0.25">
      <c r="A208"/>
      <c r="B208"/>
      <c r="C208" s="126">
        <v>14</v>
      </c>
      <c r="D208" s="126" t="s">
        <v>214</v>
      </c>
      <c r="E208" s="126"/>
      <c r="F208" s="126"/>
    </row>
    <row r="209" spans="1:6" x14ac:dyDescent="0.25">
      <c r="A209"/>
      <c r="B209"/>
      <c r="C209" s="126">
        <v>15</v>
      </c>
      <c r="D209" s="126" t="s">
        <v>217</v>
      </c>
      <c r="E209" s="126"/>
      <c r="F209" s="126"/>
    </row>
    <row r="210" spans="1:6" x14ac:dyDescent="0.25">
      <c r="A210"/>
      <c r="B210"/>
      <c r="C210" s="126">
        <v>16</v>
      </c>
      <c r="D210" s="126" t="s">
        <v>218</v>
      </c>
      <c r="E210" s="126"/>
      <c r="F210" s="126"/>
    </row>
    <row r="211" spans="1:6" x14ac:dyDescent="0.25">
      <c r="A211"/>
      <c r="B211"/>
      <c r="C211" s="126">
        <v>17</v>
      </c>
      <c r="D211" s="126" t="s">
        <v>226</v>
      </c>
      <c r="E211" s="126"/>
      <c r="F211" s="126"/>
    </row>
    <row r="212" spans="1:6" x14ac:dyDescent="0.25">
      <c r="A212"/>
      <c r="B212"/>
      <c r="C212" s="126">
        <v>21</v>
      </c>
      <c r="D212" s="126" t="s">
        <v>99</v>
      </c>
      <c r="E212" s="126"/>
      <c r="F212" s="126"/>
    </row>
    <row r="213" spans="1:6" x14ac:dyDescent="0.25">
      <c r="A213"/>
      <c r="B213"/>
      <c r="C213" s="126">
        <v>22</v>
      </c>
      <c r="D213" s="126" t="s">
        <v>241</v>
      </c>
      <c r="E213" s="126"/>
      <c r="F213" s="126"/>
    </row>
    <row r="214" spans="1:6" x14ac:dyDescent="0.25">
      <c r="A214"/>
      <c r="B214"/>
      <c r="C214" s="126"/>
      <c r="D214" s="126"/>
      <c r="E214" s="126"/>
      <c r="F214" s="126"/>
    </row>
    <row r="215" spans="1:6" x14ac:dyDescent="0.25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5">
      <c r="A216"/>
      <c r="B216"/>
      <c r="C216" s="126">
        <v>19</v>
      </c>
      <c r="D216" s="126" t="s">
        <v>72</v>
      </c>
      <c r="E216" s="126"/>
      <c r="F216" s="126"/>
    </row>
    <row r="217" spans="1:6" x14ac:dyDescent="0.25">
      <c r="A217"/>
      <c r="B217"/>
      <c r="C217" s="126">
        <v>20</v>
      </c>
      <c r="D217" s="126" t="s">
        <v>73</v>
      </c>
    </row>
    <row r="218" spans="1:6" x14ac:dyDescent="0.25">
      <c r="A218"/>
      <c r="B218"/>
      <c r="C218" s="126"/>
      <c r="D218" s="126"/>
      <c r="E218" s="126"/>
      <c r="F218" s="126"/>
    </row>
    <row r="219" spans="1:6" x14ac:dyDescent="0.25">
      <c r="A219"/>
      <c r="B219"/>
      <c r="C219" s="89"/>
      <c r="D219"/>
      <c r="E219" s="126"/>
      <c r="F219" s="126"/>
    </row>
    <row r="220" spans="1:6" ht="13" x14ac:dyDescent="0.3">
      <c r="A220" s="15" t="s">
        <v>502</v>
      </c>
      <c r="B220" s="89"/>
      <c r="C220" s="126"/>
      <c r="D220" s="126"/>
      <c r="E220" s="126"/>
      <c r="F220" s="126"/>
    </row>
    <row r="221" spans="1:6" x14ac:dyDescent="0.25">
      <c r="A221" s="89" t="s">
        <v>11</v>
      </c>
      <c r="B221" s="89"/>
      <c r="C221" s="126"/>
      <c r="D221" s="126"/>
    </row>
    <row r="222" spans="1:6" x14ac:dyDescent="0.25">
      <c r="A222" s="89" t="s">
        <v>11</v>
      </c>
      <c r="B222" s="89"/>
      <c r="C222" s="126"/>
      <c r="D222" s="126"/>
      <c r="E222" s="126"/>
      <c r="F222" s="126"/>
    </row>
    <row r="223" spans="1:6" x14ac:dyDescent="0.25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5">
      <c r="A224" s="89" t="s">
        <v>11</v>
      </c>
      <c r="B224" s="89"/>
      <c r="C224" s="89"/>
      <c r="D224" s="89"/>
      <c r="E224" s="126"/>
      <c r="F224" s="126"/>
    </row>
    <row r="225" spans="1:6" x14ac:dyDescent="0.25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5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5">
      <c r="A227" s="89"/>
      <c r="B227" s="89"/>
      <c r="C227" s="89"/>
      <c r="D227" s="126"/>
    </row>
    <row r="228" spans="1:6" x14ac:dyDescent="0.25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5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5">
      <c r="A230" s="89"/>
      <c r="B230" s="89"/>
      <c r="C230" s="89">
        <v>5</v>
      </c>
      <c r="D230" s="126" t="s">
        <v>475</v>
      </c>
    </row>
    <row r="231" spans="1:6" x14ac:dyDescent="0.25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5">
      <c r="A232" s="89"/>
      <c r="B232" s="126"/>
      <c r="C232" s="89"/>
      <c r="D232" s="126"/>
      <c r="E232" s="126"/>
      <c r="F232" s="126"/>
    </row>
    <row r="233" spans="1:6" x14ac:dyDescent="0.25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5">
      <c r="A234" s="89"/>
      <c r="B234" s="89"/>
      <c r="C234" s="89">
        <v>8</v>
      </c>
      <c r="D234" s="126" t="s">
        <v>478</v>
      </c>
    </row>
    <row r="235" spans="1:6" x14ac:dyDescent="0.25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5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5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5">
      <c r="A238" s="89"/>
      <c r="B238" s="89"/>
      <c r="C238" s="89"/>
      <c r="D238" s="126"/>
    </row>
    <row r="239" spans="1:6" x14ac:dyDescent="0.25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5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5">
      <c r="A241" s="89"/>
      <c r="B241" s="89"/>
      <c r="C241" s="89"/>
      <c r="D241"/>
      <c r="E241" s="126"/>
      <c r="F241" s="126"/>
    </row>
    <row r="242" spans="1:6" x14ac:dyDescent="0.25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5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5">
      <c r="A244" s="89"/>
      <c r="B244" s="89"/>
      <c r="C244" s="89">
        <v>16</v>
      </c>
      <c r="D244" s="126" t="s">
        <v>486</v>
      </c>
    </row>
    <row r="245" spans="1:6" x14ac:dyDescent="0.25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5">
      <c r="A246" s="89"/>
      <c r="B246" s="89"/>
      <c r="C246" s="89"/>
      <c r="D246"/>
      <c r="E246" s="126"/>
      <c r="F246" s="126"/>
    </row>
    <row r="247" spans="1:6" x14ac:dyDescent="0.25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5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5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5">
      <c r="A250" s="89"/>
      <c r="B250" s="89"/>
      <c r="C250" s="89"/>
      <c r="D250" s="89"/>
      <c r="E250" s="126"/>
      <c r="F250" s="126"/>
    </row>
    <row r="251" spans="1:6" x14ac:dyDescent="0.25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5">
      <c r="A252" s="89"/>
      <c r="B252" s="89"/>
      <c r="C252" s="89">
        <v>22</v>
      </c>
      <c r="D252" s="126" t="s">
        <v>492</v>
      </c>
    </row>
    <row r="253" spans="1:6" x14ac:dyDescent="0.25">
      <c r="A253" s="89"/>
      <c r="B253" s="89"/>
      <c r="C253" s="89"/>
      <c r="D253" s="126"/>
      <c r="E253" s="126"/>
      <c r="F253" s="126"/>
    </row>
    <row r="254" spans="1:6" x14ac:dyDescent="0.25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5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5">
      <c r="A256" s="89"/>
      <c r="B256" s="89"/>
      <c r="C256" s="89"/>
      <c r="D256" s="89"/>
      <c r="E256" s="126"/>
      <c r="F256" s="126"/>
    </row>
    <row r="257" spans="1:6" x14ac:dyDescent="0.25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5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5">
      <c r="A259" s="89"/>
      <c r="B259"/>
      <c r="C259" s="89"/>
      <c r="D259"/>
      <c r="E259" s="126"/>
      <c r="F259" s="126"/>
    </row>
    <row r="260" spans="1:6" ht="13" x14ac:dyDescent="0.3">
      <c r="A260" s="15" t="s">
        <v>358</v>
      </c>
      <c r="B260" s="89"/>
      <c r="C260" s="89"/>
      <c r="D260"/>
    </row>
    <row r="261" spans="1:6" x14ac:dyDescent="0.25">
      <c r="A261" s="89"/>
      <c r="B261" s="89"/>
      <c r="C261" s="89"/>
      <c r="D261"/>
    </row>
    <row r="262" spans="1:6" x14ac:dyDescent="0.25">
      <c r="B262" s="89" t="s">
        <v>360</v>
      </c>
      <c r="D262" s="89" t="s">
        <v>359</v>
      </c>
    </row>
    <row r="264" spans="1:6" x14ac:dyDescent="0.25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5">
      <c r="C265" s="14">
        <v>2</v>
      </c>
      <c r="D265" s="126" t="s">
        <v>445</v>
      </c>
      <c r="E265" s="126"/>
      <c r="F265" s="126"/>
    </row>
    <row r="266" spans="1:6" x14ac:dyDescent="0.25">
      <c r="E266" s="126"/>
      <c r="F266" s="126"/>
    </row>
    <row r="267" spans="1:6" x14ac:dyDescent="0.25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5">
      <c r="C268" s="14">
        <v>4</v>
      </c>
      <c r="D268" s="126" t="s">
        <v>449</v>
      </c>
    </row>
    <row r="269" spans="1:6" x14ac:dyDescent="0.25">
      <c r="C269" s="14">
        <v>5</v>
      </c>
      <c r="D269" s="126" t="s">
        <v>451</v>
      </c>
    </row>
    <row r="271" spans="1:6" x14ac:dyDescent="0.25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5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5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5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2422E0-36BA-407C-94B8-DFD197B97F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63E597-4E9E-4A4F-93B1-81A7FF0555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NEWBURY, Chloe</cp:lastModifiedBy>
  <cp:lastPrinted>2022-11-08T11:16:28Z</cp:lastPrinted>
  <dcterms:created xsi:type="dcterms:W3CDTF">2006-08-30T09:48:05Z</dcterms:created>
  <dcterms:modified xsi:type="dcterms:W3CDTF">2024-06-28T13:41:06Z</dcterms:modified>
</cp:coreProperties>
</file>